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evan/Documents/GitHub/Models/"/>
    </mc:Choice>
  </mc:AlternateContent>
  <xr:revisionPtr revIDLastSave="0" documentId="13_ncr:1_{2D15C42B-BC0F-F04E-96E2-A620FEB1B18F}" xr6:coauthVersionLast="47" xr6:coauthVersionMax="47" xr10:uidLastSave="{00000000-0000-0000-0000-000000000000}"/>
  <bookViews>
    <workbookView xWindow="0" yWindow="740" windowWidth="30240" windowHeight="18900" tabRatio="898" activeTab="5" xr2:uid="{00000000-000D-0000-FFFF-FFFF00000000}"/>
  </bookViews>
  <sheets>
    <sheet name="__FDSCACHE__" sheetId="24" state="veryHidden" r:id="rId1"/>
    <sheet name="Model" sheetId="29" r:id="rId2"/>
    <sheet name="Drivers" sheetId="1" r:id="rId3"/>
    <sheet name="BS" sheetId="3" r:id="rId4"/>
    <sheet name="CF" sheetId="4" r:id="rId5"/>
    <sheet name="Debt" sheetId="9" r:id="rId6"/>
    <sheet name="Valuation" sheetId="2" r:id="rId7"/>
    <sheet name="Pipeline" sheetId="21" r:id="rId8"/>
    <sheet name="Guide" sheetId="22" r:id="rId9"/>
  </sheets>
  <definedNames>
    <definedName name="__FDS_HYPERLINK_TOGGLE_STATE__" hidden="1">"ON"</definedName>
    <definedName name="_Model_Path">"S:\TELECOM_WIRELINE\Companies\EA\EA Financial Model.xlsx"</definedName>
    <definedName name="cu102.ShareScalingFactor">1000000</definedName>
    <definedName name="cu103.EmployeeScalingFactor" hidden="1">1000</definedName>
    <definedName name="cu107.DPSSymbol" hidden="1">"US$"</definedName>
    <definedName name="cu107.EPSSymbol" hidden="1">"US$"</definedName>
    <definedName name="cu71.ScalingFactor" hidden="1">1000000</definedName>
    <definedName name="CUSTransactionID" hidden="1">1010659689.177</definedName>
    <definedName name="DB">"WIRENYPROD"</definedName>
    <definedName name="F.2023.03">#REF!</definedName>
    <definedName name="F.2024.03">#REF!</definedName>
    <definedName name="For_Preview">#REF!</definedName>
    <definedName name="key_drivers">#REF!</definedName>
    <definedName name="key_financials">#REF!</definedName>
    <definedName name="Pipeline">Pipeline!$B$5:$E$23</definedName>
    <definedName name="Pipeline_">Pipeline!$B$5:$E$22</definedName>
    <definedName name="Q1.2023.06">#REF!</definedName>
    <definedName name="Q1.2024.06">#REF!</definedName>
    <definedName name="Q2.2023.09">#REF!</definedName>
    <definedName name="Q2.2024.09">#REF!</definedName>
    <definedName name="Q3.2023.12">#REF!</definedName>
    <definedName name="Q3.2024.12">#REF!</definedName>
    <definedName name="Q4.2023.03">#REF!</definedName>
    <definedName name="Q4.2024.03">#REF!</definedName>
    <definedName name="solver_adj" localSheetId="2" hidden="1">Drivers!#REF!</definedName>
    <definedName name="solver_adj" localSheetId="1" hidden="1">Model!#REF!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ng" localSheetId="2" hidden="1">1</definedName>
    <definedName name="solver_eng" localSheetId="1" hidden="1">1</definedName>
    <definedName name="solver_est" localSheetId="2" hidden="1">1</definedName>
    <definedName name="solver_est" localSheetId="1" hidden="1">1</definedName>
    <definedName name="solver_itr" localSheetId="2" hidden="1">2147483647</definedName>
    <definedName name="solver_itr" localSheetId="1" hidden="1">2147483647</definedName>
    <definedName name="solver_mip" localSheetId="2" hidden="1">2147483647</definedName>
    <definedName name="solver_mip" localSheetId="1" hidden="1">2147483647</definedName>
    <definedName name="solver_mni" localSheetId="2" hidden="1">30</definedName>
    <definedName name="solver_mni" localSheetId="1" hidden="1">30</definedName>
    <definedName name="solver_mrt" localSheetId="2" hidden="1">0.075</definedName>
    <definedName name="solver_mrt" localSheetId="1" hidden="1">0.075</definedName>
    <definedName name="solver_msl" localSheetId="2" hidden="1">2</definedName>
    <definedName name="solver_msl" localSheetId="1" hidden="1">2</definedName>
    <definedName name="solver_neg" localSheetId="2" hidden="1">1</definedName>
    <definedName name="solver_neg" localSheetId="1" hidden="1">1</definedName>
    <definedName name="solver_nod" localSheetId="2" hidden="1">2147483647</definedName>
    <definedName name="solver_nod" localSheetId="1" hidden="1">2147483647</definedName>
    <definedName name="solver_num" localSheetId="2" hidden="1">0</definedName>
    <definedName name="solver_num" localSheetId="1" hidden="1">0</definedName>
    <definedName name="solver_nwt" localSheetId="2" hidden="1">1</definedName>
    <definedName name="solver_nwt" localSheetId="1" hidden="1">1</definedName>
    <definedName name="solver_opt" localSheetId="2" hidden="1">Drivers!#REF!</definedName>
    <definedName name="solver_opt" localSheetId="1" hidden="1">Model!#REF!</definedName>
    <definedName name="solver_pre" localSheetId="2" hidden="1">0.000001</definedName>
    <definedName name="solver_pre" localSheetId="1" hidden="1">0.000001</definedName>
    <definedName name="solver_rbv" localSheetId="2" hidden="1">1</definedName>
    <definedName name="solver_rbv" localSheetId="1" hidden="1">1</definedName>
    <definedName name="solver_rlx" localSheetId="2" hidden="1">2</definedName>
    <definedName name="solver_rlx" localSheetId="1" hidden="1">2</definedName>
    <definedName name="solver_rsd" localSheetId="2" hidden="1">0</definedName>
    <definedName name="solver_rsd" localSheetId="1" hidden="1">0</definedName>
    <definedName name="solver_scl" localSheetId="2" hidden="1">1</definedName>
    <definedName name="solver_scl" localSheetId="1" hidden="1">1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ssz" localSheetId="1" hidden="1">100</definedName>
    <definedName name="solver_tim" localSheetId="2" hidden="1">2147483647</definedName>
    <definedName name="solver_tim" localSheetId="1" hidden="1">2147483647</definedName>
    <definedName name="solver_tol" localSheetId="2" hidden="1">0.01</definedName>
    <definedName name="solver_tol" localSheetId="1" hidden="1">0.01</definedName>
    <definedName name="solver_typ" localSheetId="2" hidden="1">3</definedName>
    <definedName name="solver_typ" localSheetId="1" hidden="1">3</definedName>
    <definedName name="solver_val" localSheetId="2" hidden="1">86</definedName>
    <definedName name="solver_val" localSheetId="1" hidden="1">86</definedName>
    <definedName name="solver_ver" localSheetId="2" hidden="1">3</definedName>
    <definedName name="solver_ver" localSheetId="1" hidden="1">3</definedName>
    <definedName name="SuspendRefUpd" hidden="1">FALSE</definedName>
    <definedName name="Template.WIRE.DBAccess.CalcMode">"Async"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D23" i="29" l="1"/>
  <c r="F8" i="22"/>
  <c r="F9" i="22"/>
  <c r="F10" i="22"/>
  <c r="F11" i="22"/>
  <c r="F12" i="22"/>
  <c r="F13" i="22"/>
  <c r="F14" i="22"/>
  <c r="F15" i="22"/>
  <c r="F16" i="22"/>
  <c r="F17" i="22"/>
  <c r="F20" i="22"/>
  <c r="F21" i="22"/>
  <c r="F22" i="22"/>
  <c r="F23" i="22"/>
  <c r="F24" i="22"/>
  <c r="F25" i="22"/>
  <c r="F26" i="22"/>
  <c r="F27" i="22"/>
  <c r="F28" i="22"/>
  <c r="F31" i="22"/>
  <c r="F32" i="22"/>
  <c r="F33" i="22"/>
  <c r="C8" i="22"/>
  <c r="C9" i="22"/>
  <c r="C10" i="22"/>
  <c r="C11" i="22"/>
  <c r="C12" i="22"/>
  <c r="C13" i="22"/>
  <c r="C14" i="22"/>
  <c r="C15" i="22"/>
  <c r="C16" i="22"/>
  <c r="C17" i="22"/>
  <c r="C20" i="22"/>
  <c r="C21" i="22"/>
  <c r="C22" i="22"/>
  <c r="C23" i="22"/>
  <c r="C24" i="22"/>
  <c r="C25" i="22"/>
  <c r="C26" i="22"/>
  <c r="C27" i="22"/>
  <c r="C28" i="22"/>
  <c r="C31" i="22"/>
  <c r="C32" i="22"/>
  <c r="C33" i="22"/>
  <c r="J8" i="22"/>
  <c r="J9" i="22"/>
  <c r="J10" i="22"/>
  <c r="J11" i="22"/>
  <c r="J12" i="22"/>
  <c r="J13" i="22"/>
  <c r="J14" i="22"/>
  <c r="J15" i="22"/>
  <c r="J16" i="22"/>
  <c r="J17" i="22"/>
  <c r="J20" i="22"/>
  <c r="J21" i="22"/>
  <c r="J22" i="22"/>
  <c r="J23" i="22"/>
  <c r="J24" i="22"/>
  <c r="J25" i="22"/>
  <c r="J26" i="22"/>
  <c r="J27" i="22"/>
  <c r="J28" i="22"/>
  <c r="J31" i="22"/>
  <c r="J32" i="22"/>
  <c r="J33" i="22"/>
  <c r="K8" i="22"/>
  <c r="K9" i="22"/>
  <c r="K10" i="22"/>
  <c r="K11" i="22"/>
  <c r="K12" i="22"/>
  <c r="K13" i="22"/>
  <c r="K14" i="22"/>
  <c r="K15" i="22"/>
  <c r="K16" i="22"/>
  <c r="K17" i="22"/>
  <c r="K20" i="22"/>
  <c r="K21" i="22"/>
  <c r="K22" i="22"/>
  <c r="K23" i="22"/>
  <c r="K24" i="22"/>
  <c r="K25" i="22"/>
  <c r="K26" i="22"/>
  <c r="K27" i="22"/>
  <c r="K28" i="22"/>
  <c r="K31" i="22"/>
  <c r="K32" i="22"/>
  <c r="K33" i="22"/>
  <c r="G8" i="22"/>
  <c r="G9" i="22"/>
  <c r="G10" i="22"/>
  <c r="G11" i="22"/>
  <c r="G12" i="22"/>
  <c r="G13" i="22"/>
  <c r="G14" i="22"/>
  <c r="G15" i="22"/>
  <c r="G16" i="22"/>
  <c r="G17" i="22"/>
  <c r="G20" i="22"/>
  <c r="G21" i="22"/>
  <c r="G22" i="22"/>
  <c r="G23" i="22"/>
  <c r="G24" i="22"/>
  <c r="G25" i="22"/>
  <c r="G26" i="22"/>
  <c r="G27" i="22"/>
  <c r="G28" i="22"/>
  <c r="G31" i="22"/>
  <c r="G32" i="22"/>
  <c r="G33" i="22"/>
  <c r="AW78" i="29"/>
  <c r="B32" i="22" l="1"/>
  <c r="AW30" i="29" l="1"/>
  <c r="AU30" i="29"/>
  <c r="AT30" i="29"/>
  <c r="AS30" i="29"/>
  <c r="AR30" i="29"/>
  <c r="AQ30" i="29"/>
  <c r="AP30" i="29"/>
  <c r="AO30" i="29"/>
  <c r="AN30" i="29"/>
  <c r="AM30" i="29"/>
  <c r="AL30" i="29"/>
  <c r="AK30" i="29"/>
  <c r="AJ30" i="29"/>
  <c r="AI30" i="29"/>
  <c r="AV30" i="29"/>
  <c r="AW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V245" i="1"/>
  <c r="BD225" i="1" l="1"/>
  <c r="BE226" i="1"/>
  <c r="BD226" i="1"/>
  <c r="BB224" i="1"/>
  <c r="BA224" i="1"/>
  <c r="BB225" i="1"/>
  <c r="BA225" i="1"/>
  <c r="BA226" i="1"/>
  <c r="AZ224" i="1"/>
  <c r="BD224" i="1" s="1"/>
  <c r="AY224" i="1"/>
  <c r="BC225" i="1"/>
  <c r="BF224" i="1"/>
  <c r="BE224" i="1"/>
  <c r="BC224" i="1"/>
  <c r="AW92" i="3"/>
  <c r="AW93" i="3"/>
  <c r="AW94" i="3"/>
  <c r="AW95" i="3"/>
  <c r="AV63" i="29"/>
  <c r="AV62" i="29"/>
  <c r="AV61" i="29"/>
  <c r="AV211" i="1" l="1"/>
  <c r="AU211" i="1"/>
  <c r="AV21" i="9"/>
  <c r="AV41" i="9"/>
  <c r="AV111" i="3"/>
  <c r="AV112" i="3"/>
  <c r="AV115" i="3"/>
  <c r="AV103" i="3"/>
  <c r="AV98" i="3"/>
  <c r="AV100" i="3" s="1"/>
  <c r="AV99" i="3"/>
  <c r="AV101" i="3"/>
  <c r="AV72" i="3"/>
  <c r="AV73" i="3"/>
  <c r="AV74" i="3"/>
  <c r="AV75" i="3"/>
  <c r="AV76" i="3"/>
  <c r="AV77" i="3"/>
  <c r="AV79" i="3"/>
  <c r="AV82" i="3" s="1"/>
  <c r="AV80" i="3"/>
  <c r="AV81" i="3"/>
  <c r="AV54" i="3"/>
  <c r="AV55" i="3"/>
  <c r="AV57" i="3"/>
  <c r="AV58" i="3"/>
  <c r="AV60" i="3"/>
  <c r="AV61" i="3"/>
  <c r="AV63" i="3"/>
  <c r="AV66" i="3"/>
  <c r="AV95" i="3" s="1"/>
  <c r="AV51" i="3"/>
  <c r="AV52" i="3" s="1"/>
  <c r="AV84" i="4"/>
  <c r="AV85" i="4"/>
  <c r="AV26" i="29"/>
  <c r="AV14" i="29"/>
  <c r="AV15" i="29"/>
  <c r="AV22" i="29"/>
  <c r="AV212" i="1"/>
  <c r="AV213" i="1"/>
  <c r="AV264" i="1" s="1"/>
  <c r="AV214" i="1"/>
  <c r="AV16" i="29" s="1"/>
  <c r="AV275" i="1"/>
  <c r="AV104" i="3" s="1"/>
  <c r="AV277" i="1"/>
  <c r="AV266" i="1"/>
  <c r="AV262" i="1"/>
  <c r="AV183" i="1"/>
  <c r="AV188" i="1" s="1"/>
  <c r="AV189" i="1" s="1"/>
  <c r="AV136" i="1"/>
  <c r="AV137" i="1"/>
  <c r="AV138" i="1"/>
  <c r="AV141" i="1"/>
  <c r="AV142" i="1"/>
  <c r="AV143" i="1"/>
  <c r="AV146" i="1"/>
  <c r="AV147" i="1"/>
  <c r="AV148" i="1"/>
  <c r="AV151" i="1"/>
  <c r="AV152" i="1"/>
  <c r="AV153" i="1"/>
  <c r="AV155" i="1"/>
  <c r="AV160" i="1"/>
  <c r="AV163" i="1" s="1"/>
  <c r="AV129" i="1"/>
  <c r="AV130" i="1"/>
  <c r="AV215" i="1" l="1"/>
  <c r="AV17" i="29" s="1"/>
  <c r="AV93" i="3"/>
  <c r="AV89" i="3"/>
  <c r="AV186" i="1"/>
  <c r="AV270" i="1"/>
  <c r="AZ270" i="1" s="1"/>
  <c r="AV105" i="3"/>
  <c r="AV113" i="3" s="1"/>
  <c r="AV114" i="3"/>
  <c r="AV68" i="3"/>
  <c r="AV92" i="3" s="1"/>
  <c r="AV84" i="3"/>
  <c r="AV85" i="3" s="1"/>
  <c r="AV158" i="1"/>
  <c r="AV23" i="1"/>
  <c r="AV58" i="1" s="1"/>
  <c r="AV18" i="1"/>
  <c r="AV20" i="1" s="1"/>
  <c r="AV13" i="1"/>
  <c r="AV46" i="1"/>
  <c r="AV8" i="29" s="1"/>
  <c r="AV39" i="1"/>
  <c r="AV41" i="1"/>
  <c r="AV35" i="1"/>
  <c r="AV30" i="1" l="1"/>
  <c r="AV61" i="1"/>
  <c r="AV64" i="3"/>
  <c r="AV52" i="1"/>
  <c r="AV107" i="3"/>
  <c r="AV15" i="1"/>
  <c r="AV106" i="3"/>
  <c r="AV109" i="3"/>
  <c r="CF88" i="4"/>
  <c r="CE88" i="4"/>
  <c r="CD88" i="4"/>
  <c r="CC88" i="4"/>
  <c r="CB88" i="4"/>
  <c r="CA88" i="4"/>
  <c r="BZ88" i="4"/>
  <c r="BY88" i="4"/>
  <c r="BX88" i="4"/>
  <c r="BW88" i="4"/>
  <c r="BV88" i="4"/>
  <c r="BU88" i="4"/>
  <c r="BT88" i="4"/>
  <c r="BS88" i="4"/>
  <c r="BR88" i="4"/>
  <c r="BQ88" i="4"/>
  <c r="AV8" i="1" l="1"/>
  <c r="AV7" i="29"/>
  <c r="AV9" i="29" s="1"/>
  <c r="AV33" i="1"/>
  <c r="AV44" i="1"/>
  <c r="AV55" i="1"/>
  <c r="AV38" i="1"/>
  <c r="AV224" i="1" l="1"/>
  <c r="AV131" i="1"/>
  <c r="AV225" i="1"/>
  <c r="AV226" i="1"/>
  <c r="AV49" i="1"/>
  <c r="AW65" i="1" l="1"/>
  <c r="AV65" i="1"/>
  <c r="BY37" i="29" l="1"/>
  <c r="BX37" i="29"/>
  <c r="BW37" i="29"/>
  <c r="BV37" i="29"/>
  <c r="BU37" i="29"/>
  <c r="BT37" i="29"/>
  <c r="BS37" i="29"/>
  <c r="BR37" i="29"/>
  <c r="BQ37" i="29"/>
  <c r="BP37" i="29"/>
  <c r="BS36" i="29"/>
  <c r="BR36" i="29"/>
  <c r="BQ36" i="29"/>
  <c r="BP36" i="29"/>
  <c r="AY274" i="1" l="1"/>
  <c r="AZ274" i="1" s="1"/>
  <c r="BA274" i="1" s="1"/>
  <c r="AZ226" i="1"/>
  <c r="AZ264" i="1"/>
  <c r="S13" i="2"/>
  <c r="R13" i="2"/>
  <c r="CF5" i="29" l="1"/>
  <c r="CE5" i="29"/>
  <c r="CD5" i="29"/>
  <c r="CC5" i="29"/>
  <c r="CB5" i="29"/>
  <c r="CA5" i="29"/>
  <c r="BZ5" i="29"/>
  <c r="BY5" i="29"/>
  <c r="BX5" i="29"/>
  <c r="BW5" i="29"/>
  <c r="BV5" i="29"/>
  <c r="BU5" i="29"/>
  <c r="BT5" i="29"/>
  <c r="BS5" i="29"/>
  <c r="BR5" i="29"/>
  <c r="BQ5" i="29"/>
  <c r="BP5" i="29"/>
  <c r="BN5" i="29"/>
  <c r="BM5" i="29"/>
  <c r="BL5" i="29"/>
  <c r="BK5" i="29"/>
  <c r="BJ5" i="29"/>
  <c r="BI5" i="29"/>
  <c r="BH5" i="29"/>
  <c r="BG5" i="29"/>
  <c r="BF5" i="29"/>
  <c r="BE5" i="29"/>
  <c r="BD5" i="29"/>
  <c r="BC5" i="29"/>
  <c r="BB5" i="29"/>
  <c r="BA5" i="29"/>
  <c r="AZ5" i="29"/>
  <c r="AY5" i="29"/>
  <c r="AX5" i="29"/>
  <c r="AW5" i="29"/>
  <c r="AV5" i="29"/>
  <c r="AU5" i="29"/>
  <c r="AT5" i="29"/>
  <c r="AS5" i="29"/>
  <c r="AR5" i="29"/>
  <c r="AQ5" i="29"/>
  <c r="AP5" i="29"/>
  <c r="AO5" i="29"/>
  <c r="AN5" i="29"/>
  <c r="AM5" i="29"/>
  <c r="AL5" i="29"/>
  <c r="AK5" i="29"/>
  <c r="AJ5" i="29"/>
  <c r="AI5" i="29"/>
  <c r="AI61" i="29"/>
  <c r="AI62" i="29"/>
  <c r="AJ61" i="29"/>
  <c r="AK61" i="29"/>
  <c r="AL61" i="29"/>
  <c r="AJ62" i="29"/>
  <c r="AK62" i="29"/>
  <c r="AL62" i="29"/>
  <c r="C28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AA28" i="29"/>
  <c r="BP28" i="29"/>
  <c r="B28" i="29"/>
  <c r="AD26" i="29"/>
  <c r="AF26" i="29"/>
  <c r="AG26" i="29"/>
  <c r="AH26" i="29"/>
  <c r="AI26" i="29"/>
  <c r="AN26" i="29"/>
  <c r="AQ26" i="29"/>
  <c r="AS26" i="29"/>
  <c r="AT26" i="29"/>
  <c r="AP26" i="29"/>
  <c r="AO26" i="29"/>
  <c r="AL26" i="29"/>
  <c r="AU26" i="29"/>
  <c r="AB26" i="29"/>
  <c r="AC26" i="29"/>
  <c r="AE26" i="29"/>
  <c r="AJ26" i="29"/>
  <c r="AK26" i="29"/>
  <c r="AM26" i="29"/>
  <c r="AR26" i="29"/>
  <c r="C80" i="29"/>
  <c r="D80" i="29"/>
  <c r="E80" i="29"/>
  <c r="F80" i="29"/>
  <c r="G80" i="29"/>
  <c r="H80" i="29"/>
  <c r="I80" i="29"/>
  <c r="J80" i="29"/>
  <c r="K80" i="29"/>
  <c r="L80" i="29"/>
  <c r="M80" i="29"/>
  <c r="N80" i="29"/>
  <c r="O80" i="29"/>
  <c r="P80" i="29"/>
  <c r="Q80" i="29"/>
  <c r="R80" i="29"/>
  <c r="S80" i="29"/>
  <c r="T80" i="29"/>
  <c r="U80" i="29"/>
  <c r="V80" i="29"/>
  <c r="W80" i="29"/>
  <c r="X80" i="29"/>
  <c r="Y80" i="29"/>
  <c r="Z80" i="29"/>
  <c r="AA80" i="29"/>
  <c r="AB80" i="29"/>
  <c r="AC80" i="29"/>
  <c r="AD80" i="29"/>
  <c r="AE80" i="29"/>
  <c r="AF80" i="29"/>
  <c r="AG80" i="29"/>
  <c r="AH80" i="29"/>
  <c r="AI80" i="29"/>
  <c r="AJ80" i="29"/>
  <c r="AK80" i="29"/>
  <c r="AL80" i="29"/>
  <c r="AM80" i="29"/>
  <c r="AN80" i="29"/>
  <c r="AO80" i="29"/>
  <c r="AP80" i="29"/>
  <c r="AQ80" i="29"/>
  <c r="AR80" i="29"/>
  <c r="AS80" i="29"/>
  <c r="AT80" i="29"/>
  <c r="AU80" i="29"/>
  <c r="AV80" i="29"/>
  <c r="AW80" i="29"/>
  <c r="AX80" i="29"/>
  <c r="AY80" i="29"/>
  <c r="AZ80" i="29"/>
  <c r="BA80" i="29"/>
  <c r="BB80" i="29"/>
  <c r="BC80" i="29"/>
  <c r="BD80" i="29"/>
  <c r="BE80" i="29"/>
  <c r="BF80" i="29"/>
  <c r="BG80" i="29"/>
  <c r="BH80" i="29"/>
  <c r="BI80" i="29"/>
  <c r="BJ80" i="29"/>
  <c r="BK80" i="29"/>
  <c r="BL80" i="29"/>
  <c r="BM80" i="29"/>
  <c r="BN80" i="29"/>
  <c r="B80" i="29"/>
  <c r="B197" i="1"/>
  <c r="AY83" i="29"/>
  <c r="AI33" i="1"/>
  <c r="CF80" i="29" l="1"/>
  <c r="CD80" i="29"/>
  <c r="CB80" i="29"/>
  <c r="BZ80" i="29"/>
  <c r="CE80" i="29"/>
  <c r="BY80" i="29"/>
  <c r="CA80" i="29"/>
  <c r="CC80" i="29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Z84" i="4" s="1"/>
  <c r="AS84" i="4"/>
  <c r="AW84" i="4" s="1"/>
  <c r="BA84" i="4" s="1"/>
  <c r="BE84" i="4" s="1"/>
  <c r="BI84" i="4" s="1"/>
  <c r="BM84" i="4" s="1"/>
  <c r="AT84" i="4"/>
  <c r="AX84" i="4" s="1"/>
  <c r="BB84" i="4" s="1"/>
  <c r="BF84" i="4" s="1"/>
  <c r="BJ84" i="4" s="1"/>
  <c r="BN84" i="4" s="1"/>
  <c r="AU84" i="4"/>
  <c r="AY84" i="4" s="1"/>
  <c r="BC84" i="4" s="1"/>
  <c r="BG84" i="4" s="1"/>
  <c r="BK84" i="4" s="1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E86" i="4"/>
  <c r="E87" i="4"/>
  <c r="AW308" i="1"/>
  <c r="AX308" i="1" s="1"/>
  <c r="AY308" i="1" s="1"/>
  <c r="AZ308" i="1" s="1"/>
  <c r="BA308" i="1" s="1"/>
  <c r="BB308" i="1" s="1"/>
  <c r="BC308" i="1" s="1"/>
  <c r="BD308" i="1" s="1"/>
  <c r="BE308" i="1" s="1"/>
  <c r="BF308" i="1" s="1"/>
  <c r="BG308" i="1" s="1"/>
  <c r="BH308" i="1" s="1"/>
  <c r="BI308" i="1" s="1"/>
  <c r="BJ308" i="1" s="1"/>
  <c r="BK308" i="1" s="1"/>
  <c r="BL308" i="1" s="1"/>
  <c r="BM308" i="1" s="1"/>
  <c r="BN308" i="1" s="1"/>
  <c r="C295" i="1"/>
  <c r="C296" i="1" s="1"/>
  <c r="D295" i="1"/>
  <c r="D296" i="1" s="1"/>
  <c r="E295" i="1"/>
  <c r="E296" i="1" s="1"/>
  <c r="F295" i="1"/>
  <c r="F296" i="1" s="1"/>
  <c r="G295" i="1"/>
  <c r="G296" i="1" s="1"/>
  <c r="H295" i="1"/>
  <c r="H296" i="1" s="1"/>
  <c r="I295" i="1"/>
  <c r="I296" i="1" s="1"/>
  <c r="J295" i="1"/>
  <c r="J296" i="1" s="1"/>
  <c r="K295" i="1"/>
  <c r="K296" i="1" s="1"/>
  <c r="L295" i="1"/>
  <c r="L296" i="1" s="1"/>
  <c r="M295" i="1"/>
  <c r="M296" i="1" s="1"/>
  <c r="N295" i="1"/>
  <c r="N296" i="1" s="1"/>
  <c r="O295" i="1"/>
  <c r="O296" i="1" s="1"/>
  <c r="P295" i="1"/>
  <c r="P296" i="1" s="1"/>
  <c r="Q295" i="1"/>
  <c r="Q296" i="1" s="1"/>
  <c r="R295" i="1"/>
  <c r="R296" i="1" s="1"/>
  <c r="S295" i="1"/>
  <c r="S296" i="1" s="1"/>
  <c r="T295" i="1"/>
  <c r="T296" i="1" s="1"/>
  <c r="U295" i="1"/>
  <c r="U296" i="1" s="1"/>
  <c r="V295" i="1"/>
  <c r="V296" i="1" s="1"/>
  <c r="W295" i="1"/>
  <c r="W296" i="1" s="1"/>
  <c r="X295" i="1"/>
  <c r="X296" i="1" s="1"/>
  <c r="Y295" i="1"/>
  <c r="Y296" i="1" s="1"/>
  <c r="Z295" i="1"/>
  <c r="Z296" i="1" s="1"/>
  <c r="AA295" i="1"/>
  <c r="AA296" i="1" s="1"/>
  <c r="AB295" i="1"/>
  <c r="AB296" i="1" s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BQ295" i="1"/>
  <c r="B296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CC297" i="1"/>
  <c r="CD297" i="1"/>
  <c r="CE297" i="1"/>
  <c r="CF297" i="1"/>
  <c r="AT298" i="1"/>
  <c r="AU295" i="1" s="1"/>
  <c r="BP298" i="1"/>
  <c r="BQ298" i="1"/>
  <c r="BR295" i="1" s="1"/>
  <c r="BR298" i="1"/>
  <c r="BS295" i="1" s="1"/>
  <c r="BS298" i="1"/>
  <c r="BT295" i="1" s="1"/>
  <c r="BT298" i="1"/>
  <c r="BU295" i="1" s="1"/>
  <c r="BU298" i="1"/>
  <c r="BV295" i="1" s="1"/>
  <c r="BV298" i="1"/>
  <c r="BW295" i="1" s="1"/>
  <c r="BW298" i="1"/>
  <c r="BX295" i="1" s="1"/>
  <c r="BX298" i="1"/>
  <c r="BY295" i="1" s="1"/>
  <c r="BY298" i="1"/>
  <c r="BZ295" i="1" s="1"/>
  <c r="BZ298" i="1"/>
  <c r="CA295" i="1" s="1"/>
  <c r="BQ300" i="1"/>
  <c r="BR300" i="1"/>
  <c r="BS300" i="1"/>
  <c r="BT300" i="1"/>
  <c r="BU300" i="1"/>
  <c r="BV300" i="1"/>
  <c r="BW300" i="1"/>
  <c r="BX300" i="1"/>
  <c r="BY300" i="1"/>
  <c r="BZ300" i="1"/>
  <c r="CA300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BP301" i="1"/>
  <c r="BQ302" i="1"/>
  <c r="BR302" i="1"/>
  <c r="BS302" i="1"/>
  <c r="BT302" i="1"/>
  <c r="BU302" i="1"/>
  <c r="BV302" i="1"/>
  <c r="BW302" i="1"/>
  <c r="BX302" i="1"/>
  <c r="BY302" i="1"/>
  <c r="BZ302" i="1"/>
  <c r="CA302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S306" i="1" s="1"/>
  <c r="T303" i="1"/>
  <c r="T306" i="1" s="1"/>
  <c r="U303" i="1"/>
  <c r="U306" i="1" s="1"/>
  <c r="V303" i="1"/>
  <c r="V306" i="1" s="1"/>
  <c r="W303" i="1"/>
  <c r="W306" i="1" s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BP303" i="1"/>
  <c r="BQ304" i="1"/>
  <c r="BR304" i="1"/>
  <c r="BS304" i="1"/>
  <c r="BT304" i="1"/>
  <c r="BU304" i="1"/>
  <c r="BV304" i="1"/>
  <c r="BW304" i="1"/>
  <c r="BX304" i="1"/>
  <c r="BY304" i="1"/>
  <c r="BZ304" i="1"/>
  <c r="CA304" i="1"/>
  <c r="CC305" i="1"/>
  <c r="CD305" i="1"/>
  <c r="CE305" i="1"/>
  <c r="CF305" i="1"/>
  <c r="AL306" i="1"/>
  <c r="AP306" i="1"/>
  <c r="AW306" i="1"/>
  <c r="AX306" i="1" s="1"/>
  <c r="AY306" i="1" s="1"/>
  <c r="AZ306" i="1" s="1"/>
  <c r="BA306" i="1" s="1"/>
  <c r="BB306" i="1" s="1"/>
  <c r="BC306" i="1" s="1"/>
  <c r="BD306" i="1" s="1"/>
  <c r="BE306" i="1" s="1"/>
  <c r="BF306" i="1" s="1"/>
  <c r="BG306" i="1" s="1"/>
  <c r="BH306" i="1" s="1"/>
  <c r="BI306" i="1" s="1"/>
  <c r="BJ306" i="1" s="1"/>
  <c r="BK306" i="1" s="1"/>
  <c r="BL306" i="1" s="1"/>
  <c r="BM306" i="1" s="1"/>
  <c r="BN306" i="1" s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B99" i="3"/>
  <c r="C99" i="3"/>
  <c r="D99" i="3"/>
  <c r="E99" i="3"/>
  <c r="F99" i="3"/>
  <c r="F101" i="3" s="1"/>
  <c r="G99" i="3"/>
  <c r="G112" i="3" s="1"/>
  <c r="H99" i="3"/>
  <c r="H112" i="3" s="1"/>
  <c r="I99" i="3"/>
  <c r="J99" i="3"/>
  <c r="K99" i="3"/>
  <c r="L99" i="3"/>
  <c r="L112" i="3" s="1"/>
  <c r="M99" i="3"/>
  <c r="N99" i="3"/>
  <c r="N101" i="3" s="1"/>
  <c r="O99" i="3"/>
  <c r="P99" i="3"/>
  <c r="P112" i="3" s="1"/>
  <c r="Q99" i="3"/>
  <c r="R99" i="3"/>
  <c r="S99" i="3"/>
  <c r="T99" i="3"/>
  <c r="U99" i="3"/>
  <c r="U101" i="3" s="1"/>
  <c r="V99" i="3"/>
  <c r="V101" i="3" s="1"/>
  <c r="W99" i="3"/>
  <c r="W112" i="3" s="1"/>
  <c r="X99" i="3"/>
  <c r="X112" i="3" s="1"/>
  <c r="Y99" i="3"/>
  <c r="Z99" i="3"/>
  <c r="AA99" i="3"/>
  <c r="AB99" i="3"/>
  <c r="AC99" i="3"/>
  <c r="AD99" i="3"/>
  <c r="AD101" i="3" s="1"/>
  <c r="AE99" i="3"/>
  <c r="AE112" i="3" s="1"/>
  <c r="AF99" i="3"/>
  <c r="AF112" i="3" s="1"/>
  <c r="AG99" i="3"/>
  <c r="AH99" i="3"/>
  <c r="AI99" i="3"/>
  <c r="AJ99" i="3"/>
  <c r="AK99" i="3"/>
  <c r="AL99" i="3"/>
  <c r="AL101" i="3" s="1"/>
  <c r="AM99" i="3"/>
  <c r="AM112" i="3" s="1"/>
  <c r="AN99" i="3"/>
  <c r="AN112" i="3" s="1"/>
  <c r="AO99" i="3"/>
  <c r="AP99" i="3"/>
  <c r="AQ99" i="3"/>
  <c r="AR99" i="3"/>
  <c r="AR112" i="3" s="1"/>
  <c r="AS99" i="3"/>
  <c r="AT99" i="3"/>
  <c r="AT101" i="3" s="1"/>
  <c r="AU99" i="3"/>
  <c r="AU112" i="3" s="1"/>
  <c r="BC100" i="3"/>
  <c r="BG100" i="3" s="1"/>
  <c r="BK100" i="3" s="1"/>
  <c r="BD100" i="3"/>
  <c r="BH100" i="3" s="1"/>
  <c r="BL100" i="3" s="1"/>
  <c r="BE100" i="3"/>
  <c r="BI100" i="3" s="1"/>
  <c r="BF100" i="3"/>
  <c r="BJ100" i="3" s="1"/>
  <c r="BN100" i="3" s="1"/>
  <c r="BM100" i="3"/>
  <c r="BP100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BP105" i="3"/>
  <c r="BP107" i="3" s="1"/>
  <c r="BP106" i="3"/>
  <c r="B112" i="3"/>
  <c r="D112" i="3"/>
  <c r="I112" i="3"/>
  <c r="J112" i="3"/>
  <c r="Q112" i="3"/>
  <c r="R112" i="3"/>
  <c r="T112" i="3"/>
  <c r="Y112" i="3"/>
  <c r="Z112" i="3"/>
  <c r="AB112" i="3"/>
  <c r="AG112" i="3"/>
  <c r="AH112" i="3"/>
  <c r="AJ112" i="3"/>
  <c r="AO112" i="3"/>
  <c r="AP112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115" i="3"/>
  <c r="C111" i="3" s="1"/>
  <c r="BQ111" i="3" s="1"/>
  <c r="C115" i="3"/>
  <c r="D111" i="3" s="1"/>
  <c r="D115" i="3"/>
  <c r="E111" i="3" s="1"/>
  <c r="E115" i="3"/>
  <c r="F115" i="3"/>
  <c r="G115" i="3"/>
  <c r="H115" i="3"/>
  <c r="I115" i="3"/>
  <c r="J115" i="3"/>
  <c r="K115" i="3"/>
  <c r="L115" i="3"/>
  <c r="M111" i="3" s="1"/>
  <c r="M115" i="3"/>
  <c r="N115" i="3"/>
  <c r="BS115" i="3" s="1"/>
  <c r="O115" i="3"/>
  <c r="P115" i="3"/>
  <c r="Q111" i="3" s="1"/>
  <c r="Q115" i="3"/>
  <c r="R111" i="3" s="1"/>
  <c r="R115" i="3"/>
  <c r="S111" i="3" s="1"/>
  <c r="BU111" i="3" s="1"/>
  <c r="S115" i="3"/>
  <c r="T111" i="3" s="1"/>
  <c r="T115" i="3"/>
  <c r="U115" i="3"/>
  <c r="V115" i="3"/>
  <c r="W115" i="3"/>
  <c r="X115" i="3"/>
  <c r="Y115" i="3"/>
  <c r="Z111" i="3" s="1"/>
  <c r="Z115" i="3"/>
  <c r="AA111" i="3" s="1"/>
  <c r="BW111" i="3" s="1"/>
  <c r="AA115" i="3"/>
  <c r="AB115" i="3"/>
  <c r="AC111" i="3" s="1"/>
  <c r="AC115" i="3"/>
  <c r="AD115" i="3"/>
  <c r="AE115" i="3"/>
  <c r="AF115" i="3"/>
  <c r="AG115" i="3"/>
  <c r="AH111" i="3" s="1"/>
  <c r="AH115" i="3"/>
  <c r="AI111" i="3" s="1"/>
  <c r="BY111" i="3" s="1"/>
  <c r="AI115" i="3"/>
  <c r="AJ115" i="3"/>
  <c r="AK115" i="3"/>
  <c r="AL115" i="3"/>
  <c r="AM111" i="3" s="1"/>
  <c r="BZ111" i="3" s="1"/>
  <c r="AM115" i="3"/>
  <c r="AN111" i="3" s="1"/>
  <c r="AN115" i="3"/>
  <c r="AO115" i="3"/>
  <c r="AP115" i="3"/>
  <c r="AQ111" i="3" s="1"/>
  <c r="CA111" i="3" s="1"/>
  <c r="AQ115" i="3"/>
  <c r="AR111" i="3" s="1"/>
  <c r="AR115" i="3"/>
  <c r="AS111" i="3" s="1"/>
  <c r="AS115" i="3"/>
  <c r="AT115" i="3"/>
  <c r="CA115" i="3" s="1"/>
  <c r="AU115" i="3"/>
  <c r="BR115" i="3"/>
  <c r="BT115" i="3"/>
  <c r="BX11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S67" i="3"/>
  <c r="AT67" i="3"/>
  <c r="B72" i="3"/>
  <c r="C72" i="3"/>
  <c r="D72" i="3"/>
  <c r="E72" i="3"/>
  <c r="F72" i="3"/>
  <c r="BQ72" i="3" s="1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BU72" i="3" s="1"/>
  <c r="W72" i="3"/>
  <c r="X72" i="3"/>
  <c r="Y72" i="3"/>
  <c r="Z72" i="3"/>
  <c r="AA72" i="3"/>
  <c r="AB72" i="3"/>
  <c r="AC72" i="3"/>
  <c r="AD72" i="3"/>
  <c r="BW72" i="3" s="1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CA72" i="3" s="1"/>
  <c r="AU72" i="3"/>
  <c r="BR72" i="3"/>
  <c r="BT72" i="3"/>
  <c r="BV72" i="3"/>
  <c r="BX72" i="3"/>
  <c r="BZ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BU73" i="3" s="1"/>
  <c r="W73" i="3"/>
  <c r="X73" i="3"/>
  <c r="Y73" i="3"/>
  <c r="Z73" i="3"/>
  <c r="BV73" i="3" s="1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BQ73" i="3"/>
  <c r="BS73" i="3"/>
  <c r="BT73" i="3"/>
  <c r="BW73" i="3"/>
  <c r="BY73" i="3"/>
  <c r="BZ73" i="3"/>
  <c r="CA73" i="3"/>
  <c r="B74" i="3"/>
  <c r="C74" i="3"/>
  <c r="D74" i="3"/>
  <c r="E74" i="3"/>
  <c r="F74" i="3"/>
  <c r="G74" i="3"/>
  <c r="H74" i="3"/>
  <c r="I74" i="3"/>
  <c r="J74" i="3"/>
  <c r="BR74" i="3" s="1"/>
  <c r="K74" i="3"/>
  <c r="L74" i="3"/>
  <c r="M74" i="3"/>
  <c r="N74" i="3"/>
  <c r="BS74" i="3" s="1"/>
  <c r="O74" i="3"/>
  <c r="P74" i="3"/>
  <c r="Q74" i="3"/>
  <c r="R74" i="3"/>
  <c r="BT74" i="3" s="1"/>
  <c r="S74" i="3"/>
  <c r="T74" i="3"/>
  <c r="U74" i="3"/>
  <c r="V74" i="3"/>
  <c r="BU74" i="3" s="1"/>
  <c r="W74" i="3"/>
  <c r="X74" i="3"/>
  <c r="Y74" i="3"/>
  <c r="Z74" i="3"/>
  <c r="BV74" i="3" s="1"/>
  <c r="AA74" i="3"/>
  <c r="AB74" i="3"/>
  <c r="AC74" i="3"/>
  <c r="AD74" i="3"/>
  <c r="BW74" i="3" s="1"/>
  <c r="AE74" i="3"/>
  <c r="AF74" i="3"/>
  <c r="AG74" i="3"/>
  <c r="AH74" i="3"/>
  <c r="BX74" i="3" s="1"/>
  <c r="AI74" i="3"/>
  <c r="AJ74" i="3"/>
  <c r="AK74" i="3"/>
  <c r="AL74" i="3"/>
  <c r="BY74" i="3" s="1"/>
  <c r="AM74" i="3"/>
  <c r="AN74" i="3"/>
  <c r="AO74" i="3"/>
  <c r="AP74" i="3"/>
  <c r="AQ74" i="3"/>
  <c r="AR74" i="3"/>
  <c r="AS74" i="3"/>
  <c r="AT74" i="3"/>
  <c r="CA74" i="3" s="1"/>
  <c r="AU74" i="3"/>
  <c r="BQ74" i="3"/>
  <c r="B75" i="3"/>
  <c r="C75" i="3"/>
  <c r="D75" i="3"/>
  <c r="E75" i="3"/>
  <c r="F75" i="3"/>
  <c r="BQ75" i="3" s="1"/>
  <c r="G75" i="3"/>
  <c r="H75" i="3"/>
  <c r="I75" i="3"/>
  <c r="J75" i="3"/>
  <c r="K75" i="3"/>
  <c r="L75" i="3"/>
  <c r="M75" i="3"/>
  <c r="N75" i="3"/>
  <c r="BS75" i="3" s="1"/>
  <c r="O75" i="3"/>
  <c r="P75" i="3"/>
  <c r="Q75" i="3"/>
  <c r="R75" i="3"/>
  <c r="S75" i="3"/>
  <c r="T75" i="3"/>
  <c r="U75" i="3"/>
  <c r="V75" i="3"/>
  <c r="BU75" i="3" s="1"/>
  <c r="W75" i="3"/>
  <c r="X75" i="3"/>
  <c r="Y75" i="3"/>
  <c r="Z75" i="3"/>
  <c r="AA75" i="3"/>
  <c r="AB75" i="3"/>
  <c r="AC75" i="3"/>
  <c r="AD75" i="3"/>
  <c r="BW75" i="3" s="1"/>
  <c r="AE75" i="3"/>
  <c r="AF75" i="3"/>
  <c r="AG75" i="3"/>
  <c r="AH75" i="3"/>
  <c r="AI75" i="3"/>
  <c r="AJ75" i="3"/>
  <c r="AK75" i="3"/>
  <c r="AL75" i="3"/>
  <c r="BY75" i="3" s="1"/>
  <c r="AM75" i="3"/>
  <c r="AN75" i="3"/>
  <c r="AO75" i="3"/>
  <c r="AP75" i="3"/>
  <c r="AQ75" i="3"/>
  <c r="AR75" i="3"/>
  <c r="AS75" i="3"/>
  <c r="AT75" i="3"/>
  <c r="CA75" i="3" s="1"/>
  <c r="AU75" i="3"/>
  <c r="BX75" i="3"/>
  <c r="B76" i="3"/>
  <c r="C76" i="3"/>
  <c r="D76" i="3"/>
  <c r="E76" i="3"/>
  <c r="F76" i="3"/>
  <c r="G76" i="3"/>
  <c r="H76" i="3"/>
  <c r="I76" i="3"/>
  <c r="J76" i="3"/>
  <c r="BR76" i="3" s="1"/>
  <c r="K76" i="3"/>
  <c r="L76" i="3"/>
  <c r="M76" i="3"/>
  <c r="N76" i="3"/>
  <c r="O76" i="3"/>
  <c r="P76" i="3"/>
  <c r="Q76" i="3"/>
  <c r="R76" i="3"/>
  <c r="S76" i="3"/>
  <c r="T76" i="3"/>
  <c r="U76" i="3"/>
  <c r="V76" i="3"/>
  <c r="BU76" i="3" s="1"/>
  <c r="W76" i="3"/>
  <c r="X76" i="3"/>
  <c r="Y76" i="3"/>
  <c r="Z76" i="3"/>
  <c r="BV76" i="3" s="1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CA76" i="3" s="1"/>
  <c r="AU76" i="3"/>
  <c r="BQ76" i="3"/>
  <c r="BS76" i="3"/>
  <c r="BT76" i="3"/>
  <c r="BW76" i="3"/>
  <c r="BY76" i="3"/>
  <c r="B79" i="3"/>
  <c r="C79" i="3"/>
  <c r="D79" i="3"/>
  <c r="E79" i="3"/>
  <c r="F79" i="3"/>
  <c r="BQ79" i="3" s="1"/>
  <c r="G79" i="3"/>
  <c r="H79" i="3"/>
  <c r="I79" i="3"/>
  <c r="J79" i="3"/>
  <c r="K79" i="3"/>
  <c r="L79" i="3"/>
  <c r="M79" i="3"/>
  <c r="N79" i="3"/>
  <c r="BS79" i="3" s="1"/>
  <c r="O79" i="3"/>
  <c r="P79" i="3"/>
  <c r="Q79" i="3"/>
  <c r="R79" i="3"/>
  <c r="S79" i="3"/>
  <c r="T79" i="3"/>
  <c r="U79" i="3"/>
  <c r="V79" i="3"/>
  <c r="BU79" i="3" s="1"/>
  <c r="W79" i="3"/>
  <c r="X79" i="3"/>
  <c r="Y79" i="3"/>
  <c r="Z79" i="3"/>
  <c r="AA79" i="3"/>
  <c r="AB79" i="3"/>
  <c r="AC79" i="3"/>
  <c r="AD79" i="3"/>
  <c r="BW79" i="3" s="1"/>
  <c r="AE79" i="3"/>
  <c r="AF79" i="3"/>
  <c r="AG79" i="3"/>
  <c r="AH79" i="3"/>
  <c r="AI79" i="3"/>
  <c r="AJ79" i="3"/>
  <c r="AK79" i="3"/>
  <c r="AL79" i="3"/>
  <c r="BY79" i="3" s="1"/>
  <c r="AM79" i="3"/>
  <c r="AN79" i="3"/>
  <c r="AO79" i="3"/>
  <c r="AP79" i="3"/>
  <c r="BZ79" i="3" s="1"/>
  <c r="AQ79" i="3"/>
  <c r="AR79" i="3"/>
  <c r="AS79" i="3"/>
  <c r="AT79" i="3"/>
  <c r="CA79" i="3" s="1"/>
  <c r="AU79" i="3"/>
  <c r="BV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V80" i="3"/>
  <c r="W80" i="3"/>
  <c r="W95" i="3" s="1"/>
  <c r="X80" i="3"/>
  <c r="Y80" i="3"/>
  <c r="Z80" i="3"/>
  <c r="AA80" i="3"/>
  <c r="AB80" i="3"/>
  <c r="AC80" i="3"/>
  <c r="AD80" i="3"/>
  <c r="AE80" i="3"/>
  <c r="AF80" i="3"/>
  <c r="AG80" i="3"/>
  <c r="AH80" i="3"/>
  <c r="BX80" i="3" s="1"/>
  <c r="AI80" i="3"/>
  <c r="AJ80" i="3"/>
  <c r="AK80" i="3"/>
  <c r="AL80" i="3"/>
  <c r="AM80" i="3"/>
  <c r="AM95" i="3" s="1"/>
  <c r="AN80" i="3"/>
  <c r="AO80" i="3"/>
  <c r="AP80" i="3"/>
  <c r="BZ80" i="3" s="1"/>
  <c r="AQ80" i="3"/>
  <c r="AR80" i="3"/>
  <c r="AS80" i="3"/>
  <c r="AT80" i="3"/>
  <c r="AU80" i="3"/>
  <c r="AU95" i="3" s="1"/>
  <c r="BR80" i="3"/>
  <c r="BT80" i="3"/>
  <c r="BV80" i="3"/>
  <c r="B81" i="3"/>
  <c r="C81" i="3"/>
  <c r="C82" i="3" s="1"/>
  <c r="D81" i="3"/>
  <c r="E81" i="3"/>
  <c r="F81" i="3"/>
  <c r="BQ81" i="3" s="1"/>
  <c r="G81" i="3"/>
  <c r="H81" i="3"/>
  <c r="I81" i="3"/>
  <c r="J81" i="3"/>
  <c r="BR81" i="3" s="1"/>
  <c r="K81" i="3"/>
  <c r="L81" i="3"/>
  <c r="M81" i="3"/>
  <c r="N81" i="3"/>
  <c r="BS81" i="3" s="1"/>
  <c r="O81" i="3"/>
  <c r="P81" i="3"/>
  <c r="Q81" i="3"/>
  <c r="R81" i="3"/>
  <c r="BT81" i="3" s="1"/>
  <c r="S81" i="3"/>
  <c r="T81" i="3"/>
  <c r="U81" i="3"/>
  <c r="V81" i="3"/>
  <c r="BU81" i="3" s="1"/>
  <c r="W81" i="3"/>
  <c r="X81" i="3"/>
  <c r="Y81" i="3"/>
  <c r="Z81" i="3"/>
  <c r="BV81" i="3" s="1"/>
  <c r="AA81" i="3"/>
  <c r="AB81" i="3"/>
  <c r="AC81" i="3"/>
  <c r="AD81" i="3"/>
  <c r="BW81" i="3" s="1"/>
  <c r="AE81" i="3"/>
  <c r="AF81" i="3"/>
  <c r="AG81" i="3"/>
  <c r="AH81" i="3"/>
  <c r="BX81" i="3" s="1"/>
  <c r="AI81" i="3"/>
  <c r="AJ81" i="3"/>
  <c r="AK81" i="3"/>
  <c r="AL81" i="3"/>
  <c r="BY81" i="3" s="1"/>
  <c r="AM81" i="3"/>
  <c r="AN81" i="3"/>
  <c r="AO81" i="3"/>
  <c r="AP81" i="3"/>
  <c r="BZ81" i="3" s="1"/>
  <c r="AQ81" i="3"/>
  <c r="AR81" i="3"/>
  <c r="AR82" i="3" s="1"/>
  <c r="AS81" i="3"/>
  <c r="AT81" i="3"/>
  <c r="CA81" i="3" s="1"/>
  <c r="AU81" i="3"/>
  <c r="D82" i="3"/>
  <c r="AB82" i="3"/>
  <c r="AA89" i="3"/>
  <c r="O95" i="3" l="1"/>
  <c r="AY95" i="3"/>
  <c r="G93" i="3"/>
  <c r="R89" i="3"/>
  <c r="BD84" i="4"/>
  <c r="G89" i="3"/>
  <c r="AC89" i="3"/>
  <c r="AO95" i="3"/>
  <c r="AG95" i="3"/>
  <c r="Y95" i="3"/>
  <c r="AF101" i="3"/>
  <c r="BT99" i="3"/>
  <c r="AN101" i="3"/>
  <c r="AB101" i="3"/>
  <c r="H101" i="3"/>
  <c r="AO82" i="3"/>
  <c r="AG82" i="3"/>
  <c r="P82" i="3"/>
  <c r="H82" i="3"/>
  <c r="AF82" i="3"/>
  <c r="AT89" i="3"/>
  <c r="AL89" i="3"/>
  <c r="AD89" i="3"/>
  <c r="N93" i="3"/>
  <c r="F93" i="3"/>
  <c r="BX112" i="3"/>
  <c r="AR100" i="3"/>
  <c r="AJ100" i="3"/>
  <c r="AB100" i="3"/>
  <c r="L100" i="3"/>
  <c r="D100" i="3"/>
  <c r="AS91" i="3"/>
  <c r="AJ94" i="3"/>
  <c r="AB94" i="3"/>
  <c r="T90" i="3"/>
  <c r="L90" i="3"/>
  <c r="D91" i="3"/>
  <c r="R95" i="3"/>
  <c r="J93" i="3"/>
  <c r="B95" i="3"/>
  <c r="W77" i="3"/>
  <c r="AQ91" i="3"/>
  <c r="AI91" i="3"/>
  <c r="AA90" i="3"/>
  <c r="S91" i="3"/>
  <c r="K90" i="3"/>
  <c r="C91" i="3"/>
  <c r="Y89" i="3"/>
  <c r="I93" i="3"/>
  <c r="BZ115" i="3"/>
  <c r="I82" i="3"/>
  <c r="AP95" i="3"/>
  <c r="V77" i="3"/>
  <c r="BU77" i="3" s="1"/>
  <c r="AN94" i="3"/>
  <c r="H90" i="3"/>
  <c r="AH82" i="3"/>
  <c r="BX82" i="3" s="1"/>
  <c r="Z82" i="3"/>
  <c r="BV82" i="3" s="1"/>
  <c r="R82" i="3"/>
  <c r="BT82" i="3" s="1"/>
  <c r="B82" i="3"/>
  <c r="AT91" i="3"/>
  <c r="AK94" i="3"/>
  <c r="AC94" i="3"/>
  <c r="U90" i="3"/>
  <c r="M90" i="3"/>
  <c r="E94" i="3"/>
  <c r="AQ95" i="3"/>
  <c r="AI89" i="3"/>
  <c r="AA95" i="3"/>
  <c r="S95" i="3"/>
  <c r="K95" i="3"/>
  <c r="C95" i="3"/>
  <c r="Z95" i="3"/>
  <c r="AS82" i="3"/>
  <c r="AS84" i="3" s="1"/>
  <c r="AK82" i="3"/>
  <c r="AN82" i="3"/>
  <c r="AT77" i="3"/>
  <c r="CA77" i="3" s="1"/>
  <c r="AH91" i="3"/>
  <c r="Z90" i="3"/>
  <c r="R91" i="3"/>
  <c r="J91" i="3"/>
  <c r="B90" i="3"/>
  <c r="V112" i="3"/>
  <c r="AN77" i="3"/>
  <c r="Q95" i="3"/>
  <c r="AS77" i="3"/>
  <c r="AK77" i="3"/>
  <c r="AC77" i="3"/>
  <c r="U77" i="3"/>
  <c r="M77" i="3"/>
  <c r="M84" i="3" s="1"/>
  <c r="E77" i="3"/>
  <c r="Y90" i="3"/>
  <c r="Q90" i="3"/>
  <c r="I90" i="3"/>
  <c r="AU93" i="3"/>
  <c r="AM93" i="3"/>
  <c r="AE89" i="3"/>
  <c r="W89" i="3"/>
  <c r="O89" i="3"/>
  <c r="G95" i="3"/>
  <c r="AP100" i="3"/>
  <c r="AH100" i="3"/>
  <c r="Z100" i="3"/>
  <c r="R100" i="3"/>
  <c r="J100" i="3"/>
  <c r="B100" i="3"/>
  <c r="AH95" i="3"/>
  <c r="F77" i="3"/>
  <c r="BQ77" i="3" s="1"/>
  <c r="AS89" i="3"/>
  <c r="AK93" i="3"/>
  <c r="AC95" i="3"/>
  <c r="U89" i="3"/>
  <c r="E93" i="3"/>
  <c r="Q82" i="3"/>
  <c r="AF94" i="3"/>
  <c r="P91" i="3"/>
  <c r="AQ82" i="3"/>
  <c r="AI82" i="3"/>
  <c r="S82" i="3"/>
  <c r="K82" i="3"/>
  <c r="V91" i="3"/>
  <c r="AR95" i="3"/>
  <c r="AJ95" i="3"/>
  <c r="AB95" i="3"/>
  <c r="T95" i="3"/>
  <c r="L95" i="3"/>
  <c r="D95" i="3"/>
  <c r="CD114" i="3"/>
  <c r="BX103" i="3"/>
  <c r="L101" i="3"/>
  <c r="J95" i="3"/>
  <c r="AI95" i="3"/>
  <c r="AJ91" i="3"/>
  <c r="AK91" i="3"/>
  <c r="U94" i="3"/>
  <c r="L91" i="3"/>
  <c r="E91" i="3"/>
  <c r="T94" i="3"/>
  <c r="E90" i="3"/>
  <c r="D90" i="3"/>
  <c r="C90" i="3"/>
  <c r="T100" i="3"/>
  <c r="AA305" i="1"/>
  <c r="Z89" i="3"/>
  <c r="BP305" i="1"/>
  <c r="AH101" i="3"/>
  <c r="BQ99" i="3"/>
  <c r="BQ101" i="3" s="1"/>
  <c r="BW103" i="3"/>
  <c r="BU103" i="3"/>
  <c r="BQ103" i="3"/>
  <c r="J101" i="3"/>
  <c r="AI101" i="3"/>
  <c r="AO100" i="3"/>
  <c r="AG100" i="3"/>
  <c r="Y100" i="3"/>
  <c r="Q100" i="3"/>
  <c r="I100" i="3"/>
  <c r="O112" i="3"/>
  <c r="BT112" i="3" s="1"/>
  <c r="AR101" i="3"/>
  <c r="AM100" i="3"/>
  <c r="G100" i="3"/>
  <c r="BV112" i="3"/>
  <c r="AJ101" i="3"/>
  <c r="X101" i="3"/>
  <c r="P101" i="3"/>
  <c r="AD112" i="3"/>
  <c r="Z101" i="3"/>
  <c r="CF114" i="3"/>
  <c r="AL112" i="3"/>
  <c r="F112" i="3"/>
  <c r="AP101" i="3"/>
  <c r="V100" i="3"/>
  <c r="T101" i="3"/>
  <c r="CC114" i="3"/>
  <c r="AT112" i="3"/>
  <c r="N112" i="3"/>
  <c r="R101" i="3"/>
  <c r="AT100" i="3"/>
  <c r="AX100" i="3" s="1"/>
  <c r="AL100" i="3"/>
  <c r="AD100" i="3"/>
  <c r="N100" i="3"/>
  <c r="F100" i="3"/>
  <c r="AS94" i="3"/>
  <c r="AB91" i="3"/>
  <c r="AC90" i="3"/>
  <c r="AQ93" i="3"/>
  <c r="AA93" i="3"/>
  <c r="S93" i="3"/>
  <c r="K93" i="3"/>
  <c r="C93" i="3"/>
  <c r="M94" i="3"/>
  <c r="AI93" i="3"/>
  <c r="U91" i="3"/>
  <c r="AB90" i="3"/>
  <c r="AP93" i="3"/>
  <c r="R93" i="3"/>
  <c r="B93" i="3"/>
  <c r="AQ89" i="3"/>
  <c r="S89" i="3"/>
  <c r="K89" i="3"/>
  <c r="C89" i="3"/>
  <c r="Z305" i="1"/>
  <c r="T91" i="3"/>
  <c r="AP89" i="3"/>
  <c r="J89" i="3"/>
  <c r="B89" i="3"/>
  <c r="BW98" i="3"/>
  <c r="AC91" i="3"/>
  <c r="AB305" i="1"/>
  <c r="M91" i="3"/>
  <c r="AQ305" i="1"/>
  <c r="BQ296" i="1"/>
  <c r="K91" i="3"/>
  <c r="AE93" i="3"/>
  <c r="AA91" i="3"/>
  <c r="BU98" i="3"/>
  <c r="AP305" i="1"/>
  <c r="Z91" i="3"/>
  <c r="X305" i="1"/>
  <c r="AC93" i="3"/>
  <c r="AU305" i="1"/>
  <c r="AM305" i="1"/>
  <c r="BX301" i="1"/>
  <c r="W305" i="1"/>
  <c r="BT301" i="1"/>
  <c r="G305" i="1"/>
  <c r="E95" i="3"/>
  <c r="BS303" i="1"/>
  <c r="BV303" i="1"/>
  <c r="J305" i="1"/>
  <c r="AO305" i="1"/>
  <c r="AG305" i="1"/>
  <c r="M95" i="3"/>
  <c r="AE305" i="1"/>
  <c r="U93" i="3"/>
  <c r="AK95" i="3"/>
  <c r="AR93" i="3"/>
  <c r="AJ93" i="3"/>
  <c r="AB93" i="3"/>
  <c r="T93" i="3"/>
  <c r="L93" i="3"/>
  <c r="D93" i="3"/>
  <c r="AN91" i="3"/>
  <c r="AF91" i="3"/>
  <c r="X91" i="3"/>
  <c r="H91" i="3"/>
  <c r="O305" i="1"/>
  <c r="AR305" i="1"/>
  <c r="AJ305" i="1"/>
  <c r="T305" i="1"/>
  <c r="L305" i="1"/>
  <c r="D305" i="1"/>
  <c r="K305" i="1"/>
  <c r="AI305" i="1"/>
  <c r="S305" i="1"/>
  <c r="BS301" i="1"/>
  <c r="C305" i="1"/>
  <c r="AS93" i="3"/>
  <c r="AH305" i="1"/>
  <c r="BV301" i="1"/>
  <c r="R305" i="1"/>
  <c r="BR301" i="1"/>
  <c r="B305" i="1"/>
  <c r="BU296" i="1"/>
  <c r="AK89" i="3"/>
  <c r="CA303" i="1"/>
  <c r="BY303" i="1"/>
  <c r="BW303" i="1"/>
  <c r="BQ303" i="1"/>
  <c r="BZ301" i="1"/>
  <c r="BS296" i="1"/>
  <c r="S90" i="3"/>
  <c r="AG93" i="3"/>
  <c r="I95" i="3"/>
  <c r="K94" i="3"/>
  <c r="W93" i="3"/>
  <c r="AU89" i="3"/>
  <c r="AO89" i="3"/>
  <c r="AG89" i="3"/>
  <c r="I89" i="3"/>
  <c r="BU303" i="1"/>
  <c r="Q93" i="3"/>
  <c r="AM89" i="3"/>
  <c r="D94" i="3"/>
  <c r="Y305" i="1"/>
  <c r="Q305" i="1"/>
  <c r="I305" i="1"/>
  <c r="AQ94" i="3"/>
  <c r="Y93" i="3"/>
  <c r="BV296" i="1"/>
  <c r="AI94" i="3"/>
  <c r="O93" i="3"/>
  <c r="AA94" i="3"/>
  <c r="C94" i="3"/>
  <c r="BY67" i="3"/>
  <c r="BW67" i="3"/>
  <c r="BS67" i="3"/>
  <c r="BQ67" i="3"/>
  <c r="AO93" i="3"/>
  <c r="Q89" i="3"/>
  <c r="I91" i="3"/>
  <c r="CA66" i="3"/>
  <c r="BY66" i="3"/>
  <c r="AT305" i="1"/>
  <c r="AL305" i="1"/>
  <c r="AD305" i="1"/>
  <c r="V305" i="1"/>
  <c r="N305" i="1"/>
  <c r="F305" i="1"/>
  <c r="CA298" i="1"/>
  <c r="CB295" i="1" s="1"/>
  <c r="AE95" i="3"/>
  <c r="Y94" i="3"/>
  <c r="AS305" i="1"/>
  <c r="AK305" i="1"/>
  <c r="U305" i="1"/>
  <c r="M305" i="1"/>
  <c r="F94" i="3"/>
  <c r="AD93" i="3"/>
  <c r="F91" i="3"/>
  <c r="V90" i="3"/>
  <c r="F90" i="3"/>
  <c r="V94" i="3"/>
  <c r="AD91" i="3"/>
  <c r="AL94" i="3"/>
  <c r="AT93" i="3"/>
  <c r="N89" i="3"/>
  <c r="BU67" i="3"/>
  <c r="BW301" i="1"/>
  <c r="AC305" i="1"/>
  <c r="BQ301" i="1"/>
  <c r="E305" i="1"/>
  <c r="BR296" i="1"/>
  <c r="N91" i="3"/>
  <c r="N90" i="3"/>
  <c r="BZ303" i="1"/>
  <c r="AN305" i="1"/>
  <c r="BX303" i="1"/>
  <c r="AF305" i="1"/>
  <c r="P305" i="1"/>
  <c r="BT303" i="1"/>
  <c r="BR303" i="1"/>
  <c r="H305" i="1"/>
  <c r="N94" i="3"/>
  <c r="BY301" i="1"/>
  <c r="BU301" i="1"/>
  <c r="BT296" i="1"/>
  <c r="AL91" i="3"/>
  <c r="CA301" i="1"/>
  <c r="AT94" i="3"/>
  <c r="AD94" i="3"/>
  <c r="BV98" i="3"/>
  <c r="J82" i="3"/>
  <c r="BR82" i="3" s="1"/>
  <c r="BR79" i="3"/>
  <c r="G111" i="3"/>
  <c r="BR111" i="3" s="1"/>
  <c r="BQ115" i="3"/>
  <c r="B94" i="3"/>
  <c r="Q91" i="3"/>
  <c r="BX79" i="3"/>
  <c r="X77" i="3"/>
  <c r="AO91" i="3"/>
  <c r="AG91" i="3"/>
  <c r="AF111" i="3"/>
  <c r="X111" i="3"/>
  <c r="P111" i="3"/>
  <c r="H111" i="3"/>
  <c r="W100" i="3"/>
  <c r="BW115" i="3"/>
  <c r="AE111" i="3"/>
  <c r="BX111" i="3" s="1"/>
  <c r="AO101" i="3"/>
  <c r="AK112" i="3"/>
  <c r="AK101" i="3"/>
  <c r="AK100" i="3"/>
  <c r="Q101" i="3"/>
  <c r="M112" i="3"/>
  <c r="M100" i="3"/>
  <c r="M101" i="3"/>
  <c r="AH94" i="3"/>
  <c r="Y82" i="3"/>
  <c r="P90" i="3"/>
  <c r="AL111" i="3"/>
  <c r="N111" i="3"/>
  <c r="U100" i="3"/>
  <c r="AU100" i="3"/>
  <c r="BZ98" i="3"/>
  <c r="BR98" i="3"/>
  <c r="AP94" i="3"/>
  <c r="J94" i="3"/>
  <c r="J90" i="3"/>
  <c r="AA82" i="3"/>
  <c r="BT79" i="3"/>
  <c r="X82" i="3"/>
  <c r="G77" i="3"/>
  <c r="BX76" i="3"/>
  <c r="AH93" i="3"/>
  <c r="AF77" i="3"/>
  <c r="P77" i="3"/>
  <c r="P84" i="3" s="1"/>
  <c r="H77" i="3"/>
  <c r="H84" i="3" s="1"/>
  <c r="CE114" i="3"/>
  <c r="AU111" i="3"/>
  <c r="CB111" i="3" s="1"/>
  <c r="W111" i="3"/>
  <c r="BV111" i="3" s="1"/>
  <c r="Y91" i="3"/>
  <c r="AT111" i="3"/>
  <c r="F111" i="3"/>
  <c r="AO94" i="3"/>
  <c r="S94" i="3"/>
  <c r="E82" i="3"/>
  <c r="O77" i="3"/>
  <c r="R94" i="3"/>
  <c r="H94" i="3"/>
  <c r="R90" i="3"/>
  <c r="F89" i="3"/>
  <c r="BX73" i="3"/>
  <c r="AH89" i="3"/>
  <c r="BY72" i="3"/>
  <c r="AL77" i="3"/>
  <c r="BY77" i="3" s="1"/>
  <c r="BS72" i="3"/>
  <c r="N77" i="3"/>
  <c r="BS77" i="3" s="1"/>
  <c r="M93" i="3"/>
  <c r="M89" i="3"/>
  <c r="V111" i="3"/>
  <c r="BS99" i="3"/>
  <c r="BY115" i="3"/>
  <c r="BX98" i="3"/>
  <c r="AE100" i="3"/>
  <c r="I94" i="3"/>
  <c r="AU77" i="3"/>
  <c r="AM77" i="3"/>
  <c r="V93" i="3"/>
  <c r="V89" i="3"/>
  <c r="AS95" i="3"/>
  <c r="Q94" i="3"/>
  <c r="AL93" i="3"/>
  <c r="E89" i="3"/>
  <c r="AP82" i="3"/>
  <c r="BZ82" i="3" s="1"/>
  <c r="BZ76" i="3"/>
  <c r="BR73" i="3"/>
  <c r="BW66" i="3"/>
  <c r="BU66" i="3"/>
  <c r="BU115" i="3"/>
  <c r="BZ112" i="3"/>
  <c r="BR112" i="3"/>
  <c r="BZ103" i="3"/>
  <c r="BV103" i="3"/>
  <c r="BT103" i="3"/>
  <c r="BR103" i="3"/>
  <c r="O111" i="3"/>
  <c r="BT111" i="3" s="1"/>
  <c r="AS100" i="3"/>
  <c r="AW100" i="3" s="1"/>
  <c r="AS101" i="3"/>
  <c r="AS112" i="3"/>
  <c r="AG101" i="3"/>
  <c r="AC100" i="3"/>
  <c r="AC101" i="3"/>
  <c r="AC112" i="3"/>
  <c r="Y101" i="3"/>
  <c r="U112" i="3"/>
  <c r="I101" i="3"/>
  <c r="E100" i="3"/>
  <c r="E112" i="3"/>
  <c r="AG94" i="3"/>
  <c r="X90" i="3"/>
  <c r="X94" i="3"/>
  <c r="AD111" i="3"/>
  <c r="O100" i="3"/>
  <c r="BT98" i="3"/>
  <c r="M82" i="3"/>
  <c r="AE77" i="3"/>
  <c r="Z94" i="3"/>
  <c r="P94" i="3"/>
  <c r="Z93" i="3"/>
  <c r="AJ82" i="3"/>
  <c r="T82" i="3"/>
  <c r="L94" i="3"/>
  <c r="L82" i="3"/>
  <c r="AD77" i="3"/>
  <c r="BW77" i="3" s="1"/>
  <c r="BZ74" i="3"/>
  <c r="AP91" i="3"/>
  <c r="B91" i="3"/>
  <c r="BS66" i="3"/>
  <c r="BQ66" i="3"/>
  <c r="BZ67" i="3"/>
  <c r="BX67" i="3"/>
  <c r="BV67" i="3"/>
  <c r="BT67" i="3"/>
  <c r="BR67" i="3"/>
  <c r="AK111" i="3"/>
  <c r="U111" i="3"/>
  <c r="AC82" i="3"/>
  <c r="AJ111" i="3"/>
  <c r="AQ100" i="3"/>
  <c r="AQ101" i="3"/>
  <c r="AQ112" i="3"/>
  <c r="AI100" i="3"/>
  <c r="AI112" i="3"/>
  <c r="BY99" i="3"/>
  <c r="BW99" i="3"/>
  <c r="AA100" i="3"/>
  <c r="AA112" i="3"/>
  <c r="S100" i="3"/>
  <c r="BU99" i="3"/>
  <c r="S112" i="3"/>
  <c r="S101" i="3"/>
  <c r="K100" i="3"/>
  <c r="K112" i="3"/>
  <c r="K101" i="3"/>
  <c r="C100" i="3"/>
  <c r="C112" i="3"/>
  <c r="BP112" i="3" s="1"/>
  <c r="AU82" i="3"/>
  <c r="AM82" i="3"/>
  <c r="AE82" i="3"/>
  <c r="W82" i="3"/>
  <c r="O82" i="3"/>
  <c r="O84" i="3" s="1"/>
  <c r="G82" i="3"/>
  <c r="L111" i="3"/>
  <c r="AA101" i="3"/>
  <c r="AN89" i="3"/>
  <c r="AF89" i="3"/>
  <c r="X89" i="3"/>
  <c r="P89" i="3"/>
  <c r="H89" i="3"/>
  <c r="AP111" i="3"/>
  <c r="K111" i="3"/>
  <c r="AH77" i="3"/>
  <c r="BX77" i="3" s="1"/>
  <c r="B77" i="3"/>
  <c r="AQ77" i="3"/>
  <c r="AI77" i="3"/>
  <c r="AA77" i="3"/>
  <c r="S77" i="3"/>
  <c r="K77" i="3"/>
  <c r="K84" i="3" s="1"/>
  <c r="C77" i="3"/>
  <c r="C84" i="3" s="1"/>
  <c r="BV115" i="3"/>
  <c r="AO111" i="3"/>
  <c r="AG111" i="3"/>
  <c r="Y111" i="3"/>
  <c r="I111" i="3"/>
  <c r="AB111" i="3"/>
  <c r="J111" i="3"/>
  <c r="CA99" i="3"/>
  <c r="CA103" i="3"/>
  <c r="BS103" i="3"/>
  <c r="AN100" i="3"/>
  <c r="AF100" i="3"/>
  <c r="X100" i="3"/>
  <c r="P100" i="3"/>
  <c r="H100" i="3"/>
  <c r="CA98" i="3"/>
  <c r="BY98" i="3"/>
  <c r="BS98" i="3"/>
  <c r="BQ98" i="3"/>
  <c r="BV99" i="3"/>
  <c r="AU101" i="3"/>
  <c r="AM101" i="3"/>
  <c r="BZ99" i="3"/>
  <c r="BX99" i="3"/>
  <c r="AE101" i="3"/>
  <c r="W101" i="3"/>
  <c r="O101" i="3"/>
  <c r="G101" i="3"/>
  <c r="BR99" i="3"/>
  <c r="BY103" i="3"/>
  <c r="AR89" i="3"/>
  <c r="AR77" i="3"/>
  <c r="AR84" i="3" s="1"/>
  <c r="AJ89" i="3"/>
  <c r="AJ77" i="3"/>
  <c r="AJ84" i="3" s="1"/>
  <c r="AB89" i="3"/>
  <c r="AB77" i="3"/>
  <c r="AB84" i="3" s="1"/>
  <c r="T89" i="3"/>
  <c r="T77" i="3"/>
  <c r="T84" i="3" s="1"/>
  <c r="L89" i="3"/>
  <c r="L77" i="3"/>
  <c r="D89" i="3"/>
  <c r="D77" i="3"/>
  <c r="D84" i="3" s="1"/>
  <c r="AL82" i="3"/>
  <c r="BY80" i="3"/>
  <c r="BR66" i="3"/>
  <c r="W90" i="3"/>
  <c r="O90" i="3"/>
  <c r="G90" i="3"/>
  <c r="BV66" i="3"/>
  <c r="AD82" i="3"/>
  <c r="BW80" i="3"/>
  <c r="BT66" i="3"/>
  <c r="V82" i="3"/>
  <c r="BU80" i="3"/>
  <c r="BZ66" i="3"/>
  <c r="AN95" i="3"/>
  <c r="AF95" i="3"/>
  <c r="X95" i="3"/>
  <c r="P95" i="3"/>
  <c r="H95" i="3"/>
  <c r="F82" i="3"/>
  <c r="BQ80" i="3"/>
  <c r="BZ75" i="3"/>
  <c r="AP77" i="3"/>
  <c r="Z77" i="3"/>
  <c r="BV75" i="3"/>
  <c r="R77" i="3"/>
  <c r="BT75" i="3"/>
  <c r="BR75" i="3"/>
  <c r="J77" i="3"/>
  <c r="AC84" i="3"/>
  <c r="N82" i="3"/>
  <c r="BS80" i="3"/>
  <c r="AT82" i="3"/>
  <c r="CA80" i="3"/>
  <c r="BX66" i="3"/>
  <c r="AT95" i="3"/>
  <c r="AL95" i="3"/>
  <c r="AD95" i="3"/>
  <c r="V95" i="3"/>
  <c r="N95" i="3"/>
  <c r="F95" i="3"/>
  <c r="AM94" i="3"/>
  <c r="AE94" i="3"/>
  <c r="W94" i="3"/>
  <c r="O94" i="3"/>
  <c r="G94" i="3"/>
  <c r="AN93" i="3"/>
  <c r="AF93" i="3"/>
  <c r="X93" i="3"/>
  <c r="P93" i="3"/>
  <c r="H93" i="3"/>
  <c r="AM91" i="3"/>
  <c r="AE91" i="3"/>
  <c r="W91" i="3"/>
  <c r="O91" i="3"/>
  <c r="G91" i="3"/>
  <c r="AO77" i="3"/>
  <c r="AG77" i="3"/>
  <c r="AG84" i="3" s="1"/>
  <c r="Y77" i="3"/>
  <c r="Q77" i="3"/>
  <c r="I77" i="3"/>
  <c r="I84" i="3" s="1"/>
  <c r="AX95" i="3" l="1"/>
  <c r="AX94" i="3"/>
  <c r="AX93" i="3"/>
  <c r="AY89" i="3"/>
  <c r="AZ93" i="3"/>
  <c r="AZ95" i="3"/>
  <c r="BT100" i="3"/>
  <c r="AY93" i="3"/>
  <c r="BC95" i="3"/>
  <c r="BD95" i="3"/>
  <c r="BH84" i="4"/>
  <c r="S84" i="3"/>
  <c r="I85" i="3"/>
  <c r="AO84" i="3"/>
  <c r="AA84" i="3"/>
  <c r="AB85" i="3" s="1"/>
  <c r="W84" i="3"/>
  <c r="Q84" i="3"/>
  <c r="Q85" i="3" s="1"/>
  <c r="AI84" i="3"/>
  <c r="AJ85" i="3" s="1"/>
  <c r="E84" i="3"/>
  <c r="AK84" i="3"/>
  <c r="AH84" i="3"/>
  <c r="AS85" i="3"/>
  <c r="BQ100" i="3"/>
  <c r="AQ84" i="3"/>
  <c r="AR85" i="3"/>
  <c r="B84" i="3"/>
  <c r="AN84" i="3"/>
  <c r="C85" i="3"/>
  <c r="AF84" i="3"/>
  <c r="D85" i="3"/>
  <c r="AE84" i="3"/>
  <c r="AF85" i="3" s="1"/>
  <c r="AM84" i="3"/>
  <c r="AN85" i="3" s="1"/>
  <c r="AU84" i="3"/>
  <c r="BS112" i="3"/>
  <c r="BZ305" i="1"/>
  <c r="BX305" i="1"/>
  <c r="BV305" i="1"/>
  <c r="BS305" i="1"/>
  <c r="BT305" i="1"/>
  <c r="BQ305" i="1"/>
  <c r="BU305" i="1"/>
  <c r="BY305" i="1"/>
  <c r="CA305" i="1"/>
  <c r="BW305" i="1"/>
  <c r="BR305" i="1"/>
  <c r="AG85" i="3"/>
  <c r="AC85" i="3"/>
  <c r="L84" i="3"/>
  <c r="L85" i="3" s="1"/>
  <c r="BS111" i="3"/>
  <c r="BU101" i="3"/>
  <c r="BU100" i="3"/>
  <c r="CA112" i="3"/>
  <c r="BW101" i="3"/>
  <c r="BW100" i="3"/>
  <c r="BX100" i="3"/>
  <c r="BX101" i="3"/>
  <c r="Y84" i="3"/>
  <c r="AK85" i="3"/>
  <c r="BR100" i="3"/>
  <c r="BR101" i="3"/>
  <c r="BQ112" i="3"/>
  <c r="BS100" i="3"/>
  <c r="BS101" i="3"/>
  <c r="BT101" i="3"/>
  <c r="BZ100" i="3"/>
  <c r="BZ101" i="3"/>
  <c r="BU112" i="3"/>
  <c r="T85" i="3"/>
  <c r="BV100" i="3"/>
  <c r="BV101" i="3"/>
  <c r="BW112" i="3"/>
  <c r="X84" i="3"/>
  <c r="BY100" i="3"/>
  <c r="BY101" i="3"/>
  <c r="CA100" i="3"/>
  <c r="CA101" i="3"/>
  <c r="BY112" i="3"/>
  <c r="G84" i="3"/>
  <c r="H85" i="3" s="1"/>
  <c r="P85" i="3"/>
  <c r="F84" i="3"/>
  <c r="BQ82" i="3"/>
  <c r="BD93" i="3"/>
  <c r="Z84" i="3"/>
  <c r="BV77" i="3"/>
  <c r="BU82" i="3"/>
  <c r="V84" i="3"/>
  <c r="BX84" i="3"/>
  <c r="AH85" i="3"/>
  <c r="AT84" i="3"/>
  <c r="CA82" i="3"/>
  <c r="BR77" i="3"/>
  <c r="J84" i="3"/>
  <c r="BZ77" i="3"/>
  <c r="AP84" i="3"/>
  <c r="AD84" i="3"/>
  <c r="BW82" i="3"/>
  <c r="AZ89" i="3"/>
  <c r="N84" i="3"/>
  <c r="BS82" i="3"/>
  <c r="E85" i="3"/>
  <c r="AL84" i="3"/>
  <c r="BY82" i="3"/>
  <c r="BT77" i="3"/>
  <c r="R84" i="3"/>
  <c r="AI85" i="3"/>
  <c r="BA94" i="3" l="1"/>
  <c r="BB89" i="3"/>
  <c r="BA89" i="3"/>
  <c r="BB94" i="3"/>
  <c r="BG95" i="3"/>
  <c r="BA95" i="3"/>
  <c r="BC93" i="3"/>
  <c r="BA93" i="3"/>
  <c r="BC89" i="3"/>
  <c r="BB95" i="3"/>
  <c r="BH95" i="3"/>
  <c r="BL84" i="4"/>
  <c r="X85" i="3"/>
  <c r="AO85" i="3"/>
  <c r="Y85" i="3"/>
  <c r="M85" i="3"/>
  <c r="BS84" i="3"/>
  <c r="N85" i="3"/>
  <c r="O85" i="3"/>
  <c r="BD89" i="3"/>
  <c r="BV84" i="3"/>
  <c r="Z85" i="3"/>
  <c r="AA85" i="3"/>
  <c r="AD85" i="3"/>
  <c r="BW84" i="3"/>
  <c r="AE85" i="3"/>
  <c r="CA84" i="3"/>
  <c r="AT85" i="3"/>
  <c r="AU85" i="3"/>
  <c r="BT84" i="3"/>
  <c r="R85" i="3"/>
  <c r="S85" i="3"/>
  <c r="AL85" i="3"/>
  <c r="BY84" i="3"/>
  <c r="BY85" i="3" s="1"/>
  <c r="AM85" i="3"/>
  <c r="AP85" i="3"/>
  <c r="BZ84" i="3"/>
  <c r="AQ85" i="3"/>
  <c r="BJ93" i="3"/>
  <c r="BH93" i="3"/>
  <c r="J85" i="3"/>
  <c r="BR84" i="3"/>
  <c r="K85" i="3"/>
  <c r="BU84" i="3"/>
  <c r="W85" i="3"/>
  <c r="F85" i="3"/>
  <c r="BQ84" i="3"/>
  <c r="BQ85" i="3" s="1"/>
  <c r="G85" i="3"/>
  <c r="BG93" i="3" l="1"/>
  <c r="BF89" i="3"/>
  <c r="BE93" i="3"/>
  <c r="BF95" i="3"/>
  <c r="BF94" i="3"/>
  <c r="BE89" i="3"/>
  <c r="BE95" i="3"/>
  <c r="BG89" i="3"/>
  <c r="BK95" i="3"/>
  <c r="BE94" i="3"/>
  <c r="BL95" i="3"/>
  <c r="BT85" i="3"/>
  <c r="BW85" i="3"/>
  <c r="BU85" i="3"/>
  <c r="BZ85" i="3"/>
  <c r="BH89" i="3"/>
  <c r="BL93" i="3"/>
  <c r="BV85" i="3"/>
  <c r="BS85" i="3"/>
  <c r="BR85" i="3"/>
  <c r="BX85" i="3"/>
  <c r="BN93" i="3"/>
  <c r="CA85" i="3"/>
  <c r="BK89" i="3" l="1"/>
  <c r="BI94" i="3"/>
  <c r="BI95" i="3"/>
  <c r="BI89" i="3"/>
  <c r="BJ94" i="3"/>
  <c r="BK93" i="3"/>
  <c r="BJ95" i="3"/>
  <c r="BI93" i="3"/>
  <c r="BJ89" i="3"/>
  <c r="BL89" i="3"/>
  <c r="BM94" i="3" l="1"/>
  <c r="BM93" i="3"/>
  <c r="BM89" i="3"/>
  <c r="BN95" i="3"/>
  <c r="BM95" i="3"/>
  <c r="BN89" i="3"/>
  <c r="BN94" i="3"/>
  <c r="BO193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E309" i="1" s="1"/>
  <c r="D258" i="1"/>
  <c r="C258" i="1"/>
  <c r="B258" i="1"/>
  <c r="BP258" i="1"/>
  <c r="BP309" i="1" s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BP74" i="29"/>
  <c r="AQ70" i="4" l="1"/>
  <c r="AQ309" i="1"/>
  <c r="AQ296" i="1" s="1"/>
  <c r="D70" i="4"/>
  <c r="D309" i="1"/>
  <c r="L70" i="4"/>
  <c r="L309" i="1"/>
  <c r="T70" i="4"/>
  <c r="T309" i="1"/>
  <c r="AB70" i="4"/>
  <c r="AB309" i="1"/>
  <c r="M70" i="4"/>
  <c r="M309" i="1"/>
  <c r="AS70" i="4"/>
  <c r="AS309" i="1"/>
  <c r="AS296" i="1" s="1"/>
  <c r="AL70" i="4"/>
  <c r="AL309" i="1"/>
  <c r="AL296" i="1" s="1"/>
  <c r="G70" i="4"/>
  <c r="G309" i="1"/>
  <c r="O70" i="4"/>
  <c r="O309" i="1"/>
  <c r="W70" i="4"/>
  <c r="W309" i="1"/>
  <c r="AE70" i="4"/>
  <c r="AE309" i="1"/>
  <c r="AE296" i="1" s="1"/>
  <c r="AI70" i="4"/>
  <c r="AI309" i="1"/>
  <c r="AI296" i="1" s="1"/>
  <c r="F70" i="4"/>
  <c r="F309" i="1"/>
  <c r="AF70" i="4"/>
  <c r="AF309" i="1"/>
  <c r="AF296" i="1" s="1"/>
  <c r="AR70" i="4"/>
  <c r="AR309" i="1"/>
  <c r="AR296" i="1" s="1"/>
  <c r="U70" i="4"/>
  <c r="U309" i="1"/>
  <c r="N70" i="4"/>
  <c r="N309" i="1"/>
  <c r="AT70" i="4"/>
  <c r="AT309" i="1"/>
  <c r="AT296" i="1" s="1"/>
  <c r="H70" i="4"/>
  <c r="H309" i="1"/>
  <c r="X70" i="4"/>
  <c r="X309" i="1"/>
  <c r="AN70" i="4"/>
  <c r="AN309" i="1"/>
  <c r="AN296" i="1" s="1"/>
  <c r="I70" i="4"/>
  <c r="I309" i="1"/>
  <c r="Q70" i="4"/>
  <c r="Q309" i="1"/>
  <c r="Y70" i="4"/>
  <c r="Y309" i="1"/>
  <c r="AG70" i="4"/>
  <c r="AG309" i="1"/>
  <c r="AG296" i="1" s="1"/>
  <c r="AJ70" i="4"/>
  <c r="AJ309" i="1"/>
  <c r="AJ296" i="1" s="1"/>
  <c r="AC70" i="4"/>
  <c r="AC309" i="1"/>
  <c r="AC296" i="1" s="1"/>
  <c r="V70" i="4"/>
  <c r="V309" i="1"/>
  <c r="AU70" i="4"/>
  <c r="AU309" i="1"/>
  <c r="AU296" i="1" s="1"/>
  <c r="AO70" i="4"/>
  <c r="AO309" i="1"/>
  <c r="AO296" i="1" s="1"/>
  <c r="B70" i="4"/>
  <c r="B309" i="1"/>
  <c r="J70" i="4"/>
  <c r="J309" i="1"/>
  <c r="R70" i="4"/>
  <c r="R309" i="1"/>
  <c r="Z70" i="4"/>
  <c r="Z309" i="1"/>
  <c r="AH70" i="4"/>
  <c r="AH309" i="1"/>
  <c r="AH296" i="1" s="1"/>
  <c r="AK70" i="4"/>
  <c r="AK309" i="1"/>
  <c r="AK296" i="1" s="1"/>
  <c r="AD70" i="4"/>
  <c r="AD309" i="1"/>
  <c r="AD296" i="1" s="1"/>
  <c r="AM70" i="4"/>
  <c r="AM309" i="1"/>
  <c r="AM296" i="1" s="1"/>
  <c r="P70" i="4"/>
  <c r="P309" i="1"/>
  <c r="AP70" i="4"/>
  <c r="AP309" i="1"/>
  <c r="AP296" i="1" s="1"/>
  <c r="C70" i="4"/>
  <c r="C309" i="1"/>
  <c r="K70" i="4"/>
  <c r="K309" i="1"/>
  <c r="S70" i="4"/>
  <c r="S309" i="1"/>
  <c r="AA70" i="4"/>
  <c r="AA309" i="1"/>
  <c r="E70" i="4"/>
  <c r="BP70" i="4"/>
  <c r="AJ11" i="4"/>
  <c r="AR11" i="4"/>
  <c r="M11" i="4"/>
  <c r="U11" i="4"/>
  <c r="AC11" i="4"/>
  <c r="N11" i="4"/>
  <c r="AL11" i="4"/>
  <c r="AT11" i="4"/>
  <c r="G11" i="4"/>
  <c r="O11" i="4"/>
  <c r="W11" i="4"/>
  <c r="AE11" i="4"/>
  <c r="AD11" i="4"/>
  <c r="AM11" i="4"/>
  <c r="AU11" i="4"/>
  <c r="H11" i="4"/>
  <c r="P11" i="4"/>
  <c r="X11" i="4"/>
  <c r="AF11" i="4"/>
  <c r="V11" i="4"/>
  <c r="AN11" i="4"/>
  <c r="I11" i="4"/>
  <c r="Q11" i="4"/>
  <c r="Y11" i="4"/>
  <c r="AG11" i="4"/>
  <c r="AS11" i="4"/>
  <c r="AO11" i="4"/>
  <c r="B11" i="4"/>
  <c r="J11" i="4"/>
  <c r="R11" i="4"/>
  <c r="Z11" i="4"/>
  <c r="AH11" i="4"/>
  <c r="F11" i="4"/>
  <c r="AP11" i="4"/>
  <c r="C11" i="4"/>
  <c r="K11" i="4"/>
  <c r="S11" i="4"/>
  <c r="AA11" i="4"/>
  <c r="AK11" i="4"/>
  <c r="AI11" i="4"/>
  <c r="AQ11" i="4"/>
  <c r="D11" i="4"/>
  <c r="L11" i="4"/>
  <c r="T11" i="4"/>
  <c r="AB11" i="4"/>
  <c r="BP81" i="4" l="1"/>
  <c r="BW296" i="1"/>
  <c r="BZ296" i="1"/>
  <c r="U86" i="4"/>
  <c r="U87" i="4"/>
  <c r="T87" i="4"/>
  <c r="T86" i="4"/>
  <c r="AR87" i="4"/>
  <c r="AR86" i="4"/>
  <c r="K86" i="4"/>
  <c r="K87" i="4"/>
  <c r="AF86" i="4"/>
  <c r="AF87" i="4"/>
  <c r="X86" i="4"/>
  <c r="X87" i="4"/>
  <c r="AJ87" i="4"/>
  <c r="AJ86" i="4"/>
  <c r="AE86" i="4"/>
  <c r="AE87" i="4"/>
  <c r="AO86" i="4"/>
  <c r="AO87" i="4"/>
  <c r="AS86" i="4"/>
  <c r="AS87" i="4"/>
  <c r="P86" i="4"/>
  <c r="P87" i="4"/>
  <c r="AI86" i="4"/>
  <c r="AI87" i="4"/>
  <c r="AH87" i="4"/>
  <c r="AH86" i="4"/>
  <c r="Y86" i="4"/>
  <c r="Y87" i="4"/>
  <c r="H86" i="4"/>
  <c r="H87" i="4"/>
  <c r="AT86" i="4"/>
  <c r="AT87" i="4"/>
  <c r="C86" i="4"/>
  <c r="C87" i="4"/>
  <c r="AP87" i="4"/>
  <c r="AP86" i="4"/>
  <c r="AQ87" i="4"/>
  <c r="AQ86" i="4"/>
  <c r="Q86" i="4"/>
  <c r="Q87" i="4"/>
  <c r="B86" i="4"/>
  <c r="B87" i="4"/>
  <c r="L87" i="4"/>
  <c r="L86" i="4"/>
  <c r="W86" i="4"/>
  <c r="W87" i="4"/>
  <c r="O86" i="4"/>
  <c r="O87" i="4"/>
  <c r="AG86" i="4"/>
  <c r="AG87" i="4"/>
  <c r="AK86" i="4"/>
  <c r="AK87" i="4"/>
  <c r="AU86" i="4"/>
  <c r="AU87" i="4"/>
  <c r="AA86" i="4"/>
  <c r="AA87" i="4"/>
  <c r="R87" i="4"/>
  <c r="R86" i="4"/>
  <c r="I86" i="4"/>
  <c r="I87" i="4"/>
  <c r="AM86" i="4"/>
  <c r="AM87" i="4"/>
  <c r="N86" i="4"/>
  <c r="N87" i="4"/>
  <c r="V86" i="4"/>
  <c r="V87" i="4"/>
  <c r="M86" i="4"/>
  <c r="M87" i="4"/>
  <c r="D87" i="4"/>
  <c r="D86" i="4"/>
  <c r="F86" i="4"/>
  <c r="F87" i="4"/>
  <c r="G86" i="4"/>
  <c r="G87" i="4"/>
  <c r="Z87" i="4"/>
  <c r="Z86" i="4"/>
  <c r="AL86" i="4"/>
  <c r="AL87" i="4"/>
  <c r="AB87" i="4"/>
  <c r="AB86" i="4"/>
  <c r="S86" i="4"/>
  <c r="S87" i="4"/>
  <c r="J86" i="4"/>
  <c r="J87" i="4"/>
  <c r="AN86" i="4"/>
  <c r="AN87" i="4"/>
  <c r="AD86" i="4"/>
  <c r="AD87" i="4"/>
  <c r="AC86" i="4"/>
  <c r="AC87" i="4"/>
  <c r="BX296" i="1"/>
  <c r="BY296" i="1"/>
  <c r="CA296" i="1"/>
  <c r="AV295" i="1"/>
  <c r="BQ11" i="4"/>
  <c r="BY11" i="4"/>
  <c r="BS11" i="4"/>
  <c r="BX11" i="4"/>
  <c r="BV11" i="4"/>
  <c r="BW11" i="4"/>
  <c r="BZ11" i="4"/>
  <c r="BT11" i="4"/>
  <c r="CA11" i="4"/>
  <c r="BR11" i="4"/>
  <c r="BU11" i="4"/>
  <c r="AW86" i="4" l="1"/>
  <c r="AX86" i="4"/>
  <c r="AY86" i="4"/>
  <c r="BB86" i="4" l="1"/>
  <c r="BC86" i="4"/>
  <c r="BA86" i="4"/>
  <c r="BE86" i="4" l="1"/>
  <c r="BG86" i="4"/>
  <c r="BF86" i="4"/>
  <c r="BJ86" i="4" l="1"/>
  <c r="BK86" i="4"/>
  <c r="BI86" i="4"/>
  <c r="BM86" i="4" l="1"/>
  <c r="BN86" i="4"/>
  <c r="AL46" i="1" l="1"/>
  <c r="AJ18" i="1"/>
  <c r="CC85" i="1"/>
  <c r="CC84" i="1"/>
  <c r="CD84" i="1" l="1"/>
  <c r="CD85" i="1"/>
  <c r="CE85" i="1" s="1"/>
  <c r="CF85" i="1" s="1"/>
  <c r="CC83" i="1"/>
  <c r="CB88" i="1"/>
  <c r="CC88" i="1" s="1"/>
  <c r="CD88" i="1" s="1"/>
  <c r="CE88" i="1" s="1"/>
  <c r="CF88" i="1" s="1"/>
  <c r="CB86" i="1"/>
  <c r="CB87" i="1" s="1"/>
  <c r="CC87" i="1" s="1"/>
  <c r="CD87" i="1" s="1"/>
  <c r="CE87" i="1" s="1"/>
  <c r="CF87" i="1" s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Q288" i="1"/>
  <c r="BR288" i="1"/>
  <c r="BS288" i="1"/>
  <c r="BT288" i="1"/>
  <c r="BU288" i="1"/>
  <c r="BV288" i="1"/>
  <c r="BW288" i="1"/>
  <c r="BX288" i="1"/>
  <c r="BY288" i="1"/>
  <c r="BZ288" i="1"/>
  <c r="CA288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CC289" i="1"/>
  <c r="CD289" i="1"/>
  <c r="CE289" i="1"/>
  <c r="CF289" i="1"/>
  <c r="BQ290" i="1"/>
  <c r="BQ28" i="29" s="1"/>
  <c r="BR290" i="1"/>
  <c r="BR28" i="29" s="1"/>
  <c r="BS290" i="1"/>
  <c r="BS28" i="29" s="1"/>
  <c r="BT290" i="1"/>
  <c r="BT28" i="29" s="1"/>
  <c r="BU290" i="1"/>
  <c r="BU28" i="29" s="1"/>
  <c r="BV290" i="1"/>
  <c r="BV28" i="29" s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T250" i="1" s="1"/>
  <c r="AU254" i="1"/>
  <c r="BQ202" i="1"/>
  <c r="BR202" i="1"/>
  <c r="BS202" i="1"/>
  <c r="BT202" i="1"/>
  <c r="BU202" i="1"/>
  <c r="BV202" i="1"/>
  <c r="BW202" i="1"/>
  <c r="BX202" i="1"/>
  <c r="BY202" i="1"/>
  <c r="BZ202" i="1"/>
  <c r="CA202" i="1"/>
  <c r="AZ203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BP27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BP280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BN56" i="29"/>
  <c r="BM56" i="29"/>
  <c r="BL56" i="29"/>
  <c r="BK56" i="29"/>
  <c r="BJ56" i="29"/>
  <c r="BI56" i="29"/>
  <c r="BH56" i="29"/>
  <c r="BG56" i="29"/>
  <c r="BF56" i="29"/>
  <c r="BE56" i="29"/>
  <c r="BD56" i="29"/>
  <c r="BC56" i="29"/>
  <c r="BB56" i="29"/>
  <c r="BA56" i="29"/>
  <c r="AZ56" i="29"/>
  <c r="AY56" i="29"/>
  <c r="AX56" i="29"/>
  <c r="AW56" i="29"/>
  <c r="E56" i="29"/>
  <c r="D56" i="29"/>
  <c r="C56" i="29"/>
  <c r="B56" i="29"/>
  <c r="BA203" i="1" l="1"/>
  <c r="AZ83" i="29"/>
  <c r="CD83" i="1"/>
  <c r="CE83" i="1" s="1"/>
  <c r="CF83" i="1" s="1"/>
  <c r="CE84" i="1"/>
  <c r="CF84" i="1" s="1"/>
  <c r="BS291" i="1"/>
  <c r="CC86" i="1"/>
  <c r="CD86" i="1" s="1"/>
  <c r="CE86" i="1" s="1"/>
  <c r="CF86" i="1" s="1"/>
  <c r="CB82" i="1"/>
  <c r="BZ254" i="1"/>
  <c r="BR254" i="1"/>
  <c r="BZ209" i="1"/>
  <c r="BX209" i="1"/>
  <c r="BV209" i="1"/>
  <c r="BT209" i="1"/>
  <c r="BR209" i="1"/>
  <c r="BY254" i="1"/>
  <c r="BX254" i="1"/>
  <c r="BV254" i="1"/>
  <c r="BT254" i="1"/>
  <c r="BU209" i="1"/>
  <c r="BT291" i="1"/>
  <c r="CB288" i="1"/>
  <c r="BQ254" i="1"/>
  <c r="CF288" i="1"/>
  <c r="BW254" i="1"/>
  <c r="BU254" i="1"/>
  <c r="BV291" i="1"/>
  <c r="CD288" i="1"/>
  <c r="CA209" i="1"/>
  <c r="BY209" i="1"/>
  <c r="BS209" i="1"/>
  <c r="BQ209" i="1"/>
  <c r="CA254" i="1"/>
  <c r="BS254" i="1"/>
  <c r="BW209" i="1"/>
  <c r="CC288" i="1"/>
  <c r="BU291" i="1"/>
  <c r="BQ291" i="1"/>
  <c r="CE288" i="1"/>
  <c r="AW292" i="1"/>
  <c r="AW26" i="29" s="1"/>
  <c r="BR291" i="1"/>
  <c r="AO65" i="1"/>
  <c r="AN65" i="1"/>
  <c r="BU8" i="1"/>
  <c r="BV8" i="1"/>
  <c r="BW8" i="1"/>
  <c r="BX8" i="1"/>
  <c r="BY8" i="1"/>
  <c r="BB203" i="1" l="1"/>
  <c r="BA83" i="29"/>
  <c r="CC82" i="1"/>
  <c r="CE82" i="1"/>
  <c r="CF82" i="1"/>
  <c r="CD82" i="1"/>
  <c r="AX292" i="1"/>
  <c r="AX26" i="29" s="1"/>
  <c r="BC203" i="1" l="1"/>
  <c r="BB83" i="29"/>
  <c r="AY292" i="1"/>
  <c r="AY26" i="29" s="1"/>
  <c r="BD203" i="1" l="1"/>
  <c r="BC83" i="29"/>
  <c r="AZ292" i="1"/>
  <c r="AZ26" i="29" s="1"/>
  <c r="BE203" i="1" l="1"/>
  <c r="BD83" i="29"/>
  <c r="BA292" i="1"/>
  <c r="BA26" i="29" s="1"/>
  <c r="BF203" i="1" l="1"/>
  <c r="BE83" i="29"/>
  <c r="BB292" i="1"/>
  <c r="BB26" i="29" s="1"/>
  <c r="BG203" i="1" l="1"/>
  <c r="BF83" i="29"/>
  <c r="BC292" i="1"/>
  <c r="BC26" i="29" s="1"/>
  <c r="BH203" i="1" l="1"/>
  <c r="BG83" i="29"/>
  <c r="BD292" i="1"/>
  <c r="BD26" i="29" s="1"/>
  <c r="BI203" i="1" l="1"/>
  <c r="BH83" i="29"/>
  <c r="BE292" i="1"/>
  <c r="BE26" i="29" s="1"/>
  <c r="BJ203" i="1" l="1"/>
  <c r="BI83" i="29"/>
  <c r="BF292" i="1"/>
  <c r="BF26" i="29" s="1"/>
  <c r="BK203" i="1" l="1"/>
  <c r="BJ83" i="29"/>
  <c r="BG292" i="1"/>
  <c r="BG26" i="29" s="1"/>
  <c r="BL203" i="1" l="1"/>
  <c r="BK83" i="29"/>
  <c r="BH292" i="1"/>
  <c r="BH26" i="29" s="1"/>
  <c r="BM203" i="1" l="1"/>
  <c r="BL83" i="29"/>
  <c r="BI292" i="1"/>
  <c r="BI26" i="29" s="1"/>
  <c r="BN203" i="1" l="1"/>
  <c r="BN83" i="29" s="1"/>
  <c r="BM83" i="29"/>
  <c r="BJ292" i="1"/>
  <c r="BJ26" i="29" s="1"/>
  <c r="BK292" i="1" l="1"/>
  <c r="BK26" i="29" s="1"/>
  <c r="BL292" i="1" l="1"/>
  <c r="BL26" i="29" s="1"/>
  <c r="BM292" i="1" l="1"/>
  <c r="BM26" i="29" s="1"/>
  <c r="BN292" i="1" l="1"/>
  <c r="BN26" i="29" s="1"/>
  <c r="CC107" i="1" l="1"/>
  <c r="BB69" i="1" l="1"/>
  <c r="BF69" i="1" s="1"/>
  <c r="BJ69" i="1" s="1"/>
  <c r="BN69" i="1" s="1"/>
  <c r="BA69" i="1"/>
  <c r="BE69" i="1" s="1"/>
  <c r="BI69" i="1" s="1"/>
  <c r="BM69" i="1" s="1"/>
  <c r="AY69" i="1"/>
  <c r="BC69" i="1" s="1"/>
  <c r="BG69" i="1" s="1"/>
  <c r="BK69" i="1" s="1"/>
  <c r="AZ69" i="1"/>
  <c r="BD69" i="1" s="1"/>
  <c r="BH69" i="1" s="1"/>
  <c r="BL69" i="1" s="1"/>
  <c r="AZ65" i="1"/>
  <c r="BA65" i="1"/>
  <c r="AY65" i="1"/>
  <c r="BB65" i="1"/>
  <c r="AT65" i="1"/>
  <c r="AS65" i="1"/>
  <c r="AP65" i="1"/>
  <c r="AL65" i="1"/>
  <c r="AK65" i="1"/>
  <c r="AJ65" i="1"/>
  <c r="BD67" i="1"/>
  <c r="BH67" i="1" s="1"/>
  <c r="BL67" i="1" s="1"/>
  <c r="BC67" i="1"/>
  <c r="BG67" i="1" s="1"/>
  <c r="BK67" i="1" s="1"/>
  <c r="BB67" i="1"/>
  <c r="BF67" i="1" s="1"/>
  <c r="BJ67" i="1" s="1"/>
  <c r="BN67" i="1" s="1"/>
  <c r="BA67" i="1"/>
  <c r="BE67" i="1" s="1"/>
  <c r="BI67" i="1" s="1"/>
  <c r="BM67" i="1" s="1"/>
  <c r="AU39" i="1"/>
  <c r="AT39" i="1"/>
  <c r="AS39" i="1"/>
  <c r="AR39" i="1"/>
  <c r="AQ39" i="1"/>
  <c r="AP39" i="1"/>
  <c r="AO39" i="1"/>
  <c r="AN39" i="1"/>
  <c r="AM39" i="1"/>
  <c r="AT73" i="1"/>
  <c r="BZ75" i="1"/>
  <c r="BZ74" i="1"/>
  <c r="BY74" i="1"/>
  <c r="BZ73" i="1"/>
  <c r="BY73" i="1"/>
  <c r="CA72" i="1"/>
  <c r="BZ72" i="1"/>
  <c r="BY72" i="1"/>
  <c r="CB69" i="1"/>
  <c r="CA69" i="1"/>
  <c r="BZ69" i="1"/>
  <c r="BY69" i="1"/>
  <c r="AT75" i="1"/>
  <c r="CA75" i="1" s="1"/>
  <c r="AT74" i="1"/>
  <c r="AV73" i="1"/>
  <c r="AR74" i="1"/>
  <c r="AV75" i="1"/>
  <c r="AW75" i="1" s="1"/>
  <c r="AX75" i="1" s="1"/>
  <c r="AY75" i="1" s="1"/>
  <c r="AZ75" i="1" s="1"/>
  <c r="BA75" i="1" s="1"/>
  <c r="BB75" i="1" s="1"/>
  <c r="BC75" i="1" s="1"/>
  <c r="AQ73" i="1"/>
  <c r="AW73" i="1" l="1"/>
  <c r="AX73" i="1" s="1"/>
  <c r="AY73" i="1" s="1"/>
  <c r="AZ73" i="1" s="1"/>
  <c r="BA73" i="1" s="1"/>
  <c r="BB73" i="1" s="1"/>
  <c r="BC73" i="1" s="1"/>
  <c r="CA74" i="1"/>
  <c r="AU65" i="1"/>
  <c r="AM65" i="1"/>
  <c r="AX65" i="1"/>
  <c r="CC69" i="1"/>
  <c r="CD69" i="1"/>
  <c r="CE69" i="1"/>
  <c r="CF69" i="1"/>
  <c r="BD73" i="1"/>
  <c r="BD75" i="1"/>
  <c r="BE75" i="1" s="1"/>
  <c r="BF75" i="1" s="1"/>
  <c r="BG75" i="1" s="1"/>
  <c r="CB73" i="1"/>
  <c r="CC75" i="1"/>
  <c r="CA73" i="1"/>
  <c r="CC73" i="1"/>
  <c r="CB75" i="1"/>
  <c r="BJ68" i="1"/>
  <c r="BI68" i="1"/>
  <c r="BH68" i="1"/>
  <c r="CD68" i="1"/>
  <c r="CF67" i="1"/>
  <c r="CE67" i="1"/>
  <c r="CD67" i="1"/>
  <c r="CC67" i="1"/>
  <c r="CA68" i="1"/>
  <c r="AY68" i="1"/>
  <c r="AX68" i="1"/>
  <c r="AW68" i="1"/>
  <c r="AU67" i="1"/>
  <c r="AP67" i="1"/>
  <c r="BY67" i="1"/>
  <c r="BF65" i="1"/>
  <c r="BJ65" i="1" s="1"/>
  <c r="BN65" i="1" s="1"/>
  <c r="BD65" i="1"/>
  <c r="BH65" i="1" s="1"/>
  <c r="BL65" i="1" s="1"/>
  <c r="AX66" i="1"/>
  <c r="BB66" i="1" s="1"/>
  <c r="BF66" i="1" s="1"/>
  <c r="BJ66" i="1" s="1"/>
  <c r="BN66" i="1" s="1"/>
  <c r="AW66" i="1"/>
  <c r="BA66" i="1" s="1"/>
  <c r="BE66" i="1" s="1"/>
  <c r="BI66" i="1" s="1"/>
  <c r="BM66" i="1" s="1"/>
  <c r="AV66" i="1"/>
  <c r="AZ66" i="1" s="1"/>
  <c r="BD66" i="1" s="1"/>
  <c r="BH66" i="1" s="1"/>
  <c r="BL66" i="1" s="1"/>
  <c r="AT66" i="1"/>
  <c r="AS66" i="1"/>
  <c r="AP66" i="1"/>
  <c r="AO66" i="1"/>
  <c r="AR66" i="1"/>
  <c r="AN66" i="1"/>
  <c r="AM68" i="1"/>
  <c r="AL68" i="1"/>
  <c r="BY68" i="1" s="1"/>
  <c r="AL66" i="1"/>
  <c r="AJ66" i="1"/>
  <c r="AK66" i="1"/>
  <c r="BK68" i="1" l="1"/>
  <c r="CF68" i="1" s="1"/>
  <c r="AZ68" i="1"/>
  <c r="CC68" i="1" s="1"/>
  <c r="AM66" i="1"/>
  <c r="BZ66" i="1" s="1"/>
  <c r="BH75" i="1"/>
  <c r="BI75" i="1" s="1"/>
  <c r="BJ75" i="1" s="1"/>
  <c r="BK75" i="1" s="1"/>
  <c r="BN70" i="1"/>
  <c r="CD75" i="1"/>
  <c r="BE73" i="1"/>
  <c r="AV74" i="1"/>
  <c r="AQ66" i="1"/>
  <c r="CA66" i="1" s="1"/>
  <c r="AU66" i="1"/>
  <c r="CB66" i="1" s="1"/>
  <c r="BL70" i="1"/>
  <c r="BY66" i="1"/>
  <c r="BA70" i="1"/>
  <c r="BF70" i="1"/>
  <c r="CE68" i="1"/>
  <c r="BC65" i="1"/>
  <c r="CB68" i="1"/>
  <c r="AY66" i="1"/>
  <c r="BD70" i="1"/>
  <c r="BH70" i="1"/>
  <c r="BE65" i="1"/>
  <c r="AT67" i="1"/>
  <c r="BB70" i="1"/>
  <c r="BJ70" i="1"/>
  <c r="AN68" i="1"/>
  <c r="BZ68" i="1" s="1"/>
  <c r="AZ70" i="1" l="1"/>
  <c r="CE75" i="1"/>
  <c r="AW74" i="1"/>
  <c r="BL75" i="1"/>
  <c r="BM75" i="1" s="1"/>
  <c r="BN75" i="1" s="1"/>
  <c r="BF73" i="1"/>
  <c r="CD73" i="1" s="1"/>
  <c r="BI65" i="1"/>
  <c r="BE70" i="1"/>
  <c r="BC66" i="1"/>
  <c r="CC66" i="1"/>
  <c r="CD65" i="1"/>
  <c r="BG65" i="1"/>
  <c r="BG73" i="1" l="1"/>
  <c r="CF75" i="1"/>
  <c r="AX74" i="1"/>
  <c r="BG66" i="1"/>
  <c r="BG70" i="1" s="1"/>
  <c r="CD66" i="1"/>
  <c r="BK65" i="1"/>
  <c r="CE65" i="1"/>
  <c r="BC70" i="1"/>
  <c r="BM65" i="1"/>
  <c r="BM70" i="1" s="1"/>
  <c r="BI70" i="1"/>
  <c r="CD70" i="1" l="1"/>
  <c r="CE70" i="1"/>
  <c r="AY74" i="1"/>
  <c r="CB74" i="1"/>
  <c r="BH73" i="1"/>
  <c r="CF65" i="1"/>
  <c r="BK66" i="1"/>
  <c r="CF66" i="1" s="1"/>
  <c r="CE66" i="1"/>
  <c r="BI73" i="1" l="1"/>
  <c r="AZ74" i="1"/>
  <c r="BK70" i="1"/>
  <c r="CF70" i="1" s="1"/>
  <c r="BA74" i="1" l="1"/>
  <c r="BJ73" i="1"/>
  <c r="BK73" i="1" l="1"/>
  <c r="CE73" i="1"/>
  <c r="BB74" i="1"/>
  <c r="BC74" i="1" l="1"/>
  <c r="CC74" i="1"/>
  <c r="BL73" i="1"/>
  <c r="BM73" i="1" l="1"/>
  <c r="BD74" i="1"/>
  <c r="BE74" i="1" l="1"/>
  <c r="BN73" i="1"/>
  <c r="CF73" i="1" l="1"/>
  <c r="BF74" i="1"/>
  <c r="BG74" i="1" l="1"/>
  <c r="CD74" i="1"/>
  <c r="BH74" i="1" l="1"/>
  <c r="BI74" i="1" l="1"/>
  <c r="BJ74" i="1" l="1"/>
  <c r="CE74" i="1" s="1"/>
  <c r="BK74" i="1" l="1"/>
  <c r="BL74" i="1" l="1"/>
  <c r="BM74" i="1" l="1"/>
  <c r="BN74" i="1" l="1"/>
  <c r="CF74" i="1" s="1"/>
  <c r="AO67" i="1" l="1"/>
  <c r="AI65" i="1"/>
  <c r="AW70" i="1" l="1"/>
  <c r="AW30" i="1" s="1"/>
  <c r="CC65" i="1"/>
  <c r="AY70" i="1"/>
  <c r="CC70" i="1" s="1"/>
  <c r="AU70" i="1"/>
  <c r="AS67" i="1"/>
  <c r="AS70" i="1" s="1"/>
  <c r="BZ67" i="1"/>
  <c r="AT70" i="1"/>
  <c r="AT76" i="1" s="1"/>
  <c r="AU97" i="1"/>
  <c r="AN97" i="1"/>
  <c r="AO97" i="1"/>
  <c r="AP97" i="1"/>
  <c r="AQ97" i="1"/>
  <c r="AR97" i="1"/>
  <c r="AS97" i="1"/>
  <c r="AT97" i="1"/>
  <c r="AK70" i="1"/>
  <c r="AK78" i="1" s="1"/>
  <c r="AP70" i="1"/>
  <c r="AP76" i="1" s="1"/>
  <c r="AO70" i="1"/>
  <c r="AO76" i="1" s="1"/>
  <c r="AN70" i="1"/>
  <c r="AF68" i="1"/>
  <c r="AE68" i="1"/>
  <c r="AD68" i="1"/>
  <c r="AC68" i="1"/>
  <c r="CF126" i="1"/>
  <c r="CE126" i="1"/>
  <c r="CD126" i="1"/>
  <c r="CC126" i="1"/>
  <c r="CB126" i="1"/>
  <c r="CA126" i="1"/>
  <c r="BZ126" i="1"/>
  <c r="CF125" i="1"/>
  <c r="CE125" i="1"/>
  <c r="CD125" i="1"/>
  <c r="CC125" i="1"/>
  <c r="CB125" i="1"/>
  <c r="CA125" i="1"/>
  <c r="BZ125" i="1"/>
  <c r="CF124" i="1"/>
  <c r="CE124" i="1"/>
  <c r="CD124" i="1"/>
  <c r="CC124" i="1"/>
  <c r="CB124" i="1"/>
  <c r="CA124" i="1"/>
  <c r="BZ124" i="1"/>
  <c r="CF119" i="1"/>
  <c r="CE119" i="1"/>
  <c r="CD119" i="1"/>
  <c r="CC119" i="1"/>
  <c r="CB119" i="1"/>
  <c r="CA119" i="1"/>
  <c r="BZ119" i="1"/>
  <c r="BZ121" i="1" s="1"/>
  <c r="CF115" i="1"/>
  <c r="CE115" i="1"/>
  <c r="CD115" i="1"/>
  <c r="CC115" i="1"/>
  <c r="CB115" i="1"/>
  <c r="CA115" i="1"/>
  <c r="BZ115" i="1"/>
  <c r="BZ117" i="1" s="1"/>
  <c r="CF111" i="1"/>
  <c r="CE111" i="1"/>
  <c r="CD111" i="1"/>
  <c r="CC111" i="1"/>
  <c r="CB111" i="1"/>
  <c r="CA111" i="1"/>
  <c r="BZ111" i="1"/>
  <c r="CF107" i="1"/>
  <c r="CE107" i="1"/>
  <c r="CD107" i="1"/>
  <c r="CB135" i="1"/>
  <c r="CA135" i="1"/>
  <c r="BZ135" i="1"/>
  <c r="CB140" i="1"/>
  <c r="CA140" i="1"/>
  <c r="BZ140" i="1"/>
  <c r="CB145" i="1"/>
  <c r="CA145" i="1"/>
  <c r="BZ145" i="1"/>
  <c r="CB150" i="1"/>
  <c r="CA150" i="1"/>
  <c r="BZ150" i="1"/>
  <c r="CB168" i="1"/>
  <c r="CA168" i="1"/>
  <c r="BZ168" i="1"/>
  <c r="CB167" i="1"/>
  <c r="CA167" i="1"/>
  <c r="BZ167" i="1"/>
  <c r="CB166" i="1"/>
  <c r="CA166" i="1"/>
  <c r="BZ166" i="1"/>
  <c r="CA23" i="1"/>
  <c r="BZ23" i="1"/>
  <c r="CA18" i="1"/>
  <c r="BZ18" i="1"/>
  <c r="CA13" i="1"/>
  <c r="BZ13" i="1"/>
  <c r="BZ15" i="1" s="1"/>
  <c r="AM35" i="1"/>
  <c r="AN35" i="1"/>
  <c r="AU117" i="1"/>
  <c r="AT117" i="1"/>
  <c r="AS117" i="1"/>
  <c r="AR117" i="1"/>
  <c r="AQ117" i="1"/>
  <c r="AP117" i="1"/>
  <c r="AO117" i="1"/>
  <c r="AN117" i="1"/>
  <c r="AU116" i="1"/>
  <c r="AT116" i="1"/>
  <c r="AS116" i="1"/>
  <c r="AR116" i="1"/>
  <c r="AQ116" i="1"/>
  <c r="AP116" i="1"/>
  <c r="AO116" i="1"/>
  <c r="AN116" i="1"/>
  <c r="AM116" i="1"/>
  <c r="AL116" i="1"/>
  <c r="AK116" i="1"/>
  <c r="AU113" i="1"/>
  <c r="AT113" i="1"/>
  <c r="AS113" i="1"/>
  <c r="AR113" i="1"/>
  <c r="AQ113" i="1"/>
  <c r="AP113" i="1"/>
  <c r="AO113" i="1"/>
  <c r="AN113" i="1"/>
  <c r="AU112" i="1"/>
  <c r="AT112" i="1"/>
  <c r="AS112" i="1"/>
  <c r="AR112" i="1"/>
  <c r="AQ112" i="1"/>
  <c r="AP112" i="1"/>
  <c r="AO112" i="1"/>
  <c r="AN112" i="1"/>
  <c r="AM112" i="1"/>
  <c r="AL112" i="1"/>
  <c r="AK112" i="1"/>
  <c r="AK107" i="1"/>
  <c r="AL107" i="1"/>
  <c r="AM107" i="1"/>
  <c r="AN107" i="1"/>
  <c r="AO107" i="1"/>
  <c r="AP107" i="1"/>
  <c r="AQ107" i="1"/>
  <c r="AR107" i="1"/>
  <c r="AS107" i="1"/>
  <c r="AT107" i="1"/>
  <c r="AU107" i="1"/>
  <c r="CB107" i="1" s="1"/>
  <c r="AJ107" i="1"/>
  <c r="AM141" i="1"/>
  <c r="AM146" i="1"/>
  <c r="AU148" i="1"/>
  <c r="AT148" i="1"/>
  <c r="AS148" i="1"/>
  <c r="AR148" i="1"/>
  <c r="AQ148" i="1"/>
  <c r="AP148" i="1"/>
  <c r="AO148" i="1"/>
  <c r="AN148" i="1"/>
  <c r="AM148" i="1"/>
  <c r="AN143" i="1"/>
  <c r="AO143" i="1"/>
  <c r="AP143" i="1"/>
  <c r="AQ143" i="1"/>
  <c r="AR143" i="1"/>
  <c r="AS143" i="1"/>
  <c r="AT143" i="1"/>
  <c r="AU143" i="1"/>
  <c r="AM143" i="1"/>
  <c r="AN141" i="1"/>
  <c r="AO141" i="1"/>
  <c r="AP141" i="1"/>
  <c r="AQ141" i="1"/>
  <c r="AR141" i="1"/>
  <c r="AS141" i="1"/>
  <c r="AT141" i="1"/>
  <c r="AU141" i="1"/>
  <c r="AS146" i="1"/>
  <c r="AR146" i="1"/>
  <c r="AQ146" i="1"/>
  <c r="AP146" i="1"/>
  <c r="AN146" i="1"/>
  <c r="AU142" i="1"/>
  <c r="AR142" i="1"/>
  <c r="AQ142" i="1"/>
  <c r="AL14" i="1"/>
  <c r="AM14" i="1"/>
  <c r="AN14" i="1"/>
  <c r="AJ23" i="1"/>
  <c r="AI23" i="1"/>
  <c r="AF23" i="1"/>
  <c r="AF58" i="1" s="1"/>
  <c r="AG23" i="1"/>
  <c r="AG58" i="1" s="1"/>
  <c r="AH23" i="1"/>
  <c r="AE23" i="1"/>
  <c r="AE58" i="1" s="1"/>
  <c r="AK19" i="1"/>
  <c r="AI18" i="1"/>
  <c r="AH18" i="1"/>
  <c r="AL20" i="1" s="1"/>
  <c r="AG18" i="1"/>
  <c r="AF18" i="1"/>
  <c r="AE18" i="1"/>
  <c r="AE13" i="1"/>
  <c r="AF13" i="1"/>
  <c r="AG13" i="1"/>
  <c r="AH13" i="1"/>
  <c r="AI13" i="1"/>
  <c r="AJ13" i="1"/>
  <c r="AI46" i="1"/>
  <c r="AJ46" i="1"/>
  <c r="AK46" i="1"/>
  <c r="AM46" i="1"/>
  <c r="AO121" i="1"/>
  <c r="AN121" i="1"/>
  <c r="AM121" i="1"/>
  <c r="AO120" i="1"/>
  <c r="AN120" i="1"/>
  <c r="AM120" i="1"/>
  <c r="AL120" i="1"/>
  <c r="AK120" i="1"/>
  <c r="AI155" i="1"/>
  <c r="AI158" i="1" s="1"/>
  <c r="AJ155" i="1"/>
  <c r="AJ158" i="1" s="1"/>
  <c r="AK155" i="1"/>
  <c r="AK158" i="1" s="1"/>
  <c r="AL155" i="1"/>
  <c r="AL158" i="1" s="1"/>
  <c r="AQ153" i="1"/>
  <c r="AP153" i="1"/>
  <c r="AO153" i="1"/>
  <c r="AN153" i="1"/>
  <c r="AM153" i="1"/>
  <c r="AL153" i="1"/>
  <c r="AK153" i="1"/>
  <c r="AJ153" i="1"/>
  <c r="AQ152" i="1"/>
  <c r="AP152" i="1"/>
  <c r="AO152" i="1"/>
  <c r="AN152" i="1"/>
  <c r="AM152" i="1"/>
  <c r="AQ151" i="1"/>
  <c r="AP151" i="1"/>
  <c r="AO151" i="1"/>
  <c r="AN151" i="1"/>
  <c r="AM137" i="1"/>
  <c r="AN137" i="1"/>
  <c r="AO137" i="1"/>
  <c r="AP137" i="1"/>
  <c r="AJ138" i="1"/>
  <c r="AK138" i="1"/>
  <c r="AL138" i="1"/>
  <c r="AM155" i="1"/>
  <c r="AE160" i="1"/>
  <c r="AE163" i="1" s="1"/>
  <c r="AF160" i="1"/>
  <c r="AF163" i="1" s="1"/>
  <c r="AG160" i="1"/>
  <c r="AG163" i="1" s="1"/>
  <c r="AH160" i="1"/>
  <c r="AH163" i="1" s="1"/>
  <c r="AI160" i="1"/>
  <c r="AI163" i="1" s="1"/>
  <c r="AJ160" i="1"/>
  <c r="AJ163" i="1" s="1"/>
  <c r="AK160" i="1"/>
  <c r="AK163" i="1" s="1"/>
  <c r="AL160" i="1"/>
  <c r="AL163" i="1" s="1"/>
  <c r="AM58" i="1"/>
  <c r="AN58" i="1"/>
  <c r="AO58" i="1"/>
  <c r="AP58" i="1"/>
  <c r="AQ58" i="1"/>
  <c r="AR58" i="1"/>
  <c r="AV60" i="1" s="1"/>
  <c r="AS58" i="1"/>
  <c r="AW58" i="1" s="1"/>
  <c r="AW23" i="1" s="1"/>
  <c r="AT58" i="1"/>
  <c r="AX58" i="1" s="1"/>
  <c r="AX23" i="1" s="1"/>
  <c r="AW24" i="1" l="1"/>
  <c r="AW25" i="1"/>
  <c r="AV25" i="1"/>
  <c r="AX24" i="1"/>
  <c r="AX25" i="1"/>
  <c r="AF52" i="1"/>
  <c r="BY46" i="1"/>
  <c r="AE52" i="1"/>
  <c r="AG52" i="1"/>
  <c r="AG47" i="1" s="1"/>
  <c r="AN15" i="1"/>
  <c r="AH52" i="1"/>
  <c r="AM15" i="1"/>
  <c r="AL25" i="1"/>
  <c r="AH58" i="1"/>
  <c r="AS76" i="1"/>
  <c r="BZ76" i="1"/>
  <c r="AX70" i="1"/>
  <c r="AU76" i="1"/>
  <c r="AV67" i="1"/>
  <c r="AV80" i="1" s="1"/>
  <c r="CA67" i="1"/>
  <c r="AR70" i="1"/>
  <c r="AR76" i="1" s="1"/>
  <c r="CB65" i="1"/>
  <c r="AJ70" i="1"/>
  <c r="BZ65" i="1"/>
  <c r="BY65" i="1"/>
  <c r="AN79" i="1"/>
  <c r="AL70" i="1"/>
  <c r="AL78" i="1" s="1"/>
  <c r="AT99" i="1"/>
  <c r="AP98" i="1"/>
  <c r="AT98" i="1"/>
  <c r="CF121" i="1"/>
  <c r="AR98" i="1"/>
  <c r="AO98" i="1"/>
  <c r="CD109" i="1"/>
  <c r="CE113" i="1"/>
  <c r="CF117" i="1"/>
  <c r="AU98" i="1"/>
  <c r="AS98" i="1"/>
  <c r="AQ98" i="1"/>
  <c r="AR99" i="1"/>
  <c r="AS99" i="1"/>
  <c r="AU99" i="1"/>
  <c r="AP108" i="1"/>
  <c r="CE109" i="1"/>
  <c r="CF113" i="1"/>
  <c r="CA20" i="1"/>
  <c r="CB121" i="1"/>
  <c r="CA113" i="1"/>
  <c r="CB117" i="1"/>
  <c r="CD113" i="1"/>
  <c r="CE117" i="1"/>
  <c r="CE121" i="1"/>
  <c r="CF109" i="1"/>
  <c r="AO109" i="1"/>
  <c r="CA142" i="1"/>
  <c r="AN109" i="1"/>
  <c r="CA152" i="1"/>
  <c r="AG14" i="1"/>
  <c r="AL108" i="1"/>
  <c r="CB152" i="1"/>
  <c r="CA137" i="1"/>
  <c r="BZ107" i="1"/>
  <c r="CC109" i="1"/>
  <c r="AK108" i="1"/>
  <c r="CA147" i="1"/>
  <c r="CB142" i="1"/>
  <c r="CA107" i="1"/>
  <c r="CB109" i="1" s="1"/>
  <c r="CB147" i="1"/>
  <c r="BB58" i="1"/>
  <c r="BB23" i="1" s="1"/>
  <c r="AX59" i="1"/>
  <c r="BA58" i="1"/>
  <c r="BA23" i="1" s="1"/>
  <c r="AW59" i="1"/>
  <c r="AZ58" i="1"/>
  <c r="AZ23" i="1" s="1"/>
  <c r="CA58" i="1"/>
  <c r="CB113" i="1"/>
  <c r="CC117" i="1"/>
  <c r="CC121" i="1"/>
  <c r="CB137" i="1"/>
  <c r="CC113" i="1"/>
  <c r="CD117" i="1"/>
  <c r="CD121" i="1"/>
  <c r="BZ58" i="1"/>
  <c r="BZ60" i="1" s="1"/>
  <c r="AN108" i="1"/>
  <c r="CA117" i="1"/>
  <c r="CA121" i="1"/>
  <c r="BZ113" i="1"/>
  <c r="BZ20" i="1"/>
  <c r="AM108" i="1"/>
  <c r="AJ24" i="1"/>
  <c r="AO108" i="1"/>
  <c r="CA25" i="1"/>
  <c r="CA15" i="1"/>
  <c r="BZ25" i="1"/>
  <c r="AP109" i="1"/>
  <c r="AI20" i="1"/>
  <c r="AP59" i="1"/>
  <c r="AM61" i="1"/>
  <c r="AG19" i="1"/>
  <c r="AI14" i="1"/>
  <c r="AI27" i="1"/>
  <c r="AI21" i="1" s="1"/>
  <c r="AH27" i="1"/>
  <c r="AH16" i="1" s="1"/>
  <c r="AF27" i="1"/>
  <c r="AF16" i="1" s="1"/>
  <c r="AG24" i="1"/>
  <c r="AU146" i="1"/>
  <c r="AR147" i="1"/>
  <c r="AS147" i="1"/>
  <c r="AS142" i="1"/>
  <c r="AT147" i="1"/>
  <c r="AT146" i="1"/>
  <c r="AQ147" i="1"/>
  <c r="AO146" i="1"/>
  <c r="AT142" i="1"/>
  <c r="AU147" i="1"/>
  <c r="AS59" i="1"/>
  <c r="AQ59" i="1"/>
  <c r="AJ14" i="1"/>
  <c r="AO59" i="1"/>
  <c r="AH19" i="1"/>
  <c r="AH24" i="1"/>
  <c r="AM157" i="1"/>
  <c r="AL15" i="1"/>
  <c r="AR60" i="1"/>
  <c r="AF19" i="1"/>
  <c r="AF24" i="1"/>
  <c r="AI24" i="1"/>
  <c r="AI19" i="1"/>
  <c r="AI25" i="1"/>
  <c r="AI15" i="1"/>
  <c r="AJ25" i="1"/>
  <c r="AK14" i="1"/>
  <c r="AK24" i="1"/>
  <c r="AG27" i="1"/>
  <c r="AG16" i="1" s="1"/>
  <c r="AK15" i="1"/>
  <c r="AJ19" i="1"/>
  <c r="AJ15" i="1"/>
  <c r="AH14" i="1"/>
  <c r="AE27" i="1"/>
  <c r="AE21" i="1" s="1"/>
  <c r="AR59" i="1"/>
  <c r="AF14" i="1"/>
  <c r="AJ20" i="1"/>
  <c r="AK20" i="1"/>
  <c r="AK25" i="1"/>
  <c r="AQ60" i="1"/>
  <c r="AT60" i="1"/>
  <c r="AT59" i="1"/>
  <c r="AJ27" i="1"/>
  <c r="AJ16" i="1" s="1"/>
  <c r="AN59" i="1"/>
  <c r="AS60" i="1"/>
  <c r="BB25" i="1" l="1"/>
  <c r="BB24" i="1"/>
  <c r="AZ25" i="1"/>
  <c r="BA25" i="1"/>
  <c r="BA24" i="1"/>
  <c r="BY49" i="1"/>
  <c r="AL50" i="1"/>
  <c r="AI50" i="1"/>
  <c r="AJ50" i="1"/>
  <c r="AK50" i="1"/>
  <c r="AH47" i="1"/>
  <c r="AM70" i="1"/>
  <c r="BZ70" i="1" s="1"/>
  <c r="AJ78" i="1"/>
  <c r="BY70" i="1"/>
  <c r="CB67" i="1"/>
  <c r="AV70" i="1"/>
  <c r="CA65" i="1"/>
  <c r="AQ70" i="1"/>
  <c r="CA60" i="1"/>
  <c r="CA109" i="1"/>
  <c r="BZ109" i="1"/>
  <c r="AI16" i="1"/>
  <c r="BE58" i="1"/>
  <c r="BE23" i="1" s="1"/>
  <c r="BE25" i="1" s="1"/>
  <c r="BA59" i="1"/>
  <c r="BD58" i="1"/>
  <c r="BD23" i="1" s="1"/>
  <c r="BF58" i="1"/>
  <c r="BF23" i="1" s="1"/>
  <c r="BB59" i="1"/>
  <c r="AF26" i="1"/>
  <c r="AI26" i="1"/>
  <c r="AF21" i="1"/>
  <c r="AH26" i="1"/>
  <c r="AH21" i="1"/>
  <c r="AG26" i="1"/>
  <c r="AG21" i="1"/>
  <c r="AE26" i="1"/>
  <c r="AE16" i="1"/>
  <c r="AJ26" i="1"/>
  <c r="AJ21" i="1"/>
  <c r="CB70" i="1" l="1"/>
  <c r="AV76" i="1"/>
  <c r="AW76" i="1" s="1"/>
  <c r="AX76" i="1" s="1"/>
  <c r="AV79" i="1"/>
  <c r="AV78" i="1"/>
  <c r="BF25" i="1"/>
  <c r="BF24" i="1"/>
  <c r="BE24" i="1"/>
  <c r="BD25" i="1"/>
  <c r="AM79" i="1"/>
  <c r="AQ76" i="1"/>
  <c r="CA76" i="1" s="1"/>
  <c r="CA70" i="1"/>
  <c r="BJ58" i="1"/>
  <c r="BJ23" i="1" s="1"/>
  <c r="BF59" i="1"/>
  <c r="BH58" i="1"/>
  <c r="BH23" i="1" s="1"/>
  <c r="BE59" i="1"/>
  <c r="BI58" i="1"/>
  <c r="BI23" i="1" s="1"/>
  <c r="AW72" i="1" l="1"/>
  <c r="AW39" i="1" s="1"/>
  <c r="BH25" i="1"/>
  <c r="BI25" i="1"/>
  <c r="BI24" i="1"/>
  <c r="BJ25" i="1"/>
  <c r="BJ24" i="1"/>
  <c r="AY76" i="1"/>
  <c r="AX72" i="1"/>
  <c r="AX39" i="1" s="1"/>
  <c r="CB76" i="1"/>
  <c r="BL58" i="1"/>
  <c r="BL23" i="1" s="1"/>
  <c r="BM58" i="1"/>
  <c r="BM23" i="1" s="1"/>
  <c r="BI59" i="1"/>
  <c r="BN58" i="1"/>
  <c r="BN23" i="1" s="1"/>
  <c r="BJ59" i="1"/>
  <c r="BN24" i="1" l="1"/>
  <c r="BN25" i="1"/>
  <c r="BM25" i="1"/>
  <c r="BM24" i="1"/>
  <c r="BL25" i="1"/>
  <c r="CB72" i="1"/>
  <c r="AZ76" i="1"/>
  <c r="AY72" i="1"/>
  <c r="AY39" i="1" s="1"/>
  <c r="BM59" i="1"/>
  <c r="BN59" i="1"/>
  <c r="BA76" i="1" l="1"/>
  <c r="AZ72" i="1"/>
  <c r="AZ39" i="1" s="1"/>
  <c r="AU155" i="1"/>
  <c r="AM158" i="1"/>
  <c r="AN155" i="1"/>
  <c r="AO155" i="1"/>
  <c r="AP155" i="1"/>
  <c r="AQ155" i="1"/>
  <c r="AR155" i="1"/>
  <c r="AV157" i="1" s="1"/>
  <c r="AS155" i="1"/>
  <c r="AT155" i="1"/>
  <c r="AM160" i="1"/>
  <c r="AN160" i="1"/>
  <c r="AN163" i="1" s="1"/>
  <c r="AO160" i="1"/>
  <c r="AO163" i="1" s="1"/>
  <c r="AP160" i="1"/>
  <c r="AQ160" i="1"/>
  <c r="AR160" i="1"/>
  <c r="AV162" i="1" s="1"/>
  <c r="AS160" i="1"/>
  <c r="AT160" i="1"/>
  <c r="AT163" i="1" s="1"/>
  <c r="AU160" i="1"/>
  <c r="AV161" i="1" s="1"/>
  <c r="AT25" i="1"/>
  <c r="AS25" i="1"/>
  <c r="AR25" i="1"/>
  <c r="AQ25" i="1"/>
  <c r="AP25" i="1"/>
  <c r="AO25" i="1"/>
  <c r="AN25" i="1"/>
  <c r="AM25" i="1"/>
  <c r="AT24" i="1"/>
  <c r="AS24" i="1"/>
  <c r="AR24" i="1"/>
  <c r="AQ24" i="1"/>
  <c r="AP24" i="1"/>
  <c r="AO24" i="1"/>
  <c r="AN24" i="1"/>
  <c r="AM24" i="1"/>
  <c r="AL24" i="1"/>
  <c r="AT20" i="1"/>
  <c r="AS20" i="1"/>
  <c r="AR20" i="1"/>
  <c r="AQ20" i="1"/>
  <c r="AP20" i="1"/>
  <c r="AO20" i="1"/>
  <c r="AN20" i="1"/>
  <c r="AM20" i="1"/>
  <c r="AT19" i="1"/>
  <c r="AS19" i="1"/>
  <c r="AR19" i="1"/>
  <c r="AQ19" i="1"/>
  <c r="AP19" i="1"/>
  <c r="AO19" i="1"/>
  <c r="AN19" i="1"/>
  <c r="AM19" i="1"/>
  <c r="AL19" i="1"/>
  <c r="AK27" i="1"/>
  <c r="AL27" i="1"/>
  <c r="AM27" i="1"/>
  <c r="AN27" i="1"/>
  <c r="AO27" i="1"/>
  <c r="AO26" i="1" s="1"/>
  <c r="AP27" i="1"/>
  <c r="AP26" i="1" s="1"/>
  <c r="AQ27" i="1"/>
  <c r="AQ21" i="1" s="1"/>
  <c r="AR27" i="1"/>
  <c r="AR21" i="1" s="1"/>
  <c r="AS27" i="1"/>
  <c r="AS21" i="1" s="1"/>
  <c r="AT27" i="1"/>
  <c r="AT21" i="1" s="1"/>
  <c r="AO14" i="1"/>
  <c r="AP14" i="1"/>
  <c r="AQ14" i="1"/>
  <c r="AR14" i="1"/>
  <c r="AS14" i="1"/>
  <c r="AT14" i="1"/>
  <c r="AO15" i="1"/>
  <c r="AP15" i="1"/>
  <c r="AQ15" i="1"/>
  <c r="AR15" i="1"/>
  <c r="AS15" i="1"/>
  <c r="AT15" i="1"/>
  <c r="P13" i="2"/>
  <c r="J5" i="2"/>
  <c r="J6" i="2"/>
  <c r="D5" i="2"/>
  <c r="E5" i="2"/>
  <c r="F5" i="2"/>
  <c r="G5" i="2"/>
  <c r="H5" i="2"/>
  <c r="I5" i="2"/>
  <c r="C5" i="2"/>
  <c r="C6" i="2"/>
  <c r="D6" i="2"/>
  <c r="E6" i="2"/>
  <c r="F6" i="2"/>
  <c r="G6" i="2"/>
  <c r="H6" i="2"/>
  <c r="I6" i="2"/>
  <c r="B6" i="2"/>
  <c r="B5" i="2"/>
  <c r="CB155" i="1" l="1"/>
  <c r="AV156" i="1"/>
  <c r="BB76" i="1"/>
  <c r="CC76" i="1" s="1"/>
  <c r="BA72" i="1"/>
  <c r="BA39" i="1" s="1"/>
  <c r="AU158" i="1"/>
  <c r="AQ163" i="1"/>
  <c r="CA160" i="1"/>
  <c r="CA155" i="1"/>
  <c r="BZ155" i="1"/>
  <c r="AU161" i="1"/>
  <c r="CB160" i="1"/>
  <c r="AM163" i="1"/>
  <c r="BZ160" i="1"/>
  <c r="AP161" i="1"/>
  <c r="AM26" i="1"/>
  <c r="AM16" i="1"/>
  <c r="AR161" i="1"/>
  <c r="AR157" i="1"/>
  <c r="AR156" i="1"/>
  <c r="AO157" i="1"/>
  <c r="AO156" i="1"/>
  <c r="AK16" i="1"/>
  <c r="AK26" i="1"/>
  <c r="AK21" i="1"/>
  <c r="AP158" i="1"/>
  <c r="AP156" i="1"/>
  <c r="AP157" i="1"/>
  <c r="AN158" i="1"/>
  <c r="AN156" i="1"/>
  <c r="AN157" i="1"/>
  <c r="AT158" i="1"/>
  <c r="AT157" i="1"/>
  <c r="AT156" i="1"/>
  <c r="AL21" i="1"/>
  <c r="AL16" i="1"/>
  <c r="AQ156" i="1"/>
  <c r="AQ157" i="1"/>
  <c r="AN26" i="1"/>
  <c r="AN16" i="1"/>
  <c r="AS161" i="1"/>
  <c r="AS158" i="1"/>
  <c r="AS157" i="1"/>
  <c r="AS156" i="1"/>
  <c r="AQ158" i="1"/>
  <c r="AU157" i="1"/>
  <c r="AU156" i="1"/>
  <c r="AR163" i="1"/>
  <c r="AQ161" i="1"/>
  <c r="AS162" i="1"/>
  <c r="AP163" i="1"/>
  <c r="AN161" i="1"/>
  <c r="AQ162" i="1"/>
  <c r="AR158" i="1"/>
  <c r="AS163" i="1"/>
  <c r="AT162" i="1"/>
  <c r="AO158" i="1"/>
  <c r="AR162" i="1"/>
  <c r="AU162" i="1"/>
  <c r="AO161" i="1"/>
  <c r="AT161" i="1"/>
  <c r="AU163" i="1"/>
  <c r="AO21" i="1"/>
  <c r="AP21" i="1"/>
  <c r="AN21" i="1"/>
  <c r="AM21" i="1"/>
  <c r="AQ26" i="1"/>
  <c r="AR26" i="1"/>
  <c r="AS26" i="1"/>
  <c r="AL26" i="1"/>
  <c r="AT26" i="1"/>
  <c r="BX80" i="29"/>
  <c r="BW80" i="29"/>
  <c r="BV80" i="29"/>
  <c r="BU80" i="29"/>
  <c r="BT80" i="29"/>
  <c r="BS80" i="29"/>
  <c r="BR80" i="29"/>
  <c r="BQ80" i="29"/>
  <c r="BC76" i="1" l="1"/>
  <c r="BB72" i="1"/>
  <c r="BB39" i="1" s="1"/>
  <c r="CA157" i="1"/>
  <c r="CB162" i="1"/>
  <c r="CA162" i="1"/>
  <c r="CB157" i="1"/>
  <c r="BP56" i="29"/>
  <c r="BQ56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Z25" i="29"/>
  <c r="AA25" i="29"/>
  <c r="C25" i="29"/>
  <c r="D25" i="29"/>
  <c r="E25" i="29"/>
  <c r="F25" i="29"/>
  <c r="G25" i="29"/>
  <c r="B25" i="29"/>
  <c r="C79" i="29"/>
  <c r="D79" i="29"/>
  <c r="E79" i="29"/>
  <c r="F79" i="29"/>
  <c r="G79" i="29"/>
  <c r="H79" i="29"/>
  <c r="I79" i="29"/>
  <c r="J79" i="29"/>
  <c r="K79" i="29"/>
  <c r="L79" i="29"/>
  <c r="M79" i="29"/>
  <c r="N79" i="29"/>
  <c r="O79" i="29"/>
  <c r="P79" i="29"/>
  <c r="Q79" i="29"/>
  <c r="R79" i="29"/>
  <c r="S79" i="29"/>
  <c r="T79" i="29"/>
  <c r="U79" i="29"/>
  <c r="V79" i="29"/>
  <c r="W79" i="29"/>
  <c r="X79" i="29"/>
  <c r="Y79" i="29"/>
  <c r="Z79" i="29"/>
  <c r="AA79" i="29"/>
  <c r="AB79" i="29"/>
  <c r="AC79" i="29"/>
  <c r="AD79" i="29"/>
  <c r="AE79" i="29"/>
  <c r="AF79" i="29"/>
  <c r="AG79" i="29"/>
  <c r="AH79" i="29"/>
  <c r="AI79" i="29"/>
  <c r="AJ79" i="29"/>
  <c r="AK79" i="29"/>
  <c r="AL79" i="29"/>
  <c r="AM79" i="29"/>
  <c r="AN79" i="29"/>
  <c r="AO79" i="29"/>
  <c r="AP79" i="29"/>
  <c r="AQ79" i="29"/>
  <c r="AR79" i="29"/>
  <c r="AS79" i="29"/>
  <c r="AT79" i="29"/>
  <c r="AU79" i="29"/>
  <c r="B79" i="29"/>
  <c r="A79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AE22" i="29"/>
  <c r="AF22" i="29"/>
  <c r="AG22" i="29"/>
  <c r="AH22" i="29"/>
  <c r="AI22" i="29"/>
  <c r="AJ22" i="29"/>
  <c r="AK22" i="29"/>
  <c r="AL22" i="29"/>
  <c r="AM22" i="29"/>
  <c r="AN22" i="29"/>
  <c r="AO22" i="29"/>
  <c r="AP22" i="29"/>
  <c r="AQ22" i="29"/>
  <c r="AR22" i="29"/>
  <c r="AS22" i="29"/>
  <c r="AT22" i="29"/>
  <c r="AU22" i="29"/>
  <c r="B22" i="29"/>
  <c r="B68" i="29"/>
  <c r="BT79" i="29" l="1"/>
  <c r="BV79" i="29"/>
  <c r="BZ79" i="29"/>
  <c r="BX79" i="29"/>
  <c r="BR79" i="29"/>
  <c r="BY79" i="29"/>
  <c r="BS79" i="29"/>
  <c r="BW79" i="29"/>
  <c r="CA79" i="29"/>
  <c r="BU79" i="29"/>
  <c r="BQ79" i="29"/>
  <c r="CC72" i="1"/>
  <c r="BD76" i="1"/>
  <c r="BC72" i="1"/>
  <c r="BC39" i="1" s="1"/>
  <c r="BR25" i="29"/>
  <c r="BQ25" i="29"/>
  <c r="BU25" i="29"/>
  <c r="BS25" i="29"/>
  <c r="BV25" i="29"/>
  <c r="BT25" i="29"/>
  <c r="BE76" i="1" l="1"/>
  <c r="BD72" i="1"/>
  <c r="BD39" i="1" s="1"/>
  <c r="AT11" i="29"/>
  <c r="AS11" i="29"/>
  <c r="AQ11" i="29"/>
  <c r="AP11" i="29"/>
  <c r="AO11" i="29"/>
  <c r="AN11" i="29"/>
  <c r="AM11" i="29"/>
  <c r="AL11" i="29"/>
  <c r="AK11" i="29"/>
  <c r="AJ11" i="29"/>
  <c r="AI11" i="29"/>
  <c r="AH11" i="29"/>
  <c r="AG11" i="29"/>
  <c r="AF11" i="29"/>
  <c r="AE11" i="29"/>
  <c r="AD11" i="29"/>
  <c r="AC11" i="29"/>
  <c r="AB11" i="29"/>
  <c r="AA11" i="29"/>
  <c r="Z11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B65" i="29"/>
  <c r="C65" i="29"/>
  <c r="D65" i="29"/>
  <c r="E65" i="29"/>
  <c r="F65" i="29"/>
  <c r="AH65" i="29"/>
  <c r="AG65" i="29"/>
  <c r="AF65" i="29"/>
  <c r="AE65" i="29"/>
  <c r="AD65" i="29"/>
  <c r="AC65" i="29"/>
  <c r="AB65" i="29"/>
  <c r="AA65" i="29"/>
  <c r="Z65" i="29"/>
  <c r="Y65" i="29"/>
  <c r="X65" i="29"/>
  <c r="W65" i="29"/>
  <c r="V65" i="29"/>
  <c r="U65" i="29"/>
  <c r="T65" i="29"/>
  <c r="S65" i="29"/>
  <c r="R65" i="29"/>
  <c r="Q65" i="29"/>
  <c r="P65" i="29"/>
  <c r="O65" i="29"/>
  <c r="N65" i="29"/>
  <c r="M65" i="29"/>
  <c r="L65" i="29"/>
  <c r="K65" i="29"/>
  <c r="J65" i="29"/>
  <c r="I65" i="29"/>
  <c r="H65" i="29"/>
  <c r="G65" i="29"/>
  <c r="AU65" i="29"/>
  <c r="AT65" i="29"/>
  <c r="AS65" i="29"/>
  <c r="AR65" i="29"/>
  <c r="AQ65" i="29"/>
  <c r="AP65" i="29"/>
  <c r="AO65" i="29"/>
  <c r="AN65" i="29"/>
  <c r="AM65" i="29"/>
  <c r="AL65" i="29"/>
  <c r="AK65" i="29"/>
  <c r="AJ65" i="29"/>
  <c r="AI65" i="29"/>
  <c r="C68" i="29"/>
  <c r="D68" i="29"/>
  <c r="E68" i="29"/>
  <c r="F68" i="29"/>
  <c r="G68" i="29"/>
  <c r="H68" i="29"/>
  <c r="I68" i="29"/>
  <c r="J68" i="29"/>
  <c r="K68" i="29"/>
  <c r="L68" i="29"/>
  <c r="M68" i="29"/>
  <c r="N68" i="29"/>
  <c r="O68" i="29"/>
  <c r="P68" i="29"/>
  <c r="Q68" i="29"/>
  <c r="R68" i="29"/>
  <c r="S68" i="29"/>
  <c r="T68" i="29"/>
  <c r="U68" i="29"/>
  <c r="V68" i="29"/>
  <c r="W68" i="29"/>
  <c r="X68" i="29"/>
  <c r="Y68" i="29"/>
  <c r="Z68" i="29"/>
  <c r="AA68" i="29"/>
  <c r="AB68" i="29"/>
  <c r="AC68" i="29"/>
  <c r="AD68" i="29"/>
  <c r="AE68" i="29"/>
  <c r="AF68" i="29"/>
  <c r="AG68" i="29"/>
  <c r="AH68" i="29"/>
  <c r="B69" i="29"/>
  <c r="C69" i="29"/>
  <c r="D69" i="29"/>
  <c r="E69" i="29"/>
  <c r="F69" i="29"/>
  <c r="G69" i="29"/>
  <c r="H69" i="29"/>
  <c r="I69" i="29"/>
  <c r="J69" i="29"/>
  <c r="K69" i="29"/>
  <c r="L69" i="29"/>
  <c r="M69" i="29"/>
  <c r="N69" i="29"/>
  <c r="O69" i="29"/>
  <c r="P69" i="29"/>
  <c r="Q69" i="29"/>
  <c r="R69" i="29"/>
  <c r="S69" i="29"/>
  <c r="T69" i="29"/>
  <c r="U69" i="29"/>
  <c r="V69" i="29"/>
  <c r="W69" i="29"/>
  <c r="X69" i="29"/>
  <c r="Y69" i="29"/>
  <c r="Z69" i="29"/>
  <c r="AA69" i="29"/>
  <c r="AB69" i="29"/>
  <c r="AC69" i="29"/>
  <c r="AD69" i="29"/>
  <c r="AE69" i="29"/>
  <c r="AF69" i="29"/>
  <c r="AG69" i="29"/>
  <c r="AH69" i="29"/>
  <c r="B70" i="29"/>
  <c r="C70" i="29"/>
  <c r="D70" i="29"/>
  <c r="E70" i="29"/>
  <c r="F70" i="29"/>
  <c r="G70" i="29"/>
  <c r="H70" i="29"/>
  <c r="I70" i="29"/>
  <c r="J70" i="29"/>
  <c r="K70" i="29"/>
  <c r="L70" i="29"/>
  <c r="M70" i="29"/>
  <c r="N70" i="29"/>
  <c r="O70" i="29"/>
  <c r="P70" i="29"/>
  <c r="Q70" i="29"/>
  <c r="R70" i="29"/>
  <c r="S70" i="29"/>
  <c r="T70" i="29"/>
  <c r="U70" i="29"/>
  <c r="V70" i="29"/>
  <c r="W70" i="29"/>
  <c r="X70" i="29"/>
  <c r="Y70" i="29"/>
  <c r="Z70" i="29"/>
  <c r="AA70" i="29"/>
  <c r="AB70" i="29"/>
  <c r="AC70" i="29"/>
  <c r="AD70" i="29"/>
  <c r="AE70" i="29"/>
  <c r="AF70" i="29"/>
  <c r="AG70" i="29"/>
  <c r="AH70" i="29"/>
  <c r="B71" i="29"/>
  <c r="C71" i="29"/>
  <c r="D71" i="29"/>
  <c r="E71" i="29"/>
  <c r="F71" i="29"/>
  <c r="G71" i="29"/>
  <c r="H71" i="29"/>
  <c r="I71" i="29"/>
  <c r="J71" i="29"/>
  <c r="K71" i="29"/>
  <c r="L71" i="29"/>
  <c r="M71" i="29"/>
  <c r="N71" i="29"/>
  <c r="O71" i="29"/>
  <c r="P71" i="29"/>
  <c r="Q71" i="29"/>
  <c r="R71" i="29"/>
  <c r="S71" i="29"/>
  <c r="T71" i="29"/>
  <c r="U71" i="29"/>
  <c r="V71" i="29"/>
  <c r="W71" i="29"/>
  <c r="X71" i="29"/>
  <c r="Y71" i="29"/>
  <c r="Z71" i="29"/>
  <c r="AA71" i="29"/>
  <c r="AB71" i="29"/>
  <c r="AC71" i="29"/>
  <c r="AD71" i="29"/>
  <c r="AE71" i="29"/>
  <c r="AF71" i="29"/>
  <c r="AG71" i="29"/>
  <c r="AH71" i="29"/>
  <c r="B72" i="29"/>
  <c r="C72" i="29"/>
  <c r="D72" i="29"/>
  <c r="E72" i="29"/>
  <c r="F72" i="29"/>
  <c r="G72" i="29"/>
  <c r="H72" i="29"/>
  <c r="I72" i="29"/>
  <c r="J72" i="29"/>
  <c r="K72" i="29"/>
  <c r="L72" i="29"/>
  <c r="M72" i="29"/>
  <c r="N72" i="29"/>
  <c r="O72" i="29"/>
  <c r="P72" i="29"/>
  <c r="Q72" i="29"/>
  <c r="R72" i="29"/>
  <c r="S72" i="29"/>
  <c r="T72" i="29"/>
  <c r="U72" i="29"/>
  <c r="V72" i="29"/>
  <c r="W72" i="29"/>
  <c r="X72" i="29"/>
  <c r="Y72" i="29"/>
  <c r="Z72" i="29"/>
  <c r="AA72" i="29"/>
  <c r="AB72" i="29"/>
  <c r="AC72" i="29"/>
  <c r="AD72" i="29"/>
  <c r="AE72" i="29"/>
  <c r="AF72" i="29"/>
  <c r="AG72" i="29"/>
  <c r="AH72" i="29"/>
  <c r="B73" i="29"/>
  <c r="C73" i="29"/>
  <c r="D73" i="29"/>
  <c r="E73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AF73" i="29"/>
  <c r="AG73" i="29"/>
  <c r="AH73" i="29"/>
  <c r="AI68" i="29"/>
  <c r="AJ68" i="29"/>
  <c r="AK68" i="29"/>
  <c r="AL68" i="29"/>
  <c r="AM68" i="29"/>
  <c r="AN68" i="29"/>
  <c r="AO68" i="29"/>
  <c r="AP68" i="29"/>
  <c r="AQ68" i="29"/>
  <c r="AR68" i="29"/>
  <c r="AS68" i="29"/>
  <c r="AT68" i="29"/>
  <c r="AI69" i="29"/>
  <c r="AJ69" i="29"/>
  <c r="AK69" i="29"/>
  <c r="AL69" i="29"/>
  <c r="AM69" i="29"/>
  <c r="AN69" i="29"/>
  <c r="AO69" i="29"/>
  <c r="AP69" i="29"/>
  <c r="AQ69" i="29"/>
  <c r="AR69" i="29"/>
  <c r="AS69" i="29"/>
  <c r="AT69" i="29"/>
  <c r="AI70" i="29"/>
  <c r="AJ70" i="29"/>
  <c r="AK70" i="29"/>
  <c r="AL70" i="29"/>
  <c r="AM70" i="29"/>
  <c r="AN70" i="29"/>
  <c r="AO70" i="29"/>
  <c r="AP70" i="29"/>
  <c r="AQ70" i="29"/>
  <c r="AR70" i="29"/>
  <c r="AS70" i="29"/>
  <c r="AT70" i="29"/>
  <c r="AI71" i="29"/>
  <c r="AJ71" i="29"/>
  <c r="AK71" i="29"/>
  <c r="AL71" i="29"/>
  <c r="AM71" i="29"/>
  <c r="AN71" i="29"/>
  <c r="AO71" i="29"/>
  <c r="AP71" i="29"/>
  <c r="AQ71" i="29"/>
  <c r="AR71" i="29"/>
  <c r="AS71" i="29"/>
  <c r="AT71" i="29"/>
  <c r="AI72" i="29"/>
  <c r="AJ72" i="29"/>
  <c r="AK72" i="29"/>
  <c r="AL72" i="29"/>
  <c r="AM72" i="29"/>
  <c r="AN72" i="29"/>
  <c r="AO72" i="29"/>
  <c r="AP72" i="29"/>
  <c r="AQ72" i="29"/>
  <c r="AR72" i="29"/>
  <c r="AS72" i="29"/>
  <c r="AT72" i="29"/>
  <c r="AI73" i="29"/>
  <c r="AJ73" i="29"/>
  <c r="AK73" i="29"/>
  <c r="AL73" i="29"/>
  <c r="AM73" i="29"/>
  <c r="AN73" i="29"/>
  <c r="AO73" i="29"/>
  <c r="AP73" i="29"/>
  <c r="AQ73" i="29"/>
  <c r="AR73" i="29"/>
  <c r="AS73" i="29"/>
  <c r="AT73" i="29"/>
  <c r="AU68" i="29"/>
  <c r="AU69" i="29"/>
  <c r="AU70" i="29"/>
  <c r="AU71" i="29"/>
  <c r="AU72" i="29"/>
  <c r="AU73" i="29"/>
  <c r="AK9" i="29"/>
  <c r="AJ9" i="29"/>
  <c r="AI9" i="29"/>
  <c r="AH9" i="29"/>
  <c r="AG9" i="29"/>
  <c r="AF9" i="29"/>
  <c r="AE9" i="29"/>
  <c r="AD9" i="29"/>
  <c r="AC9" i="29"/>
  <c r="AB9" i="29"/>
  <c r="AA9" i="29"/>
  <c r="Z9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AL9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Z7" i="29"/>
  <c r="AA7" i="29"/>
  <c r="AB7" i="29"/>
  <c r="AC7" i="29"/>
  <c r="AD7" i="29"/>
  <c r="AE7" i="29"/>
  <c r="AF7" i="29"/>
  <c r="AG7" i="29"/>
  <c r="AH7" i="29"/>
  <c r="AI7" i="29"/>
  <c r="AJ7" i="29"/>
  <c r="AK7" i="29"/>
  <c r="AL7" i="29"/>
  <c r="AM63" i="29"/>
  <c r="AK63" i="29"/>
  <c r="AJ63" i="29"/>
  <c r="AI63" i="29"/>
  <c r="AH63" i="29"/>
  <c r="AG63" i="29"/>
  <c r="AF63" i="29"/>
  <c r="AE63" i="29"/>
  <c r="AD63" i="29"/>
  <c r="AC63" i="29"/>
  <c r="AB63" i="29"/>
  <c r="AA63" i="29"/>
  <c r="Z63" i="29"/>
  <c r="Y63" i="29"/>
  <c r="X63" i="29"/>
  <c r="W63" i="29"/>
  <c r="V63" i="29"/>
  <c r="U63" i="29"/>
  <c r="T63" i="29"/>
  <c r="S63" i="29"/>
  <c r="R63" i="29"/>
  <c r="Q63" i="29"/>
  <c r="P63" i="29"/>
  <c r="O63" i="29"/>
  <c r="N63" i="29"/>
  <c r="M63" i="29"/>
  <c r="L63" i="29"/>
  <c r="K63" i="29"/>
  <c r="J63" i="29"/>
  <c r="I63" i="29"/>
  <c r="H63" i="29"/>
  <c r="G63" i="29"/>
  <c r="F63" i="29"/>
  <c r="E63" i="29"/>
  <c r="D63" i="29"/>
  <c r="C63" i="29"/>
  <c r="B63" i="29"/>
  <c r="AL63" i="29"/>
  <c r="AN61" i="29"/>
  <c r="AO61" i="29"/>
  <c r="AP61" i="29"/>
  <c r="AQ61" i="29"/>
  <c r="AR61" i="29"/>
  <c r="AS61" i="29"/>
  <c r="AT61" i="29"/>
  <c r="AU61" i="29"/>
  <c r="AN62" i="29"/>
  <c r="AO62" i="29"/>
  <c r="AP62" i="29"/>
  <c r="AQ62" i="29"/>
  <c r="AR62" i="29"/>
  <c r="AS62" i="29"/>
  <c r="AT62" i="29"/>
  <c r="AU62" i="29"/>
  <c r="AM62" i="29"/>
  <c r="AM61" i="29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N136" i="1"/>
  <c r="AO136" i="1"/>
  <c r="AP136" i="1"/>
  <c r="AQ136" i="1"/>
  <c r="AR136" i="1"/>
  <c r="AS136" i="1"/>
  <c r="AT136" i="1"/>
  <c r="AU136" i="1"/>
  <c r="AQ137" i="1"/>
  <c r="AR137" i="1"/>
  <c r="AS137" i="1"/>
  <c r="AT137" i="1"/>
  <c r="AU137" i="1"/>
  <c r="AM138" i="1"/>
  <c r="AN138" i="1"/>
  <c r="AO138" i="1"/>
  <c r="AP138" i="1"/>
  <c r="AQ138" i="1"/>
  <c r="AR138" i="1"/>
  <c r="AS138" i="1"/>
  <c r="AT138" i="1"/>
  <c r="AU138" i="1"/>
  <c r="AR151" i="1"/>
  <c r="AS151" i="1"/>
  <c r="AT151" i="1"/>
  <c r="AU151" i="1"/>
  <c r="AR152" i="1"/>
  <c r="AS152" i="1"/>
  <c r="AT152" i="1"/>
  <c r="AU152" i="1"/>
  <c r="AR153" i="1"/>
  <c r="AS153" i="1"/>
  <c r="AT153" i="1"/>
  <c r="AU153" i="1"/>
  <c r="B101" i="1"/>
  <c r="C101" i="1"/>
  <c r="D101" i="1"/>
  <c r="E101" i="1"/>
  <c r="E104" i="1" s="1"/>
  <c r="F101" i="1"/>
  <c r="G101" i="1"/>
  <c r="H101" i="1"/>
  <c r="I101" i="1"/>
  <c r="I104" i="1" s="1"/>
  <c r="J101" i="1"/>
  <c r="K101" i="1"/>
  <c r="K105" i="1" s="1"/>
  <c r="L101" i="1"/>
  <c r="M101" i="1"/>
  <c r="N101" i="1"/>
  <c r="O101" i="1"/>
  <c r="P101" i="1"/>
  <c r="P104" i="1" s="1"/>
  <c r="Q101" i="1"/>
  <c r="R101" i="1"/>
  <c r="S101" i="1"/>
  <c r="T101" i="1"/>
  <c r="T104" i="1" s="1"/>
  <c r="U101" i="1"/>
  <c r="V101" i="1"/>
  <c r="W101" i="1"/>
  <c r="W104" i="1" s="1"/>
  <c r="X101" i="1"/>
  <c r="X104" i="1" s="1"/>
  <c r="Y101" i="1"/>
  <c r="Z101" i="1"/>
  <c r="AA101" i="1"/>
  <c r="AB101" i="1"/>
  <c r="AB104" i="1" s="1"/>
  <c r="AC101" i="1"/>
  <c r="AD101" i="1"/>
  <c r="AD104" i="1" s="1"/>
  <c r="AE101" i="1"/>
  <c r="AF101" i="1"/>
  <c r="AG101" i="1"/>
  <c r="AH101" i="1"/>
  <c r="AH105" i="1" s="1"/>
  <c r="AI101" i="1"/>
  <c r="AJ101" i="1"/>
  <c r="AK101" i="1"/>
  <c r="AL101" i="1"/>
  <c r="AQ108" i="1"/>
  <c r="AR108" i="1"/>
  <c r="AS108" i="1"/>
  <c r="AT108" i="1"/>
  <c r="AU108" i="1"/>
  <c r="AQ109" i="1"/>
  <c r="AR109" i="1"/>
  <c r="AS109" i="1"/>
  <c r="AT109" i="1"/>
  <c r="AU109" i="1"/>
  <c r="AP120" i="1"/>
  <c r="AQ120" i="1"/>
  <c r="AR120" i="1"/>
  <c r="AS120" i="1"/>
  <c r="AT120" i="1"/>
  <c r="AU120" i="1"/>
  <c r="AQ121" i="1"/>
  <c r="AR121" i="1"/>
  <c r="AS121" i="1"/>
  <c r="AT121" i="1"/>
  <c r="AU121" i="1"/>
  <c r="AU33" i="29"/>
  <c r="AT33" i="29"/>
  <c r="AS33" i="29"/>
  <c r="AR33" i="29"/>
  <c r="AQ33" i="29"/>
  <c r="AP33" i="29"/>
  <c r="AO33" i="29"/>
  <c r="AN33" i="29"/>
  <c r="AM33" i="29"/>
  <c r="AL33" i="29"/>
  <c r="AK33" i="29"/>
  <c r="AJ33" i="29"/>
  <c r="AI33" i="29"/>
  <c r="AH33" i="29"/>
  <c r="AG33" i="29"/>
  <c r="AF33" i="29"/>
  <c r="AE33" i="29"/>
  <c r="AD33" i="29"/>
  <c r="AC33" i="29"/>
  <c r="AB33" i="29"/>
  <c r="AA33" i="29"/>
  <c r="Z33" i="29"/>
  <c r="Y33" i="29"/>
  <c r="X33" i="29"/>
  <c r="W33" i="29"/>
  <c r="V33" i="29"/>
  <c r="U33" i="29"/>
  <c r="T33" i="29"/>
  <c r="S33" i="29"/>
  <c r="R33" i="29"/>
  <c r="Q33" i="29"/>
  <c r="P33" i="29"/>
  <c r="O33" i="29"/>
  <c r="N33" i="29"/>
  <c r="M33" i="29"/>
  <c r="L33" i="29"/>
  <c r="K33" i="29"/>
  <c r="J33" i="29"/>
  <c r="I33" i="29"/>
  <c r="H33" i="29"/>
  <c r="G33" i="29"/>
  <c r="F33" i="29"/>
  <c r="E33" i="29"/>
  <c r="D33" i="29"/>
  <c r="C33" i="29"/>
  <c r="B33" i="29"/>
  <c r="AU87" i="29"/>
  <c r="AT87" i="29"/>
  <c r="AS87" i="29"/>
  <c r="AR87" i="29"/>
  <c r="AQ87" i="29"/>
  <c r="AP87" i="29"/>
  <c r="AO87" i="29"/>
  <c r="AN87" i="29"/>
  <c r="AM87" i="29"/>
  <c r="AL87" i="29"/>
  <c r="AK87" i="29"/>
  <c r="AJ87" i="29"/>
  <c r="AI87" i="29"/>
  <c r="AH87" i="29"/>
  <c r="AG87" i="29"/>
  <c r="AF87" i="29"/>
  <c r="AE87" i="29"/>
  <c r="AD87" i="29"/>
  <c r="AC87" i="29"/>
  <c r="AB87" i="29"/>
  <c r="AA87" i="29"/>
  <c r="Z87" i="29"/>
  <c r="Y87" i="29"/>
  <c r="X87" i="29"/>
  <c r="W87" i="29"/>
  <c r="V87" i="29"/>
  <c r="U87" i="29"/>
  <c r="T87" i="29"/>
  <c r="S87" i="29"/>
  <c r="R87" i="29"/>
  <c r="Q87" i="29"/>
  <c r="P87" i="29"/>
  <c r="O87" i="29"/>
  <c r="N87" i="29"/>
  <c r="M87" i="29"/>
  <c r="L87" i="29"/>
  <c r="K87" i="29"/>
  <c r="J87" i="29"/>
  <c r="I87" i="29"/>
  <c r="H87" i="29"/>
  <c r="G87" i="29"/>
  <c r="F87" i="29"/>
  <c r="E87" i="29"/>
  <c r="D87" i="29"/>
  <c r="C87" i="29"/>
  <c r="B87" i="29"/>
  <c r="CA23" i="29"/>
  <c r="BZ23" i="29"/>
  <c r="BY23" i="29"/>
  <c r="BX23" i="29"/>
  <c r="BW23" i="29"/>
  <c r="BV23" i="29"/>
  <c r="BU23" i="29"/>
  <c r="BT23" i="29"/>
  <c r="BS23" i="29"/>
  <c r="BR23" i="29"/>
  <c r="BQ23" i="29"/>
  <c r="BN23" i="29"/>
  <c r="BM23" i="29"/>
  <c r="BL23" i="29"/>
  <c r="BK23" i="29"/>
  <c r="BJ23" i="29"/>
  <c r="BI23" i="29"/>
  <c r="BH23" i="29"/>
  <c r="BG23" i="29"/>
  <c r="BF23" i="29"/>
  <c r="BE23" i="29"/>
  <c r="BD23" i="29"/>
  <c r="BC23" i="29"/>
  <c r="BB23" i="29"/>
  <c r="BA23" i="29"/>
  <c r="AZ23" i="29"/>
  <c r="AY23" i="29"/>
  <c r="AX23" i="29"/>
  <c r="AW23" i="29"/>
  <c r="CA82" i="29"/>
  <c r="BZ82" i="29"/>
  <c r="BY82" i="29"/>
  <c r="BX82" i="29"/>
  <c r="BW82" i="29"/>
  <c r="BV82" i="29"/>
  <c r="BU82" i="29"/>
  <c r="BT82" i="29"/>
  <c r="BS82" i="29"/>
  <c r="BR82" i="29"/>
  <c r="BQ82" i="29"/>
  <c r="CA22" i="29"/>
  <c r="BZ22" i="29"/>
  <c r="BY22" i="29"/>
  <c r="BX22" i="29"/>
  <c r="BW22" i="29"/>
  <c r="BV22" i="29"/>
  <c r="BU22" i="29"/>
  <c r="BT22" i="29"/>
  <c r="BS22" i="29"/>
  <c r="BR22" i="29"/>
  <c r="BQ22" i="29"/>
  <c r="BP17" i="29"/>
  <c r="BP12" i="29"/>
  <c r="BP66" i="29"/>
  <c r="BT38" i="29"/>
  <c r="BS38" i="29"/>
  <c r="BR38" i="29"/>
  <c r="BQ38" i="29"/>
  <c r="BP38" i="29"/>
  <c r="AU67" i="3"/>
  <c r="AU23" i="1"/>
  <c r="AV24" i="1" s="1"/>
  <c r="AU18" i="1"/>
  <c r="AV19" i="1" s="1"/>
  <c r="AU13" i="1"/>
  <c r="AV14" i="1" s="1"/>
  <c r="AU46" i="1"/>
  <c r="AU41" i="1"/>
  <c r="AU35" i="1"/>
  <c r="AW17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U60" i="3"/>
  <c r="AU61" i="3" s="1"/>
  <c r="AW61" i="3" s="1"/>
  <c r="AX61" i="3" s="1"/>
  <c r="AY61" i="3" s="1"/>
  <c r="AZ61" i="3" s="1"/>
  <c r="BA61" i="3" s="1"/>
  <c r="BB61" i="3" s="1"/>
  <c r="BC61" i="3" s="1"/>
  <c r="BD61" i="3" s="1"/>
  <c r="BE61" i="3" s="1"/>
  <c r="BF61" i="3" s="1"/>
  <c r="BG61" i="3" s="1"/>
  <c r="BH61" i="3" s="1"/>
  <c r="BI61" i="3" s="1"/>
  <c r="BJ61" i="3" s="1"/>
  <c r="BK61" i="3" s="1"/>
  <c r="BL61" i="3" s="1"/>
  <c r="BM61" i="3" s="1"/>
  <c r="BN61" i="3" s="1"/>
  <c r="AI60" i="3"/>
  <c r="AI61" i="3" s="1"/>
  <c r="AJ60" i="3"/>
  <c r="AJ61" i="3" s="1"/>
  <c r="AK60" i="3"/>
  <c r="AK61" i="3" s="1"/>
  <c r="AL60" i="3"/>
  <c r="AL61" i="3" s="1"/>
  <c r="AM60" i="3"/>
  <c r="AM61" i="3" s="1"/>
  <c r="AN60" i="3"/>
  <c r="AN61" i="3" s="1"/>
  <c r="AO60" i="3"/>
  <c r="AO61" i="3" s="1"/>
  <c r="AP60" i="3"/>
  <c r="AP61" i="3" s="1"/>
  <c r="AQ60" i="3"/>
  <c r="AQ61" i="3" s="1"/>
  <c r="AR60" i="3"/>
  <c r="AR61" i="3" s="1"/>
  <c r="AS60" i="3"/>
  <c r="AS61" i="3" s="1"/>
  <c r="AT60" i="3"/>
  <c r="AT61" i="3" s="1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U58" i="3"/>
  <c r="AJ54" i="3"/>
  <c r="AK54" i="3"/>
  <c r="AL54" i="3"/>
  <c r="AM54" i="3"/>
  <c r="AN54" i="3"/>
  <c r="AO54" i="3"/>
  <c r="AP54" i="3"/>
  <c r="AQ54" i="3"/>
  <c r="AR54" i="3"/>
  <c r="AS54" i="3"/>
  <c r="AT54" i="3"/>
  <c r="AI54" i="3"/>
  <c r="AU54" i="3"/>
  <c r="AU55" i="3"/>
  <c r="AX55" i="3" s="1"/>
  <c r="AY55" i="3" s="1"/>
  <c r="AZ55" i="3" s="1"/>
  <c r="BA55" i="3" s="1"/>
  <c r="BB55" i="3" s="1"/>
  <c r="BC55" i="3" s="1"/>
  <c r="BD55" i="3" s="1"/>
  <c r="BE55" i="3" s="1"/>
  <c r="BF55" i="3" s="1"/>
  <c r="BG55" i="3" s="1"/>
  <c r="BH55" i="3" s="1"/>
  <c r="BI55" i="3" s="1"/>
  <c r="BJ55" i="3" s="1"/>
  <c r="BK55" i="3" s="1"/>
  <c r="BL55" i="3" s="1"/>
  <c r="BM55" i="3" s="1"/>
  <c r="BN55" i="3" s="1"/>
  <c r="AJ51" i="3"/>
  <c r="AJ52" i="3" s="1"/>
  <c r="AK51" i="3"/>
  <c r="AK52" i="3" s="1"/>
  <c r="AL51" i="3"/>
  <c r="AL52" i="3" s="1"/>
  <c r="AM51" i="3"/>
  <c r="AM52" i="3" s="1"/>
  <c r="AN51" i="3"/>
  <c r="AN52" i="3" s="1"/>
  <c r="AO51" i="3"/>
  <c r="AO52" i="3" s="1"/>
  <c r="AP51" i="3"/>
  <c r="AP52" i="3" s="1"/>
  <c r="AQ51" i="3"/>
  <c r="AQ52" i="3" s="1"/>
  <c r="AR51" i="3"/>
  <c r="AR52" i="3" s="1"/>
  <c r="AS51" i="3"/>
  <c r="AS52" i="3" s="1"/>
  <c r="AT51" i="3"/>
  <c r="AT52" i="3" s="1"/>
  <c r="AU51" i="3"/>
  <c r="AU52" i="3" s="1"/>
  <c r="AW52" i="3" s="1"/>
  <c r="AY52" i="3" s="1"/>
  <c r="AZ52" i="3" s="1"/>
  <c r="BA52" i="3" s="1"/>
  <c r="AI51" i="3"/>
  <c r="AI52" i="3" s="1"/>
  <c r="BP54" i="4"/>
  <c r="C54" i="4"/>
  <c r="C56" i="4" s="1"/>
  <c r="D54" i="4"/>
  <c r="D56" i="4" s="1"/>
  <c r="E54" i="4"/>
  <c r="E56" i="4" s="1"/>
  <c r="F54" i="4"/>
  <c r="F55" i="4" s="1"/>
  <c r="G54" i="4"/>
  <c r="G55" i="4" s="1"/>
  <c r="H54" i="4"/>
  <c r="I54" i="4"/>
  <c r="J54" i="4"/>
  <c r="K54" i="4"/>
  <c r="L54" i="4"/>
  <c r="M54" i="4"/>
  <c r="M55" i="4" s="1"/>
  <c r="N54" i="4"/>
  <c r="O54" i="4"/>
  <c r="O56" i="4" s="1"/>
  <c r="P54" i="4"/>
  <c r="Q54" i="4"/>
  <c r="R54" i="4"/>
  <c r="S54" i="4"/>
  <c r="S56" i="4" s="1"/>
  <c r="T54" i="4"/>
  <c r="T56" i="4" s="1"/>
  <c r="U54" i="4"/>
  <c r="V54" i="4"/>
  <c r="V56" i="4" s="1"/>
  <c r="W54" i="4"/>
  <c r="X54" i="4"/>
  <c r="Y54" i="4"/>
  <c r="Y56" i="4" s="1"/>
  <c r="Z54" i="4"/>
  <c r="AA54" i="4"/>
  <c r="AA56" i="4" s="1"/>
  <c r="AB54" i="4"/>
  <c r="AC54" i="4"/>
  <c r="AC55" i="4" s="1"/>
  <c r="AD54" i="4"/>
  <c r="AE54" i="4"/>
  <c r="AE55" i="4" s="1"/>
  <c r="AF54" i="4"/>
  <c r="AG54" i="4"/>
  <c r="AH54" i="4"/>
  <c r="AI54" i="4"/>
  <c r="AJ54" i="4"/>
  <c r="AK54" i="4"/>
  <c r="AL54" i="4"/>
  <c r="AL56" i="4" s="1"/>
  <c r="AM54" i="4"/>
  <c r="AM56" i="4" s="1"/>
  <c r="AN54" i="4"/>
  <c r="AN55" i="4" s="1"/>
  <c r="AO54" i="4"/>
  <c r="AP54" i="4"/>
  <c r="AP56" i="4" s="1"/>
  <c r="AQ54" i="4"/>
  <c r="AQ55" i="4" s="1"/>
  <c r="AR54" i="4"/>
  <c r="AS54" i="4"/>
  <c r="AT54" i="4"/>
  <c r="AU54" i="4"/>
  <c r="B54" i="4"/>
  <c r="AU41" i="9"/>
  <c r="AU21" i="9"/>
  <c r="CB21" i="9" s="1"/>
  <c r="AU26" i="9"/>
  <c r="AV24" i="9" s="1"/>
  <c r="AU15" i="9"/>
  <c r="AU27" i="3"/>
  <c r="AU34" i="3" s="1"/>
  <c r="AU41" i="4"/>
  <c r="AU29" i="4"/>
  <c r="AU12" i="4"/>
  <c r="AU197" i="1"/>
  <c r="AU214" i="1"/>
  <c r="AU213" i="1"/>
  <c r="AV236" i="1" s="1"/>
  <c r="AU212" i="1"/>
  <c r="AV235" i="1" s="1"/>
  <c r="AU277" i="1"/>
  <c r="AU275" i="1"/>
  <c r="AU104" i="3" s="1"/>
  <c r="AU183" i="1"/>
  <c r="AU129" i="1"/>
  <c r="AU130" i="1"/>
  <c r="BI224" i="1"/>
  <c r="BM224" i="1" s="1"/>
  <c r="BH224" i="1"/>
  <c r="BL224" i="1" s="1"/>
  <c r="BH226" i="1"/>
  <c r="BL226" i="1" s="1"/>
  <c r="AZ225" i="1"/>
  <c r="CF21" i="9"/>
  <c r="CF20" i="9"/>
  <c r="CF9" i="9"/>
  <c r="CF43" i="4"/>
  <c r="CF40" i="4"/>
  <c r="CF35" i="4"/>
  <c r="CF34" i="4"/>
  <c r="CF33" i="4"/>
  <c r="CF32" i="4"/>
  <c r="CF28" i="4"/>
  <c r="CF27" i="4"/>
  <c r="CF24" i="4"/>
  <c r="CF23" i="4"/>
  <c r="CF10" i="4"/>
  <c r="CF9" i="4"/>
  <c r="CF197" i="1"/>
  <c r="CF277" i="1"/>
  <c r="BN28" i="9"/>
  <c r="BM28" i="9"/>
  <c r="BL28" i="9"/>
  <c r="BK28" i="9"/>
  <c r="BN25" i="9"/>
  <c r="BM25" i="9"/>
  <c r="BL25" i="9"/>
  <c r="BK25" i="9"/>
  <c r="BN18" i="9"/>
  <c r="BM18" i="9"/>
  <c r="BL18" i="9"/>
  <c r="BK18" i="9"/>
  <c r="BN15" i="9"/>
  <c r="BM15" i="9"/>
  <c r="BL15" i="9"/>
  <c r="BK15" i="9"/>
  <c r="BN31" i="4"/>
  <c r="BM31" i="4"/>
  <c r="BL31" i="4"/>
  <c r="BK31" i="4"/>
  <c r="BN197" i="1"/>
  <c r="BM197" i="1"/>
  <c r="BL197" i="1"/>
  <c r="BK197" i="1"/>
  <c r="BN180" i="1"/>
  <c r="BM180" i="1"/>
  <c r="BM73" i="29" s="1"/>
  <c r="BL180" i="1"/>
  <c r="BK180" i="1"/>
  <c r="BN178" i="1"/>
  <c r="BM178" i="1"/>
  <c r="BM71" i="29" s="1"/>
  <c r="BL178" i="1"/>
  <c r="BK178" i="1"/>
  <c r="AT41" i="9"/>
  <c r="AT15" i="9"/>
  <c r="AT33" i="4"/>
  <c r="CA33" i="4" s="1"/>
  <c r="AT46" i="1"/>
  <c r="AX46" i="1" s="1"/>
  <c r="AT41" i="1"/>
  <c r="AT80" i="1" s="1"/>
  <c r="AT35" i="1"/>
  <c r="AT79" i="1" s="1"/>
  <c r="AT21" i="9"/>
  <c r="AT26" i="9"/>
  <c r="AT55" i="3"/>
  <c r="AT58" i="3"/>
  <c r="AT27" i="3"/>
  <c r="AT29" i="4"/>
  <c r="AT12" i="4"/>
  <c r="E17" i="2"/>
  <c r="AT197" i="1"/>
  <c r="AT212" i="1"/>
  <c r="AT14" i="29" s="1"/>
  <c r="AT213" i="1"/>
  <c r="AT15" i="29" s="1"/>
  <c r="AT214" i="1"/>
  <c r="AT16" i="29" s="1"/>
  <c r="AT274" i="1"/>
  <c r="AT275" i="1"/>
  <c r="AT104" i="3" s="1"/>
  <c r="AT277" i="1"/>
  <c r="AT260" i="1"/>
  <c r="AX260" i="1" s="1"/>
  <c r="BB260" i="1" s="1"/>
  <c r="BF260" i="1" s="1"/>
  <c r="BJ260" i="1" s="1"/>
  <c r="BN260" i="1" s="1"/>
  <c r="AT183" i="1"/>
  <c r="AT186" i="1" s="1"/>
  <c r="AT129" i="1"/>
  <c r="AT130" i="1"/>
  <c r="AS46" i="1"/>
  <c r="AW46" i="1" s="1"/>
  <c r="AS41" i="1"/>
  <c r="AS80" i="1" s="1"/>
  <c r="AS35" i="1"/>
  <c r="AS79" i="1" s="1"/>
  <c r="AS275" i="1"/>
  <c r="AS104" i="3" s="1"/>
  <c r="AS41" i="9"/>
  <c r="AS20" i="9"/>
  <c r="AS15" i="9" s="1"/>
  <c r="AS21" i="9"/>
  <c r="AS26" i="9"/>
  <c r="AS55" i="3"/>
  <c r="AS58" i="3"/>
  <c r="AS41" i="4"/>
  <c r="AS29" i="4"/>
  <c r="AS12" i="4"/>
  <c r="AS197" i="1"/>
  <c r="AS214" i="1"/>
  <c r="AS213" i="1"/>
  <c r="AS15" i="29" s="1"/>
  <c r="AS212" i="1"/>
  <c r="AS284" i="1"/>
  <c r="AS277" i="1"/>
  <c r="AS274" i="1"/>
  <c r="AS260" i="1"/>
  <c r="AW260" i="1" s="1"/>
  <c r="AS183" i="1"/>
  <c r="AS188" i="1" s="1"/>
  <c r="BZ39" i="4"/>
  <c r="BY39" i="4"/>
  <c r="BX39" i="4"/>
  <c r="BW39" i="4"/>
  <c r="BV39" i="4"/>
  <c r="BU39" i="4"/>
  <c r="BT39" i="4"/>
  <c r="BS39" i="4"/>
  <c r="BR39" i="4"/>
  <c r="BQ39" i="4"/>
  <c r="AR211" i="1"/>
  <c r="AR67" i="3" s="1"/>
  <c r="AR46" i="1"/>
  <c r="AV48" i="1" s="1"/>
  <c r="AR41" i="1"/>
  <c r="AR35" i="1"/>
  <c r="AN46" i="1"/>
  <c r="AR41" i="9"/>
  <c r="AR26" i="9"/>
  <c r="AS24" i="9" s="1"/>
  <c r="AR21" i="9"/>
  <c r="AR20" i="9"/>
  <c r="AR15" i="9" s="1"/>
  <c r="AR58" i="3"/>
  <c r="AR55" i="3"/>
  <c r="AQ55" i="3"/>
  <c r="AQ58" i="3"/>
  <c r="AR43" i="3"/>
  <c r="AR27" i="3"/>
  <c r="AR41" i="4"/>
  <c r="AR29" i="4"/>
  <c r="AR12" i="4"/>
  <c r="AR197" i="1"/>
  <c r="AR214" i="1"/>
  <c r="AV231" i="1" s="1"/>
  <c r="AR213" i="1"/>
  <c r="AV230" i="1" s="1"/>
  <c r="AR212" i="1"/>
  <c r="AR277" i="1"/>
  <c r="AR275" i="1"/>
  <c r="AR104" i="3" s="1"/>
  <c r="AR183" i="1"/>
  <c r="AV185" i="1" s="1"/>
  <c r="AR130" i="1"/>
  <c r="AR129" i="1"/>
  <c r="AP16" i="9"/>
  <c r="BZ16" i="9" s="1"/>
  <c r="AQ46" i="1"/>
  <c r="AP46" i="1"/>
  <c r="AO46" i="1"/>
  <c r="AQ41" i="1"/>
  <c r="AQ80" i="1" s="1"/>
  <c r="AP41" i="1"/>
  <c r="AP80" i="1" s="1"/>
  <c r="AO41" i="1"/>
  <c r="AO80" i="1" s="1"/>
  <c r="AN41" i="1"/>
  <c r="AM41" i="1"/>
  <c r="AQ35" i="1"/>
  <c r="AQ79" i="1" s="1"/>
  <c r="AP35" i="1"/>
  <c r="AP79" i="1" s="1"/>
  <c r="AO35" i="1"/>
  <c r="AO79" i="1" s="1"/>
  <c r="AQ41" i="9"/>
  <c r="AQ26" i="9"/>
  <c r="AR24" i="9" s="1"/>
  <c r="AQ21" i="9"/>
  <c r="AQ20" i="9"/>
  <c r="AQ15" i="9" s="1"/>
  <c r="AQ43" i="3"/>
  <c r="AQ27" i="3"/>
  <c r="AQ41" i="4"/>
  <c r="AQ29" i="4"/>
  <c r="AQ12" i="4"/>
  <c r="AQ212" i="1"/>
  <c r="AQ213" i="1"/>
  <c r="AQ15" i="29" s="1"/>
  <c r="AQ214" i="1"/>
  <c r="AQ16" i="29" s="1"/>
  <c r="AQ197" i="1"/>
  <c r="AQ284" i="1"/>
  <c r="AQ275" i="1"/>
  <c r="AQ104" i="3" s="1"/>
  <c r="AQ277" i="1"/>
  <c r="AQ274" i="1"/>
  <c r="AQ260" i="1"/>
  <c r="AQ183" i="1"/>
  <c r="BZ174" i="1"/>
  <c r="BY174" i="1"/>
  <c r="BX174" i="1"/>
  <c r="BW174" i="1"/>
  <c r="H183" i="1"/>
  <c r="H188" i="1" s="1"/>
  <c r="I183" i="1"/>
  <c r="J183" i="1"/>
  <c r="K183" i="1"/>
  <c r="L183" i="1"/>
  <c r="L188" i="1" s="1"/>
  <c r="M183" i="1"/>
  <c r="M274" i="1"/>
  <c r="N183" i="1"/>
  <c r="O183" i="1"/>
  <c r="O188" i="1" s="1"/>
  <c r="P183" i="1"/>
  <c r="P274" i="1"/>
  <c r="Q183" i="1"/>
  <c r="R183" i="1"/>
  <c r="R188" i="1" s="1"/>
  <c r="R189" i="1" s="1"/>
  <c r="R284" i="1"/>
  <c r="S183" i="1"/>
  <c r="T183" i="1"/>
  <c r="U183" i="1"/>
  <c r="V183" i="1"/>
  <c r="V188" i="1" s="1"/>
  <c r="V189" i="1" s="1"/>
  <c r="W183" i="1"/>
  <c r="X183" i="1"/>
  <c r="Y183" i="1"/>
  <c r="Y186" i="1" s="1"/>
  <c r="Z183" i="1"/>
  <c r="AA183" i="1"/>
  <c r="AB183" i="1"/>
  <c r="AC183" i="1"/>
  <c r="AD183" i="1"/>
  <c r="AD188" i="1" s="1"/>
  <c r="AD189" i="1" s="1"/>
  <c r="AE183" i="1"/>
  <c r="AF183" i="1"/>
  <c r="AG183" i="1"/>
  <c r="AG188" i="1" s="1"/>
  <c r="AH183" i="1"/>
  <c r="AI183" i="1"/>
  <c r="AJ183" i="1"/>
  <c r="AK183" i="1"/>
  <c r="AL183" i="1"/>
  <c r="AM183" i="1"/>
  <c r="AN183" i="1"/>
  <c r="AO183" i="1"/>
  <c r="AP183" i="1"/>
  <c r="G183" i="1"/>
  <c r="G188" i="1" s="1"/>
  <c r="G189" i="1" s="1"/>
  <c r="AG61" i="3"/>
  <c r="AP41" i="9"/>
  <c r="AP26" i="9"/>
  <c r="AP21" i="9"/>
  <c r="AP20" i="9"/>
  <c r="AP15" i="9" s="1"/>
  <c r="AP58" i="3"/>
  <c r="AP55" i="3"/>
  <c r="AP43" i="3"/>
  <c r="AP27" i="3"/>
  <c r="AP41" i="4"/>
  <c r="AP29" i="4"/>
  <c r="AP12" i="4"/>
  <c r="AP197" i="1"/>
  <c r="AP214" i="1"/>
  <c r="AP16" i="29" s="1"/>
  <c r="AP212" i="1"/>
  <c r="AP14" i="29" s="1"/>
  <c r="AP277" i="1"/>
  <c r="AP275" i="1"/>
  <c r="AP104" i="3" s="1"/>
  <c r="AO41" i="9"/>
  <c r="AO26" i="9"/>
  <c r="AP24" i="9" s="1"/>
  <c r="AO21" i="9"/>
  <c r="AO20" i="9"/>
  <c r="AO15" i="9" s="1"/>
  <c r="AO58" i="3"/>
  <c r="AO55" i="3"/>
  <c r="AO43" i="3"/>
  <c r="AO27" i="3"/>
  <c r="AO34" i="3" s="1"/>
  <c r="AO41" i="4"/>
  <c r="AO29" i="4"/>
  <c r="AO12" i="4"/>
  <c r="AO212" i="1"/>
  <c r="AO14" i="29" s="1"/>
  <c r="AO213" i="1"/>
  <c r="AO15" i="29" s="1"/>
  <c r="AO214" i="1"/>
  <c r="AO16" i="29" s="1"/>
  <c r="AO197" i="1"/>
  <c r="AO275" i="1"/>
  <c r="AO104" i="3" s="1"/>
  <c r="AO277" i="1"/>
  <c r="CE21" i="9"/>
  <c r="CE20" i="9"/>
  <c r="CE9" i="9"/>
  <c r="CE43" i="4"/>
  <c r="CE40" i="4"/>
  <c r="CE35" i="4"/>
  <c r="CE34" i="4"/>
  <c r="CE33" i="4"/>
  <c r="CE32" i="4"/>
  <c r="CE28" i="4"/>
  <c r="CE27" i="4"/>
  <c r="CE24" i="4"/>
  <c r="CE23" i="4"/>
  <c r="CE10" i="4"/>
  <c r="CE9" i="4"/>
  <c r="CE197" i="1"/>
  <c r="CE277" i="1"/>
  <c r="BJ28" i="9"/>
  <c r="BI28" i="9"/>
  <c r="BH28" i="9"/>
  <c r="BG28" i="9"/>
  <c r="BJ25" i="9"/>
  <c r="BI25" i="9"/>
  <c r="BH25" i="9"/>
  <c r="BG25" i="9"/>
  <c r="BJ18" i="9"/>
  <c r="BI18" i="9"/>
  <c r="BH18" i="9"/>
  <c r="BG18" i="9"/>
  <c r="BJ15" i="9"/>
  <c r="BI15" i="9"/>
  <c r="BH15" i="9"/>
  <c r="BG15" i="9"/>
  <c r="BJ31" i="4"/>
  <c r="BI31" i="4"/>
  <c r="BH31" i="4"/>
  <c r="BG31" i="4"/>
  <c r="BJ197" i="1"/>
  <c r="BI197" i="1"/>
  <c r="BH197" i="1"/>
  <c r="BG197" i="1"/>
  <c r="BJ180" i="1"/>
  <c r="BI180" i="1"/>
  <c r="BH180" i="1"/>
  <c r="BG180" i="1"/>
  <c r="BJ178" i="1"/>
  <c r="BI178" i="1"/>
  <c r="BI71" i="29" s="1"/>
  <c r="BH178" i="1"/>
  <c r="BG178" i="1"/>
  <c r="BG71" i="29" s="1"/>
  <c r="AN43" i="3"/>
  <c r="AN41" i="9"/>
  <c r="AN26" i="9"/>
  <c r="AO24" i="9" s="1"/>
  <c r="AN21" i="9"/>
  <c r="AN20" i="9"/>
  <c r="AN58" i="3"/>
  <c r="AN55" i="3"/>
  <c r="AN27" i="3"/>
  <c r="AN41" i="4"/>
  <c r="AN29" i="4"/>
  <c r="AN12" i="4"/>
  <c r="AN197" i="1"/>
  <c r="AN214" i="1"/>
  <c r="AN16" i="29" s="1"/>
  <c r="AN213" i="1"/>
  <c r="AN15" i="29" s="1"/>
  <c r="AN212" i="1"/>
  <c r="AN14" i="29" s="1"/>
  <c r="AN277" i="1"/>
  <c r="AN275" i="1"/>
  <c r="AN104" i="3" s="1"/>
  <c r="AM27" i="3"/>
  <c r="AM34" i="3" s="1"/>
  <c r="AM12" i="4"/>
  <c r="AM41" i="9"/>
  <c r="AM26" i="9"/>
  <c r="AM21" i="9"/>
  <c r="AM20" i="9"/>
  <c r="AM15" i="9" s="1"/>
  <c r="AM58" i="3"/>
  <c r="AM55" i="3"/>
  <c r="AM43" i="3"/>
  <c r="AM41" i="4"/>
  <c r="AM29" i="4"/>
  <c r="AM197" i="1"/>
  <c r="AM214" i="1"/>
  <c r="AM16" i="29" s="1"/>
  <c r="AM213" i="1"/>
  <c r="AM212" i="1"/>
  <c r="AM277" i="1"/>
  <c r="AM275" i="1"/>
  <c r="AM104" i="3" s="1"/>
  <c r="AL41" i="9"/>
  <c r="AL26" i="9"/>
  <c r="AL21" i="9"/>
  <c r="AL20" i="9"/>
  <c r="AL15" i="9" s="1"/>
  <c r="AL58" i="3"/>
  <c r="AL55" i="3"/>
  <c r="AL43" i="3"/>
  <c r="BY43" i="3" s="1"/>
  <c r="AL27" i="3"/>
  <c r="AL41" i="4"/>
  <c r="AL29" i="4"/>
  <c r="AL12" i="4"/>
  <c r="AL197" i="1"/>
  <c r="AL214" i="1"/>
  <c r="AL213" i="1"/>
  <c r="AL15" i="29" s="1"/>
  <c r="AL212" i="1"/>
  <c r="AL14" i="29" s="1"/>
  <c r="AL277" i="1"/>
  <c r="AL275" i="1"/>
  <c r="AL104" i="3" s="1"/>
  <c r="CD21" i="9"/>
  <c r="CD20" i="9"/>
  <c r="CD9" i="9"/>
  <c r="CD43" i="4"/>
  <c r="CD40" i="4"/>
  <c r="CD35" i="4"/>
  <c r="CD34" i="4"/>
  <c r="CD33" i="4"/>
  <c r="CD32" i="4"/>
  <c r="CD28" i="4"/>
  <c r="CD27" i="4"/>
  <c r="CD24" i="4"/>
  <c r="CD23" i="4"/>
  <c r="CD10" i="4"/>
  <c r="CD9" i="4"/>
  <c r="CD277" i="1"/>
  <c r="CC277" i="1"/>
  <c r="CD197" i="1"/>
  <c r="BF28" i="9"/>
  <c r="BE28" i="9"/>
  <c r="BD28" i="9"/>
  <c r="BC28" i="9"/>
  <c r="BF25" i="9"/>
  <c r="BE25" i="9"/>
  <c r="BD25" i="9"/>
  <c r="BC25" i="9"/>
  <c r="BF18" i="9"/>
  <c r="BE18" i="9"/>
  <c r="BD18" i="9"/>
  <c r="BC18" i="9"/>
  <c r="BF15" i="9"/>
  <c r="BE15" i="9"/>
  <c r="BD15" i="9"/>
  <c r="BC15" i="9"/>
  <c r="BF31" i="4"/>
  <c r="BE31" i="4"/>
  <c r="BD31" i="4"/>
  <c r="BC31" i="4"/>
  <c r="BF197" i="1"/>
  <c r="BE197" i="1"/>
  <c r="BD197" i="1"/>
  <c r="BC197" i="1"/>
  <c r="BF180" i="1"/>
  <c r="BE180" i="1"/>
  <c r="BD180" i="1"/>
  <c r="BC180" i="1"/>
  <c r="BF178" i="1"/>
  <c r="BE178" i="1"/>
  <c r="BE71" i="29" s="1"/>
  <c r="BD178" i="1"/>
  <c r="BC178" i="1"/>
  <c r="BC71" i="29" s="1"/>
  <c r="AK41" i="9"/>
  <c r="AK26" i="9"/>
  <c r="AL24" i="9" s="1"/>
  <c r="AK21" i="9"/>
  <c r="AK20" i="9"/>
  <c r="AK15" i="9" s="1"/>
  <c r="AK58" i="3"/>
  <c r="AK55" i="3"/>
  <c r="AK43" i="3"/>
  <c r="AK27" i="3"/>
  <c r="AK41" i="4"/>
  <c r="AK29" i="4"/>
  <c r="AJ12" i="4"/>
  <c r="AK12" i="4"/>
  <c r="AK197" i="1"/>
  <c r="AK212" i="1"/>
  <c r="AK213" i="1"/>
  <c r="AK214" i="1"/>
  <c r="AK16" i="29" s="1"/>
  <c r="AK275" i="1"/>
  <c r="AK104" i="3" s="1"/>
  <c r="AK277" i="1"/>
  <c r="AJ41" i="9"/>
  <c r="AJ26" i="9"/>
  <c r="AJ21" i="9"/>
  <c r="AJ20" i="9"/>
  <c r="AJ15" i="9" s="1"/>
  <c r="AJ58" i="3"/>
  <c r="AJ55" i="3"/>
  <c r="AJ43" i="3"/>
  <c r="AJ27" i="3"/>
  <c r="AJ34" i="3" s="1"/>
  <c r="AJ41" i="4"/>
  <c r="AJ29" i="4"/>
  <c r="AJ197" i="1"/>
  <c r="AJ212" i="1"/>
  <c r="AJ14" i="29" s="1"/>
  <c r="AJ213" i="1"/>
  <c r="AJ214" i="1"/>
  <c r="AJ16" i="29" s="1"/>
  <c r="AJ275" i="1"/>
  <c r="AJ104" i="3" s="1"/>
  <c r="AJ277" i="1"/>
  <c r="AI41" i="9"/>
  <c r="AI26" i="9"/>
  <c r="AJ24" i="9" s="1"/>
  <c r="AI21" i="9"/>
  <c r="AI20" i="9"/>
  <c r="AI43" i="3"/>
  <c r="AI58" i="3"/>
  <c r="AI55" i="3"/>
  <c r="AI27" i="3"/>
  <c r="AI34" i="3" s="1"/>
  <c r="AI41" i="4"/>
  <c r="AI29" i="4"/>
  <c r="AI12" i="4"/>
  <c r="AI7" i="4"/>
  <c r="AI197" i="1"/>
  <c r="AI212" i="1"/>
  <c r="AI213" i="1"/>
  <c r="AI214" i="1"/>
  <c r="AI275" i="1"/>
  <c r="AI104" i="3" s="1"/>
  <c r="AI277" i="1"/>
  <c r="AH20" i="9"/>
  <c r="AH21" i="9"/>
  <c r="AH26" i="9"/>
  <c r="AI24" i="9" s="1"/>
  <c r="BY24" i="9" s="1"/>
  <c r="AH41" i="9"/>
  <c r="AH55" i="3"/>
  <c r="AH58" i="3"/>
  <c r="AH27" i="3"/>
  <c r="BX27" i="3" s="1"/>
  <c r="BY25" i="4"/>
  <c r="AH41" i="4"/>
  <c r="AH29" i="4"/>
  <c r="AH12" i="4"/>
  <c r="AH7" i="4"/>
  <c r="AH197" i="1"/>
  <c r="AH212" i="1"/>
  <c r="AH14" i="29" s="1"/>
  <c r="AH213" i="1"/>
  <c r="AH214" i="1"/>
  <c r="AH275" i="1"/>
  <c r="AH104" i="3" s="1"/>
  <c r="AH277" i="1"/>
  <c r="CC21" i="9"/>
  <c r="CC20" i="9"/>
  <c r="CC9" i="9"/>
  <c r="CC43" i="4"/>
  <c r="CC40" i="4"/>
  <c r="CC35" i="4"/>
  <c r="CC34" i="4"/>
  <c r="CC33" i="4"/>
  <c r="CC32" i="4"/>
  <c r="CC28" i="4"/>
  <c r="CC27" i="4"/>
  <c r="CC24" i="4"/>
  <c r="CC23" i="4"/>
  <c r="CC10" i="4"/>
  <c r="CC9" i="4"/>
  <c r="CC197" i="1"/>
  <c r="BB28" i="9"/>
  <c r="BA28" i="9"/>
  <c r="AZ28" i="9"/>
  <c r="AY28" i="9"/>
  <c r="BB25" i="9"/>
  <c r="BA25" i="9"/>
  <c r="AZ25" i="9"/>
  <c r="AY25" i="9"/>
  <c r="BB18" i="9"/>
  <c r="BA18" i="9"/>
  <c r="AZ18" i="9"/>
  <c r="AY18" i="9"/>
  <c r="BB15" i="9"/>
  <c r="BA15" i="9"/>
  <c r="AZ15" i="9"/>
  <c r="AY15" i="9"/>
  <c r="BB31" i="4"/>
  <c r="BA31" i="4"/>
  <c r="AZ31" i="4"/>
  <c r="AY31" i="4"/>
  <c r="BB197" i="1"/>
  <c r="BA197" i="1"/>
  <c r="AZ197" i="1"/>
  <c r="AY197" i="1"/>
  <c r="BB180" i="1"/>
  <c r="BA180" i="1"/>
  <c r="AZ180" i="1"/>
  <c r="AY180" i="1"/>
  <c r="AY73" i="29" s="1"/>
  <c r="BB178" i="1"/>
  <c r="BB71" i="29" s="1"/>
  <c r="BA178" i="1"/>
  <c r="AZ178" i="1"/>
  <c r="AZ7" i="4" s="1"/>
  <c r="AY178" i="1"/>
  <c r="AY7" i="4" s="1"/>
  <c r="AG41" i="9"/>
  <c r="AG26" i="9"/>
  <c r="AH24" i="9" s="1"/>
  <c r="AG21" i="9"/>
  <c r="AG20" i="9"/>
  <c r="AG15" i="9" s="1"/>
  <c r="AG58" i="3"/>
  <c r="AG55" i="3"/>
  <c r="AG43" i="3"/>
  <c r="AG27" i="3"/>
  <c r="AG34" i="3" s="1"/>
  <c r="AG41" i="4"/>
  <c r="AG29" i="4"/>
  <c r="AG12" i="4"/>
  <c r="AG7" i="4"/>
  <c r="AG197" i="1"/>
  <c r="AG212" i="1"/>
  <c r="AG214" i="1"/>
  <c r="AG16" i="29" s="1"/>
  <c r="AG275" i="1"/>
  <c r="AG104" i="3" s="1"/>
  <c r="AG277" i="1"/>
  <c r="AF41" i="9"/>
  <c r="AF26" i="9"/>
  <c r="AG24" i="9" s="1"/>
  <c r="AF21" i="9"/>
  <c r="AF58" i="3"/>
  <c r="AF55" i="3"/>
  <c r="AF43" i="3"/>
  <c r="AF27" i="3"/>
  <c r="AF41" i="4"/>
  <c r="AF29" i="4"/>
  <c r="AF12" i="4"/>
  <c r="AF7" i="4"/>
  <c r="AF197" i="1"/>
  <c r="AF212" i="1"/>
  <c r="AF213" i="1"/>
  <c r="AF15" i="29" s="1"/>
  <c r="AF214" i="1"/>
  <c r="AF275" i="1"/>
  <c r="AF104" i="3" s="1"/>
  <c r="AF277" i="1"/>
  <c r="AD275" i="1"/>
  <c r="AD104" i="3" s="1"/>
  <c r="AE41" i="9"/>
  <c r="AE20" i="9"/>
  <c r="AE15" i="9" s="1"/>
  <c r="AE21" i="9"/>
  <c r="AE26" i="9"/>
  <c r="AF24" i="9" s="1"/>
  <c r="AE55" i="3"/>
  <c r="AE58" i="3"/>
  <c r="AE27" i="3"/>
  <c r="AE41" i="4"/>
  <c r="AE29" i="4"/>
  <c r="AE12" i="4"/>
  <c r="AE7" i="4"/>
  <c r="AE197" i="1"/>
  <c r="AE212" i="1"/>
  <c r="AE213" i="1"/>
  <c r="AE214" i="1"/>
  <c r="AE16" i="29" s="1"/>
  <c r="AE275" i="1"/>
  <c r="AE104" i="3" s="1"/>
  <c r="AE277" i="1"/>
  <c r="BX31" i="4"/>
  <c r="BY31" i="4"/>
  <c r="BZ31" i="4"/>
  <c r="CA31" i="4"/>
  <c r="AW31" i="4"/>
  <c r="AX31" i="4"/>
  <c r="BW16" i="4"/>
  <c r="AD41" i="9"/>
  <c r="AD20" i="9"/>
  <c r="AD15" i="9" s="1"/>
  <c r="AD21" i="9"/>
  <c r="AD26" i="9"/>
  <c r="BW26" i="9" s="1"/>
  <c r="AD55" i="3"/>
  <c r="AD58" i="3"/>
  <c r="AD27" i="3"/>
  <c r="AD41" i="4"/>
  <c r="AD29" i="4"/>
  <c r="AD12" i="4"/>
  <c r="AD7" i="4"/>
  <c r="AD197" i="1"/>
  <c r="AD212" i="1"/>
  <c r="AD213" i="1"/>
  <c r="AD214" i="1"/>
  <c r="AD16" i="29" s="1"/>
  <c r="AD277" i="1"/>
  <c r="CB20" i="9"/>
  <c r="CB9" i="9"/>
  <c r="BV30" i="3"/>
  <c r="BU30" i="3"/>
  <c r="BT30" i="3"/>
  <c r="BS30" i="3"/>
  <c r="BR30" i="3"/>
  <c r="BQ30" i="3"/>
  <c r="CB43" i="4"/>
  <c r="CB40" i="4"/>
  <c r="CB34" i="4"/>
  <c r="CB33" i="4"/>
  <c r="CB28" i="4"/>
  <c r="CB27" i="4"/>
  <c r="CB24" i="4"/>
  <c r="CB23" i="4"/>
  <c r="CB10" i="4"/>
  <c r="CB9" i="4"/>
  <c r="CB197" i="1"/>
  <c r="AX28" i="9"/>
  <c r="AW28" i="9"/>
  <c r="AX25" i="9"/>
  <c r="AW25" i="9"/>
  <c r="AV25" i="9"/>
  <c r="AX18" i="9"/>
  <c r="AW18" i="9"/>
  <c r="AX15" i="9"/>
  <c r="AW15" i="9"/>
  <c r="AX197" i="1"/>
  <c r="AW197" i="1"/>
  <c r="AV197" i="1"/>
  <c r="AX180" i="1"/>
  <c r="AW180" i="1"/>
  <c r="AX178" i="1"/>
  <c r="AW178" i="1"/>
  <c r="AC41" i="9"/>
  <c r="AC26" i="9"/>
  <c r="AD24" i="9" s="1"/>
  <c r="AC21" i="9"/>
  <c r="AC55" i="3"/>
  <c r="AC58" i="3"/>
  <c r="AC27" i="3"/>
  <c r="AC34" i="3" s="1"/>
  <c r="AC41" i="4"/>
  <c r="AC29" i="4"/>
  <c r="AC12" i="4"/>
  <c r="AC7" i="4"/>
  <c r="AC197" i="1"/>
  <c r="AC212" i="1"/>
  <c r="AC14" i="29" s="1"/>
  <c r="AC213" i="1"/>
  <c r="AC15" i="29" s="1"/>
  <c r="AC214" i="1"/>
  <c r="AC16" i="29" s="1"/>
  <c r="AC275" i="1"/>
  <c r="AC104" i="3" s="1"/>
  <c r="AC277" i="1"/>
  <c r="AB41" i="9"/>
  <c r="AB26" i="9"/>
  <c r="AC24" i="9" s="1"/>
  <c r="AB21" i="9"/>
  <c r="AB20" i="9"/>
  <c r="AB58" i="3"/>
  <c r="AB55" i="3"/>
  <c r="AB27" i="3"/>
  <c r="AB41" i="4"/>
  <c r="AB29" i="4"/>
  <c r="AB12" i="4"/>
  <c r="AB7" i="4"/>
  <c r="AB197" i="1"/>
  <c r="AB212" i="1"/>
  <c r="AB14" i="29" s="1"/>
  <c r="AB213" i="1"/>
  <c r="AB214" i="1"/>
  <c r="AB16" i="29" s="1"/>
  <c r="AB277" i="1"/>
  <c r="AB275" i="1"/>
  <c r="AB104" i="3" s="1"/>
  <c r="C7" i="9"/>
  <c r="BQ7" i="9"/>
  <c r="B8" i="9"/>
  <c r="B11" i="9" s="1"/>
  <c r="BP9" i="9"/>
  <c r="BQ9" i="9"/>
  <c r="BR9" i="9"/>
  <c r="BS9" i="9"/>
  <c r="BT9" i="9"/>
  <c r="BU9" i="9"/>
  <c r="BV9" i="9"/>
  <c r="BW9" i="9"/>
  <c r="BX9" i="9"/>
  <c r="BY9" i="9"/>
  <c r="BZ9" i="9"/>
  <c r="CA9" i="9"/>
  <c r="B16" i="9"/>
  <c r="C14" i="9" s="1"/>
  <c r="C16" i="9"/>
  <c r="D14" i="9" s="1"/>
  <c r="D16" i="9"/>
  <c r="E14" i="9" s="1"/>
  <c r="E16" i="9"/>
  <c r="F14" i="9" s="1"/>
  <c r="F16" i="9"/>
  <c r="G14" i="9" s="1"/>
  <c r="G16" i="9"/>
  <c r="H14" i="9" s="1"/>
  <c r="H16" i="9"/>
  <c r="I14" i="9" s="1"/>
  <c r="I16" i="9"/>
  <c r="J16" i="9"/>
  <c r="BR16" i="9" s="1"/>
  <c r="BR17" i="9" s="1"/>
  <c r="K16" i="9"/>
  <c r="L14" i="9" s="1"/>
  <c r="L16" i="9"/>
  <c r="M14" i="9" s="1"/>
  <c r="M16" i="9"/>
  <c r="N14" i="9" s="1"/>
  <c r="N16" i="9"/>
  <c r="O14" i="9" s="1"/>
  <c r="BT14" i="9" s="1"/>
  <c r="O16" i="9"/>
  <c r="P14" i="9" s="1"/>
  <c r="P16" i="9"/>
  <c r="Q14" i="9" s="1"/>
  <c r="Q16" i="9"/>
  <c r="R14" i="9" s="1"/>
  <c r="R16" i="9"/>
  <c r="S14" i="9" s="1"/>
  <c r="S16" i="9"/>
  <c r="T14" i="9" s="1"/>
  <c r="T16" i="9"/>
  <c r="U14" i="9" s="1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E18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U15" i="9" s="1"/>
  <c r="V20" i="9"/>
  <c r="V15" i="9" s="1"/>
  <c r="W20" i="9"/>
  <c r="W15" i="9" s="1"/>
  <c r="X20" i="9"/>
  <c r="X15" i="9" s="1"/>
  <c r="Y20" i="9"/>
  <c r="Z20" i="9"/>
  <c r="Z15" i="9" s="1"/>
  <c r="AA20" i="9"/>
  <c r="AA15" i="9" s="1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BP25" i="9"/>
  <c r="B26" i="9"/>
  <c r="B27" i="9" s="1"/>
  <c r="B29" i="9" s="1"/>
  <c r="B30" i="9" s="1"/>
  <c r="C26" i="9"/>
  <c r="D24" i="9" s="1"/>
  <c r="D26" i="9"/>
  <c r="E24" i="9" s="1"/>
  <c r="E26" i="9"/>
  <c r="F26" i="9"/>
  <c r="BQ26" i="9" s="1"/>
  <c r="G26" i="9"/>
  <c r="H24" i="9" s="1"/>
  <c r="H26" i="9"/>
  <c r="I24" i="9" s="1"/>
  <c r="I26" i="9"/>
  <c r="J26" i="9"/>
  <c r="BR26" i="9" s="1"/>
  <c r="K26" i="9"/>
  <c r="L24" i="9" s="1"/>
  <c r="L26" i="9"/>
  <c r="M26" i="9"/>
  <c r="N24" i="9" s="1"/>
  <c r="N26" i="9"/>
  <c r="O26" i="9"/>
  <c r="P24" i="9" s="1"/>
  <c r="P26" i="9"/>
  <c r="Q24" i="9" s="1"/>
  <c r="Q26" i="9"/>
  <c r="R24" i="9" s="1"/>
  <c r="R26" i="9"/>
  <c r="BT26" i="9" s="1"/>
  <c r="S26" i="9"/>
  <c r="T24" i="9" s="1"/>
  <c r="T26" i="9"/>
  <c r="U24" i="9" s="1"/>
  <c r="U26" i="9"/>
  <c r="V26" i="9"/>
  <c r="W24" i="9" s="1"/>
  <c r="W26" i="9"/>
  <c r="X24" i="9" s="1"/>
  <c r="X26" i="9"/>
  <c r="Y26" i="9"/>
  <c r="Z24" i="9" s="1"/>
  <c r="Z26" i="9"/>
  <c r="BV26" i="9" s="1"/>
  <c r="AA26" i="9"/>
  <c r="AB24" i="9" s="1"/>
  <c r="BP27" i="9"/>
  <c r="BP36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F45" i="9"/>
  <c r="F46" i="9"/>
  <c r="F47" i="9"/>
  <c r="B7" i="3"/>
  <c r="BQ8" i="3"/>
  <c r="BR8" i="3"/>
  <c r="BS8" i="3"/>
  <c r="BT8" i="3"/>
  <c r="BU8" i="3"/>
  <c r="BV8" i="3"/>
  <c r="BQ9" i="3"/>
  <c r="BR9" i="3"/>
  <c r="BS9" i="3"/>
  <c r="BT9" i="3"/>
  <c r="BU9" i="3"/>
  <c r="BV9" i="3"/>
  <c r="BQ10" i="3"/>
  <c r="BR10" i="3"/>
  <c r="BS10" i="3"/>
  <c r="BT10" i="3"/>
  <c r="BU10" i="3"/>
  <c r="BV10" i="3"/>
  <c r="BQ11" i="3"/>
  <c r="BR11" i="3"/>
  <c r="BS11" i="3"/>
  <c r="BT11" i="3"/>
  <c r="BU11" i="3"/>
  <c r="BV11" i="3"/>
  <c r="BQ12" i="3"/>
  <c r="BR12" i="3"/>
  <c r="BS12" i="3"/>
  <c r="BT12" i="3"/>
  <c r="BU12" i="3"/>
  <c r="BV12" i="3"/>
  <c r="BQ13" i="3"/>
  <c r="BR13" i="3"/>
  <c r="BS13" i="3"/>
  <c r="BT13" i="3"/>
  <c r="BU13" i="3"/>
  <c r="BV13" i="3"/>
  <c r="BQ16" i="3"/>
  <c r="BR16" i="3"/>
  <c r="BS16" i="3"/>
  <c r="BT16" i="3"/>
  <c r="BU16" i="3"/>
  <c r="BV16" i="3"/>
  <c r="BX17" i="3"/>
  <c r="BW17" i="3"/>
  <c r="BQ17" i="3"/>
  <c r="BR17" i="3"/>
  <c r="BS17" i="3"/>
  <c r="BT17" i="3"/>
  <c r="BU17" i="3"/>
  <c r="BV17" i="3"/>
  <c r="BQ18" i="3"/>
  <c r="BR18" i="3"/>
  <c r="BS18" i="3"/>
  <c r="BT18" i="3"/>
  <c r="BU18" i="3"/>
  <c r="BV18" i="3"/>
  <c r="BQ19" i="3"/>
  <c r="BR19" i="3"/>
  <c r="BS19" i="3"/>
  <c r="BT19" i="3"/>
  <c r="BU19" i="3"/>
  <c r="BV19" i="3"/>
  <c r="BQ20" i="3"/>
  <c r="BR20" i="3"/>
  <c r="BS20" i="3"/>
  <c r="BT20" i="3"/>
  <c r="BU20" i="3"/>
  <c r="BV20" i="3"/>
  <c r="BQ23" i="3"/>
  <c r="BR23" i="3"/>
  <c r="BS23" i="3"/>
  <c r="BT23" i="3"/>
  <c r="BU23" i="3"/>
  <c r="BV23" i="3"/>
  <c r="U24" i="3"/>
  <c r="BQ24" i="3"/>
  <c r="BR24" i="3"/>
  <c r="BS24" i="3"/>
  <c r="BT24" i="3"/>
  <c r="BU24" i="3"/>
  <c r="BV24" i="3"/>
  <c r="BQ25" i="3"/>
  <c r="BR25" i="3"/>
  <c r="BS25" i="3"/>
  <c r="BT25" i="3"/>
  <c r="BU25" i="3"/>
  <c r="BV25" i="3"/>
  <c r="U26" i="3"/>
  <c r="BQ26" i="3"/>
  <c r="BR26" i="3"/>
  <c r="BS26" i="3"/>
  <c r="BT26" i="3"/>
  <c r="BU26" i="3"/>
  <c r="BV26" i="3"/>
  <c r="B27" i="3"/>
  <c r="C27" i="3"/>
  <c r="C34" i="3" s="1"/>
  <c r="D27" i="3"/>
  <c r="E27" i="3"/>
  <c r="F27" i="3"/>
  <c r="BQ27" i="3" s="1"/>
  <c r="G27" i="3"/>
  <c r="H27" i="3"/>
  <c r="I27" i="3"/>
  <c r="I34" i="3" s="1"/>
  <c r="J27" i="3"/>
  <c r="K27" i="3"/>
  <c r="L27" i="3"/>
  <c r="M27" i="3"/>
  <c r="N27" i="3"/>
  <c r="O27" i="3"/>
  <c r="P27" i="3"/>
  <c r="Q27" i="3"/>
  <c r="R27" i="3"/>
  <c r="S27" i="3"/>
  <c r="T27" i="3"/>
  <c r="V27" i="3"/>
  <c r="BU27" i="3" s="1"/>
  <c r="W27" i="3"/>
  <c r="W34" i="3" s="1"/>
  <c r="X27" i="3"/>
  <c r="Y27" i="3"/>
  <c r="Y34" i="3" s="1"/>
  <c r="Z27" i="3"/>
  <c r="BV27" i="3" s="1"/>
  <c r="AA27" i="3"/>
  <c r="AA34" i="3" s="1"/>
  <c r="BQ29" i="3"/>
  <c r="BR29" i="3"/>
  <c r="BS29" i="3"/>
  <c r="BT29" i="3"/>
  <c r="BU29" i="3"/>
  <c r="BV29" i="3"/>
  <c r="BW29" i="3"/>
  <c r="BX29" i="3"/>
  <c r="BY29" i="3"/>
  <c r="BZ29" i="3"/>
  <c r="CA29" i="3"/>
  <c r="BQ31" i="3"/>
  <c r="BR31" i="3"/>
  <c r="BS31" i="3"/>
  <c r="BT31" i="3"/>
  <c r="BU31" i="3"/>
  <c r="BV31" i="3"/>
  <c r="BQ32" i="3"/>
  <c r="BR32" i="3"/>
  <c r="BS32" i="3"/>
  <c r="BT32" i="3"/>
  <c r="BU32" i="3"/>
  <c r="BV32" i="3"/>
  <c r="BQ33" i="3"/>
  <c r="BR33" i="3"/>
  <c r="BS33" i="3"/>
  <c r="BT33" i="3"/>
  <c r="BU33" i="3"/>
  <c r="BV33" i="3"/>
  <c r="BW36" i="3"/>
  <c r="BQ36" i="3"/>
  <c r="BR36" i="3"/>
  <c r="BS36" i="3"/>
  <c r="BT36" i="3"/>
  <c r="BU36" i="3"/>
  <c r="BV36" i="3"/>
  <c r="BQ38" i="3"/>
  <c r="BR38" i="3"/>
  <c r="BS38" i="3"/>
  <c r="BT38" i="3"/>
  <c r="BU38" i="3"/>
  <c r="BV38" i="3"/>
  <c r="BQ39" i="3"/>
  <c r="BR39" i="3"/>
  <c r="BS39" i="3"/>
  <c r="BT39" i="3"/>
  <c r="BU39" i="3"/>
  <c r="BV39" i="3"/>
  <c r="BQ40" i="3"/>
  <c r="BR40" i="3"/>
  <c r="BS40" i="3"/>
  <c r="BT40" i="3"/>
  <c r="BU40" i="3"/>
  <c r="BV40" i="3"/>
  <c r="B43" i="3"/>
  <c r="BP46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BQ8" i="4"/>
  <c r="BR8" i="4"/>
  <c r="BS8" i="4"/>
  <c r="BT8" i="4"/>
  <c r="BT54" i="4" s="1"/>
  <c r="BU8" i="4"/>
  <c r="BU54" i="4" s="1"/>
  <c r="BV8" i="4"/>
  <c r="BV54" i="4" s="1"/>
  <c r="BQ9" i="4"/>
  <c r="BR9" i="4"/>
  <c r="BS9" i="4"/>
  <c r="BT9" i="4"/>
  <c r="BU9" i="4"/>
  <c r="BV9" i="4"/>
  <c r="BW9" i="4"/>
  <c r="BX9" i="4"/>
  <c r="BY9" i="4"/>
  <c r="BZ9" i="4"/>
  <c r="CA9" i="4"/>
  <c r="BQ10" i="4"/>
  <c r="BR10" i="4"/>
  <c r="BS10" i="4"/>
  <c r="BT10" i="4"/>
  <c r="BU10" i="4"/>
  <c r="BV10" i="4"/>
  <c r="BW10" i="4"/>
  <c r="BX10" i="4"/>
  <c r="BY10" i="4"/>
  <c r="BZ10" i="4"/>
  <c r="CA10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BP12" i="4"/>
  <c r="BQ13" i="4"/>
  <c r="BR13" i="4"/>
  <c r="BS13" i="4"/>
  <c r="BT13" i="4"/>
  <c r="BU13" i="4"/>
  <c r="BV13" i="4"/>
  <c r="BQ14" i="4"/>
  <c r="BR14" i="4"/>
  <c r="BS14" i="4"/>
  <c r="BT14" i="4"/>
  <c r="BU14" i="4"/>
  <c r="BV14" i="4"/>
  <c r="BQ15" i="4"/>
  <c r="BR15" i="4"/>
  <c r="BS15" i="4"/>
  <c r="BT15" i="4"/>
  <c r="BU15" i="4"/>
  <c r="BV15" i="4"/>
  <c r="BQ16" i="4"/>
  <c r="BR16" i="4"/>
  <c r="BS16" i="4"/>
  <c r="BT16" i="4"/>
  <c r="BU16" i="4"/>
  <c r="BV16" i="4"/>
  <c r="BQ17" i="4"/>
  <c r="BR17" i="4"/>
  <c r="BS17" i="4"/>
  <c r="BT17" i="4"/>
  <c r="BU17" i="4"/>
  <c r="BV17" i="4"/>
  <c r="BQ18" i="4"/>
  <c r="BR18" i="4"/>
  <c r="BS18" i="4"/>
  <c r="BT18" i="4"/>
  <c r="BU18" i="4"/>
  <c r="BV18" i="4"/>
  <c r="BQ19" i="4"/>
  <c r="BR19" i="4"/>
  <c r="BS19" i="4"/>
  <c r="BT19" i="4"/>
  <c r="BU19" i="4"/>
  <c r="BV19" i="4"/>
  <c r="BQ22" i="4"/>
  <c r="BR22" i="4"/>
  <c r="BS22" i="4"/>
  <c r="BT22" i="4"/>
  <c r="BU22" i="4"/>
  <c r="BV22" i="4"/>
  <c r="BQ23" i="4"/>
  <c r="BR23" i="4"/>
  <c r="BS23" i="4"/>
  <c r="BT23" i="4"/>
  <c r="BU23" i="4"/>
  <c r="BV23" i="4"/>
  <c r="BW23" i="4"/>
  <c r="BX23" i="4"/>
  <c r="BY23" i="4"/>
  <c r="BZ23" i="4"/>
  <c r="CA23" i="4"/>
  <c r="BQ24" i="4"/>
  <c r="BR24" i="4"/>
  <c r="BS24" i="4"/>
  <c r="BT24" i="4"/>
  <c r="BU24" i="4"/>
  <c r="BV24" i="4"/>
  <c r="BW24" i="4"/>
  <c r="BX24" i="4"/>
  <c r="BY24" i="4"/>
  <c r="BZ24" i="4"/>
  <c r="CA24" i="4"/>
  <c r="BQ25" i="4"/>
  <c r="BR25" i="4"/>
  <c r="BS25" i="4"/>
  <c r="BT25" i="4"/>
  <c r="BU25" i="4"/>
  <c r="BV25" i="4"/>
  <c r="BQ26" i="4"/>
  <c r="BR26" i="4"/>
  <c r="BS26" i="4"/>
  <c r="BT26" i="4"/>
  <c r="BU26" i="4"/>
  <c r="BV26" i="4"/>
  <c r="BQ27" i="4"/>
  <c r="BR27" i="4"/>
  <c r="BS27" i="4"/>
  <c r="BT27" i="4"/>
  <c r="BU27" i="4"/>
  <c r="BV27" i="4"/>
  <c r="BW27" i="4"/>
  <c r="BX27" i="4"/>
  <c r="BY27" i="4"/>
  <c r="BZ27" i="4"/>
  <c r="CA27" i="4"/>
  <c r="BQ28" i="4"/>
  <c r="BR28" i="4"/>
  <c r="BS28" i="4"/>
  <c r="BT28" i="4"/>
  <c r="BU28" i="4"/>
  <c r="BV28" i="4"/>
  <c r="BW28" i="4"/>
  <c r="BX28" i="4"/>
  <c r="BY28" i="4"/>
  <c r="BZ28" i="4"/>
  <c r="CA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BW31" i="4"/>
  <c r="BQ31" i="4"/>
  <c r="BR31" i="4"/>
  <c r="BS31" i="4"/>
  <c r="BT31" i="4"/>
  <c r="BU31" i="4"/>
  <c r="BV31" i="4"/>
  <c r="BQ32" i="4"/>
  <c r="BR32" i="4"/>
  <c r="BS32" i="4"/>
  <c r="BT32" i="4"/>
  <c r="BU32" i="4"/>
  <c r="BV32" i="4"/>
  <c r="BX32" i="4"/>
  <c r="BY32" i="4"/>
  <c r="BZ32" i="4"/>
  <c r="CA32" i="4"/>
  <c r="BQ33" i="4"/>
  <c r="BR33" i="4"/>
  <c r="BS33" i="4"/>
  <c r="BT33" i="4"/>
  <c r="BU33" i="4"/>
  <c r="BV33" i="4"/>
  <c r="BW33" i="4"/>
  <c r="BX33" i="4"/>
  <c r="BY33" i="4"/>
  <c r="BZ33" i="4"/>
  <c r="BQ34" i="4"/>
  <c r="BR34" i="4"/>
  <c r="BS34" i="4"/>
  <c r="BT34" i="4"/>
  <c r="BU34" i="4"/>
  <c r="BV34" i="4"/>
  <c r="BW34" i="4"/>
  <c r="BX34" i="4"/>
  <c r="BY34" i="4"/>
  <c r="BZ34" i="4"/>
  <c r="CA34" i="4"/>
  <c r="BQ35" i="4"/>
  <c r="BR35" i="4"/>
  <c r="BS35" i="4"/>
  <c r="BT35" i="4"/>
  <c r="BU35" i="4"/>
  <c r="BV35" i="4"/>
  <c r="BW35" i="4"/>
  <c r="BX35" i="4"/>
  <c r="BY35" i="4"/>
  <c r="BZ35" i="4"/>
  <c r="CA35" i="4"/>
  <c r="BQ36" i="4"/>
  <c r="BR36" i="4"/>
  <c r="BS36" i="4"/>
  <c r="BT36" i="4"/>
  <c r="BU36" i="4"/>
  <c r="BV36" i="4"/>
  <c r="BQ37" i="4"/>
  <c r="BR37" i="4"/>
  <c r="BS37" i="4"/>
  <c r="BT37" i="4"/>
  <c r="BU37" i="4"/>
  <c r="BV37" i="4"/>
  <c r="BQ38" i="4"/>
  <c r="BR38" i="4"/>
  <c r="BS38" i="4"/>
  <c r="BT38" i="4"/>
  <c r="BU38" i="4"/>
  <c r="BV38" i="4"/>
  <c r="BQ40" i="4"/>
  <c r="BR40" i="4"/>
  <c r="BS40" i="4"/>
  <c r="BT40" i="4"/>
  <c r="BU40" i="4"/>
  <c r="BV40" i="4"/>
  <c r="BW40" i="4"/>
  <c r="BX40" i="4"/>
  <c r="BY40" i="4"/>
  <c r="BZ40" i="4"/>
  <c r="CA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BQ43" i="4"/>
  <c r="BR43" i="4"/>
  <c r="BS43" i="4"/>
  <c r="BT43" i="4"/>
  <c r="BU43" i="4"/>
  <c r="BV43" i="4"/>
  <c r="BW43" i="4"/>
  <c r="BX43" i="4"/>
  <c r="BY43" i="4"/>
  <c r="BZ43" i="4"/>
  <c r="CA43" i="4"/>
  <c r="BP44" i="4"/>
  <c r="BP48" i="4"/>
  <c r="BQ175" i="1"/>
  <c r="BR175" i="1"/>
  <c r="BS175" i="1"/>
  <c r="BT175" i="1"/>
  <c r="BU175" i="1"/>
  <c r="BV175" i="1"/>
  <c r="BQ176" i="1"/>
  <c r="BR176" i="1"/>
  <c r="BS176" i="1"/>
  <c r="BT176" i="1"/>
  <c r="BU176" i="1"/>
  <c r="BV176" i="1"/>
  <c r="BQ177" i="1"/>
  <c r="BR177" i="1"/>
  <c r="BS177" i="1"/>
  <c r="BT177" i="1"/>
  <c r="BU177" i="1"/>
  <c r="BV177" i="1"/>
  <c r="BQ178" i="1"/>
  <c r="BR178" i="1"/>
  <c r="BS178" i="1"/>
  <c r="BT178" i="1"/>
  <c r="BU178" i="1"/>
  <c r="BV178" i="1"/>
  <c r="BQ179" i="1"/>
  <c r="BR179" i="1"/>
  <c r="BS179" i="1"/>
  <c r="BT179" i="1"/>
  <c r="BU179" i="1"/>
  <c r="BV179" i="1"/>
  <c r="BW180" i="1"/>
  <c r="BW279" i="1" s="1"/>
  <c r="BX180" i="1"/>
  <c r="BX279" i="1" s="1"/>
  <c r="BY180" i="1"/>
  <c r="BY279" i="1" s="1"/>
  <c r="BZ180" i="1"/>
  <c r="BZ279" i="1" s="1"/>
  <c r="CA180" i="1"/>
  <c r="CA279" i="1" s="1"/>
  <c r="BQ180" i="1"/>
  <c r="BQ279" i="1" s="1"/>
  <c r="BR180" i="1"/>
  <c r="BR279" i="1" s="1"/>
  <c r="BS180" i="1"/>
  <c r="BS279" i="1" s="1"/>
  <c r="BT180" i="1"/>
  <c r="BT279" i="1" s="1"/>
  <c r="BU180" i="1"/>
  <c r="BU279" i="1" s="1"/>
  <c r="BV180" i="1"/>
  <c r="BV279" i="1" s="1"/>
  <c r="BQ183" i="1"/>
  <c r="C184" i="1"/>
  <c r="D184" i="1"/>
  <c r="E184" i="1"/>
  <c r="F184" i="1"/>
  <c r="F185" i="1"/>
  <c r="BP186" i="1"/>
  <c r="BP188" i="1"/>
  <c r="BP189" i="1" s="1"/>
  <c r="BQ259" i="1"/>
  <c r="BR259" i="1"/>
  <c r="BS259" i="1"/>
  <c r="BT259" i="1"/>
  <c r="BU259" i="1"/>
  <c r="BV259" i="1"/>
  <c r="BP260" i="1"/>
  <c r="BQ261" i="1"/>
  <c r="BR261" i="1"/>
  <c r="BS261" i="1"/>
  <c r="BT261" i="1"/>
  <c r="BU261" i="1"/>
  <c r="BV261" i="1"/>
  <c r="BP262" i="1"/>
  <c r="BQ263" i="1"/>
  <c r="BR263" i="1"/>
  <c r="BS263" i="1"/>
  <c r="BT263" i="1"/>
  <c r="BU263" i="1"/>
  <c r="BV263" i="1"/>
  <c r="BP264" i="1"/>
  <c r="BQ265" i="1"/>
  <c r="BR265" i="1"/>
  <c r="BS265" i="1"/>
  <c r="BT265" i="1"/>
  <c r="BU265" i="1"/>
  <c r="BV265" i="1"/>
  <c r="BP266" i="1"/>
  <c r="S269" i="1"/>
  <c r="S280" i="1" s="1"/>
  <c r="BQ269" i="1"/>
  <c r="BQ280" i="1" s="1"/>
  <c r="BR269" i="1"/>
  <c r="BR280" i="1" s="1"/>
  <c r="BS269" i="1"/>
  <c r="BS280" i="1" s="1"/>
  <c r="BT269" i="1"/>
  <c r="BT280" i="1" s="1"/>
  <c r="BV269" i="1"/>
  <c r="BV280" i="1" s="1"/>
  <c r="BP270" i="1"/>
  <c r="BQ273" i="1"/>
  <c r="BR273" i="1"/>
  <c r="BS273" i="1"/>
  <c r="BT273" i="1"/>
  <c r="BU273" i="1"/>
  <c r="BV273" i="1"/>
  <c r="BP274" i="1"/>
  <c r="B275" i="1"/>
  <c r="B104" i="3" s="1"/>
  <c r="C275" i="1"/>
  <c r="C104" i="3" s="1"/>
  <c r="D275" i="1"/>
  <c r="D104" i="3" s="1"/>
  <c r="E275" i="1"/>
  <c r="E104" i="3" s="1"/>
  <c r="F275" i="1"/>
  <c r="F104" i="3" s="1"/>
  <c r="G275" i="1"/>
  <c r="G104" i="3" s="1"/>
  <c r="H275" i="1"/>
  <c r="H104" i="3" s="1"/>
  <c r="I275" i="1"/>
  <c r="I104" i="3" s="1"/>
  <c r="J275" i="1"/>
  <c r="J104" i="3" s="1"/>
  <c r="K275" i="1"/>
  <c r="K104" i="3" s="1"/>
  <c r="L275" i="1"/>
  <c r="L104" i="3" s="1"/>
  <c r="M275" i="1"/>
  <c r="M104" i="3" s="1"/>
  <c r="N275" i="1"/>
  <c r="N104" i="3" s="1"/>
  <c r="O275" i="1"/>
  <c r="O104" i="3" s="1"/>
  <c r="P275" i="1"/>
  <c r="P104" i="3" s="1"/>
  <c r="Q275" i="1"/>
  <c r="Q104" i="3" s="1"/>
  <c r="R275" i="1"/>
  <c r="R104" i="3" s="1"/>
  <c r="S275" i="1"/>
  <c r="S104" i="3" s="1"/>
  <c r="T275" i="1"/>
  <c r="T104" i="3" s="1"/>
  <c r="U275" i="1"/>
  <c r="U104" i="3" s="1"/>
  <c r="V275" i="1"/>
  <c r="V104" i="3" s="1"/>
  <c r="W275" i="1"/>
  <c r="W104" i="3" s="1"/>
  <c r="X275" i="1"/>
  <c r="X104" i="3" s="1"/>
  <c r="Y275" i="1"/>
  <c r="Y104" i="3" s="1"/>
  <c r="Z275" i="1"/>
  <c r="Z104" i="3" s="1"/>
  <c r="AA275" i="1"/>
  <c r="AA104" i="3" s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BP272" i="1"/>
  <c r="BQ283" i="1"/>
  <c r="BR283" i="1"/>
  <c r="BS283" i="1"/>
  <c r="BT283" i="1"/>
  <c r="BU283" i="1"/>
  <c r="BV283" i="1"/>
  <c r="BP284" i="1"/>
  <c r="C260" i="1"/>
  <c r="F274" i="1"/>
  <c r="B212" i="1"/>
  <c r="C212" i="1"/>
  <c r="D212" i="1"/>
  <c r="E212" i="1"/>
  <c r="F212" i="1"/>
  <c r="G212" i="1"/>
  <c r="H212" i="1"/>
  <c r="H14" i="29" s="1"/>
  <c r="I212" i="1"/>
  <c r="I224" i="1" s="1"/>
  <c r="J212" i="1"/>
  <c r="J14" i="29" s="1"/>
  <c r="K212" i="1"/>
  <c r="L212" i="1"/>
  <c r="L14" i="29" s="1"/>
  <c r="M212" i="1"/>
  <c r="N212" i="1"/>
  <c r="N14" i="29" s="1"/>
  <c r="O212" i="1"/>
  <c r="O14" i="29" s="1"/>
  <c r="P212" i="1"/>
  <c r="P14" i="29" s="1"/>
  <c r="Q212" i="1"/>
  <c r="Q14" i="29" s="1"/>
  <c r="R212" i="1"/>
  <c r="S212" i="1"/>
  <c r="S14" i="29" s="1"/>
  <c r="T212" i="1"/>
  <c r="T14" i="29" s="1"/>
  <c r="U212" i="1"/>
  <c r="U14" i="29" s="1"/>
  <c r="V212" i="1"/>
  <c r="V14" i="29" s="1"/>
  <c r="W212" i="1"/>
  <c r="W14" i="29" s="1"/>
  <c r="X212" i="1"/>
  <c r="X14" i="29" s="1"/>
  <c r="Y212" i="1"/>
  <c r="Y14" i="29" s="1"/>
  <c r="Z212" i="1"/>
  <c r="Z14" i="29" s="1"/>
  <c r="AA212" i="1"/>
  <c r="AA14" i="29" s="1"/>
  <c r="B213" i="1"/>
  <c r="C213" i="1"/>
  <c r="C15" i="29" s="1"/>
  <c r="D213" i="1"/>
  <c r="E213" i="1"/>
  <c r="F213" i="1"/>
  <c r="F15" i="29" s="1"/>
  <c r="G213" i="1"/>
  <c r="G15" i="29" s="1"/>
  <c r="H213" i="1"/>
  <c r="H15" i="29" s="1"/>
  <c r="I213" i="1"/>
  <c r="I15" i="29" s="1"/>
  <c r="J213" i="1"/>
  <c r="J15" i="29" s="1"/>
  <c r="K213" i="1"/>
  <c r="K15" i="29" s="1"/>
  <c r="L213" i="1"/>
  <c r="L15" i="29" s="1"/>
  <c r="M213" i="1"/>
  <c r="N213" i="1"/>
  <c r="N15" i="29" s="1"/>
  <c r="O213" i="1"/>
  <c r="O15" i="29" s="1"/>
  <c r="P213" i="1"/>
  <c r="P15" i="29" s="1"/>
  <c r="Q213" i="1"/>
  <c r="R213" i="1"/>
  <c r="T213" i="1"/>
  <c r="U213" i="1"/>
  <c r="V213" i="1"/>
  <c r="V15" i="29" s="1"/>
  <c r="W213" i="1"/>
  <c r="W15" i="29" s="1"/>
  <c r="X213" i="1"/>
  <c r="Y213" i="1"/>
  <c r="Y15" i="29" s="1"/>
  <c r="Z213" i="1"/>
  <c r="AA213" i="1"/>
  <c r="B214" i="1"/>
  <c r="C214" i="1"/>
  <c r="C16" i="29" s="1"/>
  <c r="D214" i="1"/>
  <c r="D16" i="29" s="1"/>
  <c r="E214" i="1"/>
  <c r="E16" i="29" s="1"/>
  <c r="F214" i="1"/>
  <c r="F16" i="29" s="1"/>
  <c r="G214" i="1"/>
  <c r="G16" i="29" s="1"/>
  <c r="H214" i="1"/>
  <c r="I214" i="1"/>
  <c r="J214" i="1"/>
  <c r="K214" i="1"/>
  <c r="L214" i="1"/>
  <c r="L16" i="29" s="1"/>
  <c r="M214" i="1"/>
  <c r="M16" i="29" s="1"/>
  <c r="N214" i="1"/>
  <c r="N16" i="29" s="1"/>
  <c r="O214" i="1"/>
  <c r="P214" i="1"/>
  <c r="Q214" i="1"/>
  <c r="R214" i="1"/>
  <c r="R16" i="29" s="1"/>
  <c r="S214" i="1"/>
  <c r="T214" i="1"/>
  <c r="T16" i="29" s="1"/>
  <c r="U214" i="1"/>
  <c r="U16" i="29" s="1"/>
  <c r="V214" i="1"/>
  <c r="V16" i="29" s="1"/>
  <c r="W214" i="1"/>
  <c r="W16" i="29" s="1"/>
  <c r="X214" i="1"/>
  <c r="Y214" i="1"/>
  <c r="Z214" i="1"/>
  <c r="AA214" i="1"/>
  <c r="AA16" i="29" s="1"/>
  <c r="BI226" i="1"/>
  <c r="BM226" i="1" s="1"/>
  <c r="BP215" i="1"/>
  <c r="BP193" i="1" s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BP197" i="1"/>
  <c r="BQ198" i="1"/>
  <c r="BR198" i="1"/>
  <c r="BS198" i="1"/>
  <c r="BT198" i="1"/>
  <c r="BU198" i="1"/>
  <c r="BV198" i="1"/>
  <c r="BQ197" i="1"/>
  <c r="BR197" i="1"/>
  <c r="BS197" i="1"/>
  <c r="BT197" i="1"/>
  <c r="BU197" i="1"/>
  <c r="BV197" i="1"/>
  <c r="BW197" i="1"/>
  <c r="BX197" i="1"/>
  <c r="BY197" i="1"/>
  <c r="BZ197" i="1"/>
  <c r="CA197" i="1"/>
  <c r="BW32" i="4"/>
  <c r="BW9" i="3"/>
  <c r="BW38" i="4"/>
  <c r="BW178" i="1"/>
  <c r="AC20" i="9"/>
  <c r="AC15" i="9" s="1"/>
  <c r="AC14" i="9"/>
  <c r="BY38" i="3"/>
  <c r="BW38" i="3"/>
  <c r="BW40" i="3"/>
  <c r="BW25" i="4"/>
  <c r="BW179" i="1"/>
  <c r="BW8" i="4"/>
  <c r="BW30" i="3"/>
  <c r="BW26" i="3"/>
  <c r="BW26" i="4"/>
  <c r="BW19" i="3"/>
  <c r="BW18" i="3"/>
  <c r="BW8" i="3"/>
  <c r="BW33" i="3"/>
  <c r="BW20" i="3"/>
  <c r="BW261" i="1"/>
  <c r="BW265" i="1"/>
  <c r="BW177" i="1"/>
  <c r="BW263" i="1"/>
  <c r="BW12" i="3"/>
  <c r="BW176" i="1"/>
  <c r="BW283" i="1"/>
  <c r="BW175" i="1"/>
  <c r="BW13" i="4"/>
  <c r="BW10" i="3"/>
  <c r="BW19" i="4"/>
  <c r="BW17" i="4"/>
  <c r="BW18" i="4"/>
  <c r="BW32" i="3"/>
  <c r="BW259" i="1"/>
  <c r="BW273" i="1"/>
  <c r="BW24" i="3"/>
  <c r="BW22" i="4"/>
  <c r="BW23" i="3"/>
  <c r="BW25" i="3"/>
  <c r="BW31" i="3"/>
  <c r="BW11" i="3"/>
  <c r="BW13" i="3"/>
  <c r="BW15" i="4"/>
  <c r="BW14" i="4"/>
  <c r="BW37" i="4"/>
  <c r="BW36" i="4"/>
  <c r="BW16" i="3"/>
  <c r="BW198" i="1"/>
  <c r="BW269" i="1"/>
  <c r="BW280" i="1" s="1"/>
  <c r="BW39" i="3"/>
  <c r="AE43" i="3"/>
  <c r="AF20" i="9"/>
  <c r="AF15" i="9" s="1"/>
  <c r="BX38" i="4"/>
  <c r="AG213" i="1"/>
  <c r="BX38" i="3"/>
  <c r="BX40" i="3"/>
  <c r="BX36" i="3"/>
  <c r="BY36" i="3"/>
  <c r="BX26" i="4"/>
  <c r="BX9" i="3"/>
  <c r="BX25" i="4"/>
  <c r="BX179" i="1"/>
  <c r="BX178" i="1"/>
  <c r="BX8" i="3"/>
  <c r="BX18" i="3"/>
  <c r="BX8" i="4"/>
  <c r="BX54" i="4" s="1"/>
  <c r="BX263" i="1"/>
  <c r="BX261" i="1"/>
  <c r="BX265" i="1"/>
  <c r="BX177" i="1"/>
  <c r="BX33" i="3"/>
  <c r="BX20" i="3"/>
  <c r="BX175" i="1"/>
  <c r="BX176" i="1"/>
  <c r="BX269" i="1"/>
  <c r="BX280" i="1" s="1"/>
  <c r="BX13" i="4"/>
  <c r="BX18" i="4"/>
  <c r="BX283" i="1"/>
  <c r="BX273" i="1"/>
  <c r="BX259" i="1"/>
  <c r="BX198" i="1"/>
  <c r="BX37" i="4"/>
  <c r="BX17" i="4"/>
  <c r="BX15" i="4"/>
  <c r="BX10" i="3"/>
  <c r="BX22" i="4"/>
  <c r="BX36" i="4"/>
  <c r="BX19" i="4"/>
  <c r="BX11" i="3"/>
  <c r="BX31" i="3"/>
  <c r="BX16" i="4"/>
  <c r="BX14" i="4"/>
  <c r="BX25" i="3"/>
  <c r="BX30" i="3"/>
  <c r="BX19" i="3"/>
  <c r="BX24" i="3"/>
  <c r="BX13" i="3"/>
  <c r="BX23" i="3"/>
  <c r="BX16" i="3"/>
  <c r="BX41" i="3"/>
  <c r="BX32" i="3"/>
  <c r="BX12" i="3"/>
  <c r="B17" i="2"/>
  <c r="BX26" i="3"/>
  <c r="AH43" i="3"/>
  <c r="BX43" i="3" s="1"/>
  <c r="BX39" i="3"/>
  <c r="E186" i="1"/>
  <c r="E129" i="1"/>
  <c r="E61" i="3"/>
  <c r="E52" i="3"/>
  <c r="E188" i="1"/>
  <c r="J61" i="3"/>
  <c r="J52" i="3"/>
  <c r="J130" i="1"/>
  <c r="J129" i="1"/>
  <c r="I61" i="3"/>
  <c r="I130" i="1"/>
  <c r="I129" i="1"/>
  <c r="I52" i="3"/>
  <c r="K52" i="3"/>
  <c r="K129" i="1"/>
  <c r="K130" i="1"/>
  <c r="K61" i="3"/>
  <c r="BS128" i="1"/>
  <c r="D52" i="3"/>
  <c r="D61" i="3"/>
  <c r="D186" i="1"/>
  <c r="D188" i="1"/>
  <c r="F129" i="1"/>
  <c r="F61" i="3"/>
  <c r="F186" i="1"/>
  <c r="F52" i="3"/>
  <c r="F188" i="1"/>
  <c r="H61" i="3"/>
  <c r="H52" i="3"/>
  <c r="H129" i="1"/>
  <c r="H130" i="1"/>
  <c r="L61" i="3"/>
  <c r="L52" i="3"/>
  <c r="L129" i="1"/>
  <c r="L130" i="1"/>
  <c r="G129" i="1"/>
  <c r="G61" i="3"/>
  <c r="G52" i="3"/>
  <c r="BR128" i="1"/>
  <c r="M61" i="3"/>
  <c r="M130" i="1"/>
  <c r="M52" i="3"/>
  <c r="M129" i="1"/>
  <c r="N61" i="3"/>
  <c r="N129" i="1"/>
  <c r="N52" i="3"/>
  <c r="N130" i="1"/>
  <c r="O61" i="3"/>
  <c r="O130" i="1"/>
  <c r="O129" i="1"/>
  <c r="O52" i="3"/>
  <c r="C188" i="1"/>
  <c r="D129" i="1"/>
  <c r="C186" i="1"/>
  <c r="C52" i="3"/>
  <c r="C61" i="3"/>
  <c r="BQ128" i="1"/>
  <c r="BQ130" i="1" s="1"/>
  <c r="G130" i="1"/>
  <c r="B61" i="3"/>
  <c r="F130" i="1"/>
  <c r="B52" i="3"/>
  <c r="B186" i="1"/>
  <c r="C129" i="1"/>
  <c r="B188" i="1"/>
  <c r="B189" i="1" s="1"/>
  <c r="BY38" i="4"/>
  <c r="BY178" i="1"/>
  <c r="CA38" i="3"/>
  <c r="BY179" i="1"/>
  <c r="BY26" i="4"/>
  <c r="BY9" i="3"/>
  <c r="BY40" i="3"/>
  <c r="BY17" i="3"/>
  <c r="BY19" i="3"/>
  <c r="BY30" i="3"/>
  <c r="BY18" i="3"/>
  <c r="BY8" i="3"/>
  <c r="BY8" i="4"/>
  <c r="BY54" i="4" s="1"/>
  <c r="BY20" i="3"/>
  <c r="BY33" i="3"/>
  <c r="BY261" i="1"/>
  <c r="BY175" i="1"/>
  <c r="BY19" i="4"/>
  <c r="BY263" i="1"/>
  <c r="BY12" i="3"/>
  <c r="BY32" i="3"/>
  <c r="BY283" i="1"/>
  <c r="BY176" i="1"/>
  <c r="BY265" i="1"/>
  <c r="BY177" i="1"/>
  <c r="BY269" i="1"/>
  <c r="BY280" i="1" s="1"/>
  <c r="BY18" i="4"/>
  <c r="BY273" i="1"/>
  <c r="BY259" i="1"/>
  <c r="BY24" i="3"/>
  <c r="BY17" i="4"/>
  <c r="BY16" i="4"/>
  <c r="BY25" i="3"/>
  <c r="BY31" i="3"/>
  <c r="BY10" i="3"/>
  <c r="BY14" i="4"/>
  <c r="BY13" i="4"/>
  <c r="BY13" i="3"/>
  <c r="BY22" i="4"/>
  <c r="BY37" i="4"/>
  <c r="BY11" i="3"/>
  <c r="BY23" i="3"/>
  <c r="BY15" i="4"/>
  <c r="BY36" i="4"/>
  <c r="BY16" i="3"/>
  <c r="BY26" i="3"/>
  <c r="BY198" i="1"/>
  <c r="BY41" i="3"/>
  <c r="BY39" i="3"/>
  <c r="BZ38" i="3"/>
  <c r="BZ26" i="4"/>
  <c r="BZ36" i="3"/>
  <c r="BZ178" i="1"/>
  <c r="BZ7" i="4"/>
  <c r="BZ17" i="3"/>
  <c r="BZ179" i="1"/>
  <c r="BZ40" i="3"/>
  <c r="BZ30" i="3"/>
  <c r="BZ9" i="3"/>
  <c r="G9" i="1"/>
  <c r="BZ38" i="4"/>
  <c r="BZ25" i="4"/>
  <c r="BZ18" i="3"/>
  <c r="BZ8" i="3"/>
  <c r="BZ19" i="3"/>
  <c r="BZ8" i="4"/>
  <c r="BZ54" i="4" s="1"/>
  <c r="BZ265" i="1"/>
  <c r="BZ261" i="1"/>
  <c r="BZ263" i="1"/>
  <c r="BZ20" i="3"/>
  <c r="BZ33" i="3"/>
  <c r="BZ175" i="1"/>
  <c r="BZ177" i="1"/>
  <c r="BZ19" i="4"/>
  <c r="BZ12" i="3"/>
  <c r="BZ32" i="3"/>
  <c r="BZ176" i="1"/>
  <c r="BZ273" i="1"/>
  <c r="BZ24" i="3"/>
  <c r="BZ17" i="4"/>
  <c r="BZ18" i="4"/>
  <c r="BZ259" i="1"/>
  <c r="BZ31" i="3"/>
  <c r="BZ25" i="3"/>
  <c r="BZ22" i="4"/>
  <c r="BZ13" i="4"/>
  <c r="BZ10" i="3"/>
  <c r="BZ15" i="4"/>
  <c r="BZ13" i="3"/>
  <c r="BZ37" i="4"/>
  <c r="BZ16" i="3"/>
  <c r="BZ36" i="4"/>
  <c r="BZ26" i="3"/>
  <c r="BZ198" i="1"/>
  <c r="BZ283" i="1"/>
  <c r="BZ16" i="4"/>
  <c r="BZ14" i="4"/>
  <c r="BZ11" i="3"/>
  <c r="BZ23" i="3"/>
  <c r="BZ269" i="1"/>
  <c r="BZ280" i="1" s="1"/>
  <c r="AP213" i="1"/>
  <c r="AP15" i="29" s="1"/>
  <c r="BZ41" i="3"/>
  <c r="D17" i="2"/>
  <c r="BZ39" i="3"/>
  <c r="C274" i="1"/>
  <c r="F284" i="1"/>
  <c r="F260" i="1"/>
  <c r="E274" i="1"/>
  <c r="Y260" i="1"/>
  <c r="Y274" i="1"/>
  <c r="Q284" i="1"/>
  <c r="AK32" i="1"/>
  <c r="AF32" i="1"/>
  <c r="AJ31" i="1"/>
  <c r="C284" i="1"/>
  <c r="D260" i="1"/>
  <c r="D284" i="1"/>
  <c r="AH32" i="1"/>
  <c r="AG31" i="1"/>
  <c r="AI31" i="1"/>
  <c r="AM260" i="1"/>
  <c r="AM284" i="1"/>
  <c r="AC284" i="1"/>
  <c r="M260" i="1"/>
  <c r="AH31" i="1"/>
  <c r="D9" i="1"/>
  <c r="C218" i="1"/>
  <c r="E9" i="1"/>
  <c r="I10" i="1"/>
  <c r="G10" i="1"/>
  <c r="M10" i="1"/>
  <c r="I9" i="1"/>
  <c r="M218" i="1"/>
  <c r="F218" i="1"/>
  <c r="H9" i="1"/>
  <c r="W260" i="1"/>
  <c r="W284" i="1"/>
  <c r="W274" i="1"/>
  <c r="J9" i="1"/>
  <c r="K10" i="1"/>
  <c r="O10" i="1"/>
  <c r="L9" i="1"/>
  <c r="AF284" i="1"/>
  <c r="H10" i="1"/>
  <c r="D218" i="1"/>
  <c r="K9" i="1"/>
  <c r="AM274" i="1"/>
  <c r="R260" i="1"/>
  <c r="AF61" i="3"/>
  <c r="B274" i="1"/>
  <c r="B260" i="1"/>
  <c r="B284" i="1"/>
  <c r="F9" i="1"/>
  <c r="N218" i="1"/>
  <c r="P284" i="1"/>
  <c r="P260" i="1"/>
  <c r="C9" i="1"/>
  <c r="F10" i="1"/>
  <c r="B218" i="1"/>
  <c r="N9" i="1"/>
  <c r="N10" i="1"/>
  <c r="O9" i="1"/>
  <c r="AC260" i="1"/>
  <c r="AC274" i="1"/>
  <c r="BP218" i="1"/>
  <c r="BP10" i="1"/>
  <c r="AL284" i="1"/>
  <c r="AL260" i="1"/>
  <c r="AL274" i="1"/>
  <c r="M284" i="1"/>
  <c r="Y284" i="1"/>
  <c r="E260" i="1"/>
  <c r="E218" i="1"/>
  <c r="BQ211" i="1"/>
  <c r="BQ223" i="1" s="1"/>
  <c r="E284" i="1"/>
  <c r="R274" i="1"/>
  <c r="D274" i="1"/>
  <c r="J10" i="1"/>
  <c r="L10" i="1"/>
  <c r="M9" i="1"/>
  <c r="G284" i="1"/>
  <c r="AJ32" i="1"/>
  <c r="S31" i="1"/>
  <c r="AA31" i="1"/>
  <c r="G218" i="1"/>
  <c r="AG284" i="1"/>
  <c r="G274" i="1"/>
  <c r="AG274" i="1"/>
  <c r="G260" i="1"/>
  <c r="AG260" i="1"/>
  <c r="V31" i="1"/>
  <c r="Q274" i="1"/>
  <c r="BW30" i="1"/>
  <c r="BU30" i="1"/>
  <c r="AA32" i="1"/>
  <c r="Q260" i="1"/>
  <c r="AB31" i="1"/>
  <c r="Z32" i="1"/>
  <c r="AE32" i="1"/>
  <c r="V32" i="1"/>
  <c r="AG32" i="1"/>
  <c r="AO260" i="1"/>
  <c r="AO284" i="1"/>
  <c r="AO274" i="1"/>
  <c r="AF31" i="1"/>
  <c r="AI32" i="1"/>
  <c r="AF218" i="1"/>
  <c r="AK31" i="1"/>
  <c r="AL32" i="1"/>
  <c r="AL31" i="1"/>
  <c r="BX30" i="1"/>
  <c r="AD32" i="1"/>
  <c r="BY30" i="1"/>
  <c r="X32" i="1"/>
  <c r="X31" i="1"/>
  <c r="AB32" i="1"/>
  <c r="Y31" i="1"/>
  <c r="Z31" i="1"/>
  <c r="Y32" i="1"/>
  <c r="AC32" i="1"/>
  <c r="P10" i="1"/>
  <c r="BT30" i="1"/>
  <c r="BT32" i="1" s="1"/>
  <c r="Q31" i="1"/>
  <c r="AD31" i="1"/>
  <c r="W32" i="1"/>
  <c r="W31" i="1"/>
  <c r="BV30" i="1"/>
  <c r="U31" i="1"/>
  <c r="T31" i="1"/>
  <c r="T32" i="1"/>
  <c r="AC31" i="1"/>
  <c r="U32" i="1"/>
  <c r="AE31" i="1"/>
  <c r="R31" i="1"/>
  <c r="AH218" i="1"/>
  <c r="BR10" i="1"/>
  <c r="AJ274" i="1"/>
  <c r="BQ10" i="1"/>
  <c r="AF274" i="1"/>
  <c r="AF260" i="1"/>
  <c r="N284" i="1"/>
  <c r="N274" i="1"/>
  <c r="N260" i="1"/>
  <c r="AH284" i="1"/>
  <c r="AH274" i="1"/>
  <c r="AH260" i="1"/>
  <c r="J260" i="1"/>
  <c r="J274" i="1"/>
  <c r="J284" i="1"/>
  <c r="J218" i="1"/>
  <c r="AB284" i="1"/>
  <c r="AB274" i="1"/>
  <c r="AB260" i="1"/>
  <c r="T274" i="1"/>
  <c r="T260" i="1"/>
  <c r="T284" i="1"/>
  <c r="AD260" i="1"/>
  <c r="AD284" i="1"/>
  <c r="AD274" i="1"/>
  <c r="L260" i="1"/>
  <c r="L284" i="1"/>
  <c r="L274" i="1"/>
  <c r="L218" i="1"/>
  <c r="BT10" i="1"/>
  <c r="BS10" i="1"/>
  <c r="O260" i="1"/>
  <c r="O218" i="1"/>
  <c r="O274" i="1"/>
  <c r="O284" i="1"/>
  <c r="BT211" i="1"/>
  <c r="BT223" i="1" s="1"/>
  <c r="S260" i="1"/>
  <c r="S274" i="1"/>
  <c r="S284" i="1"/>
  <c r="BW211" i="1"/>
  <c r="BW223" i="1" s="1"/>
  <c r="AA260" i="1"/>
  <c r="AA284" i="1"/>
  <c r="AA274" i="1"/>
  <c r="AJ260" i="1"/>
  <c r="AJ284" i="1"/>
  <c r="AP274" i="1"/>
  <c r="AP284" i="1"/>
  <c r="AP260" i="1"/>
  <c r="U274" i="1"/>
  <c r="U284" i="1"/>
  <c r="U260" i="1"/>
  <c r="Z284" i="1"/>
  <c r="Z274" i="1"/>
  <c r="Z260" i="1"/>
  <c r="AN260" i="1"/>
  <c r="AN274" i="1"/>
  <c r="BZ211" i="1"/>
  <c r="AN284" i="1"/>
  <c r="BV211" i="1"/>
  <c r="BV223" i="1" s="1"/>
  <c r="X260" i="1"/>
  <c r="X274" i="1"/>
  <c r="X284" i="1"/>
  <c r="I218" i="1"/>
  <c r="I260" i="1"/>
  <c r="I284" i="1"/>
  <c r="I274" i="1"/>
  <c r="AE274" i="1"/>
  <c r="AE260" i="1"/>
  <c r="AE284" i="1"/>
  <c r="BX211" i="1"/>
  <c r="AK274" i="1"/>
  <c r="AK284" i="1"/>
  <c r="AK260" i="1"/>
  <c r="H284" i="1"/>
  <c r="H218" i="1"/>
  <c r="H260" i="1"/>
  <c r="H274" i="1"/>
  <c r="BR211" i="1"/>
  <c r="BU211" i="1"/>
  <c r="BU223" i="1" s="1"/>
  <c r="V274" i="1"/>
  <c r="V284" i="1"/>
  <c r="V260" i="1"/>
  <c r="K218" i="1"/>
  <c r="K260" i="1"/>
  <c r="K284" i="1"/>
  <c r="BS211" i="1"/>
  <c r="BS223" i="1" s="1"/>
  <c r="K274" i="1"/>
  <c r="Q130" i="1"/>
  <c r="AI260" i="1"/>
  <c r="BY211" i="1"/>
  <c r="AI274" i="1"/>
  <c r="AI284" i="1"/>
  <c r="P33" i="1"/>
  <c r="W61" i="3"/>
  <c r="AJ218" i="1"/>
  <c r="T33" i="1"/>
  <c r="AL33" i="1"/>
  <c r="W52" i="3"/>
  <c r="AH33" i="1"/>
  <c r="AD52" i="3"/>
  <c r="AD61" i="3"/>
  <c r="T218" i="1"/>
  <c r="AL218" i="1"/>
  <c r="P52" i="3"/>
  <c r="Q218" i="1"/>
  <c r="Q33" i="1"/>
  <c r="AG52" i="3"/>
  <c r="AG129" i="1"/>
  <c r="Q61" i="3"/>
  <c r="U129" i="1"/>
  <c r="AG9" i="1"/>
  <c r="R52" i="3"/>
  <c r="R130" i="1"/>
  <c r="R129" i="1"/>
  <c r="R61" i="3"/>
  <c r="AI218" i="1"/>
  <c r="Y52" i="3"/>
  <c r="Y129" i="1"/>
  <c r="Y61" i="3"/>
  <c r="AK130" i="1"/>
  <c r="Y218" i="1"/>
  <c r="AO129" i="1"/>
  <c r="Q52" i="3"/>
  <c r="V33" i="1"/>
  <c r="AJ130" i="1"/>
  <c r="AF52" i="3"/>
  <c r="R218" i="1"/>
  <c r="X61" i="3"/>
  <c r="AN130" i="1"/>
  <c r="AP129" i="1"/>
  <c r="AP130" i="1"/>
  <c r="AH52" i="3"/>
  <c r="AL130" i="1"/>
  <c r="AH61" i="3"/>
  <c r="AH130" i="1"/>
  <c r="AH129" i="1"/>
  <c r="Z61" i="3"/>
  <c r="AD130" i="1"/>
  <c r="Z52" i="3"/>
  <c r="BV128" i="1"/>
  <c r="S130" i="1"/>
  <c r="S61" i="3"/>
  <c r="S52" i="3"/>
  <c r="S129" i="1"/>
  <c r="BU128" i="1"/>
  <c r="W130" i="1"/>
  <c r="Z129" i="1"/>
  <c r="Z218" i="1"/>
  <c r="Z33" i="1"/>
  <c r="Z10" i="1"/>
  <c r="X218" i="1"/>
  <c r="Q10" i="1"/>
  <c r="Q9" i="1"/>
  <c r="AL10" i="1"/>
  <c r="U218" i="1"/>
  <c r="AK10" i="1"/>
  <c r="AL9" i="1"/>
  <c r="AK218" i="1"/>
  <c r="AK33" i="1"/>
  <c r="Z9" i="1"/>
  <c r="Y33" i="1"/>
  <c r="W9" i="1"/>
  <c r="P61" i="3"/>
  <c r="P130" i="1"/>
  <c r="Q129" i="1"/>
  <c r="P129" i="1"/>
  <c r="BT128" i="1"/>
  <c r="AI129" i="1"/>
  <c r="AA61" i="3"/>
  <c r="AA52" i="3"/>
  <c r="AA130" i="1"/>
  <c r="BW128" i="1"/>
  <c r="AA129" i="1"/>
  <c r="AB218" i="1"/>
  <c r="AB10" i="1"/>
  <c r="T130" i="1"/>
  <c r="AO130" i="1"/>
  <c r="AL129" i="1"/>
  <c r="AG130" i="1"/>
  <c r="AD129" i="1"/>
  <c r="Y130" i="1"/>
  <c r="V9" i="1"/>
  <c r="U33" i="1"/>
  <c r="Y10" i="1"/>
  <c r="X10" i="1"/>
  <c r="X33" i="1"/>
  <c r="Y9" i="1"/>
  <c r="AJ9" i="1"/>
  <c r="AI9" i="1"/>
  <c r="V129" i="1"/>
  <c r="V52" i="3"/>
  <c r="Z130" i="1"/>
  <c r="AJ129" i="1"/>
  <c r="AF130" i="1"/>
  <c r="AB52" i="3"/>
  <c r="AB129" i="1"/>
  <c r="AB61" i="3"/>
  <c r="AB130" i="1"/>
  <c r="T61" i="3"/>
  <c r="X130" i="1"/>
  <c r="T129" i="1"/>
  <c r="R9" i="1"/>
  <c r="R33" i="1"/>
  <c r="AG33" i="1"/>
  <c r="X52" i="3"/>
  <c r="X129" i="1"/>
  <c r="AM129" i="1"/>
  <c r="AM130" i="1"/>
  <c r="AN129" i="1"/>
  <c r="AI130" i="1"/>
  <c r="BX128" i="1"/>
  <c r="AF129" i="1"/>
  <c r="AE130" i="1"/>
  <c r="BZ128" i="1"/>
  <c r="AF33" i="1"/>
  <c r="AF9" i="1"/>
  <c r="AF10" i="1"/>
  <c r="AJ10" i="1"/>
  <c r="AK9" i="1"/>
  <c r="AG218" i="1"/>
  <c r="AH9" i="1"/>
  <c r="AC129" i="1"/>
  <c r="AC61" i="3"/>
  <c r="AC52" i="3"/>
  <c r="AC130" i="1"/>
  <c r="W129" i="1"/>
  <c r="V61" i="3"/>
  <c r="V130" i="1"/>
  <c r="P9" i="1"/>
  <c r="P218" i="1"/>
  <c r="T10" i="1"/>
  <c r="U9" i="1"/>
  <c r="AC33" i="1"/>
  <c r="AC10" i="1"/>
  <c r="AG10" i="1"/>
  <c r="AC218" i="1"/>
  <c r="AC9" i="1"/>
  <c r="AA218" i="1"/>
  <c r="AA33" i="1"/>
  <c r="AA10" i="1"/>
  <c r="AA9" i="1"/>
  <c r="AE10" i="1"/>
  <c r="AD218" i="1"/>
  <c r="AD33" i="1"/>
  <c r="AD9" i="1"/>
  <c r="AD10" i="1"/>
  <c r="AH10" i="1"/>
  <c r="AE9" i="1"/>
  <c r="S33" i="1"/>
  <c r="T9" i="1"/>
  <c r="S218" i="1"/>
  <c r="W10" i="1"/>
  <c r="S9" i="1"/>
  <c r="S10" i="1"/>
  <c r="BY128" i="1"/>
  <c r="AK129" i="1"/>
  <c r="V10" i="1"/>
  <c r="V218" i="1"/>
  <c r="W33" i="1"/>
  <c r="X9" i="1"/>
  <c r="W218" i="1"/>
  <c r="T52" i="3"/>
  <c r="AB9" i="1"/>
  <c r="AB33" i="1"/>
  <c r="U130" i="1"/>
  <c r="U52" i="3"/>
  <c r="U61" i="3"/>
  <c r="AE218" i="1"/>
  <c r="AE33" i="1"/>
  <c r="AI10" i="1"/>
  <c r="AE61" i="3"/>
  <c r="AE129" i="1"/>
  <c r="AE52" i="3"/>
  <c r="AJ33" i="1"/>
  <c r="U10" i="1"/>
  <c r="R10" i="1"/>
  <c r="AQ129" i="1"/>
  <c r="AQ130" i="1"/>
  <c r="CA7" i="4"/>
  <c r="CA178" i="1"/>
  <c r="AS129" i="1"/>
  <c r="AS130" i="1"/>
  <c r="CA9" i="3"/>
  <c r="CA26" i="4"/>
  <c r="AS27" i="3"/>
  <c r="CA40" i="3"/>
  <c r="AS43" i="3"/>
  <c r="CA17" i="3"/>
  <c r="CA36" i="3"/>
  <c r="CA179" i="1"/>
  <c r="CA30" i="3"/>
  <c r="CA18" i="3"/>
  <c r="CA38" i="4"/>
  <c r="CA25" i="4"/>
  <c r="CA19" i="3"/>
  <c r="CA8" i="3"/>
  <c r="CA32" i="3"/>
  <c r="CA12" i="3"/>
  <c r="CA33" i="3"/>
  <c r="CA20" i="3"/>
  <c r="CA128" i="1"/>
  <c r="CA263" i="1"/>
  <c r="CA261" i="1"/>
  <c r="CA26" i="3"/>
  <c r="CA265" i="1"/>
  <c r="CA18" i="4"/>
  <c r="CA175" i="1"/>
  <c r="CA177" i="1"/>
  <c r="CA176" i="1"/>
  <c r="CA19" i="4"/>
  <c r="CA269" i="1"/>
  <c r="CA280" i="1" s="1"/>
  <c r="CA17" i="4"/>
  <c r="CA24" i="3"/>
  <c r="CA22" i="4"/>
  <c r="CA15" i="4"/>
  <c r="CA13" i="3"/>
  <c r="CA10" i="3"/>
  <c r="CA13" i="4"/>
  <c r="CA31" i="3"/>
  <c r="CA25" i="3"/>
  <c r="CA273" i="1"/>
  <c r="CA259" i="1"/>
  <c r="CA16" i="4"/>
  <c r="CA16" i="3"/>
  <c r="CA11" i="3"/>
  <c r="CA14" i="4"/>
  <c r="CA23" i="3"/>
  <c r="CA37" i="4"/>
  <c r="CA36" i="4"/>
  <c r="CA39" i="4"/>
  <c r="CA198" i="1"/>
  <c r="CA283" i="1"/>
  <c r="AT284" i="1"/>
  <c r="CA8" i="4"/>
  <c r="CA54" i="4" s="1"/>
  <c r="CA41" i="3"/>
  <c r="CA39" i="3"/>
  <c r="AT43" i="3"/>
  <c r="AC56" i="4"/>
  <c r="AF34" i="3"/>
  <c r="AQ56" i="4"/>
  <c r="AJ55" i="4"/>
  <c r="AB55" i="4"/>
  <c r="AB56" i="4"/>
  <c r="Y105" i="3" l="1"/>
  <c r="Q105" i="3"/>
  <c r="I105" i="3"/>
  <c r="AJ105" i="3"/>
  <c r="AR79" i="1"/>
  <c r="AV37" i="1"/>
  <c r="X105" i="3"/>
  <c r="P105" i="3"/>
  <c r="H105" i="3"/>
  <c r="AL105" i="3"/>
  <c r="AR80" i="1"/>
  <c r="AV43" i="1"/>
  <c r="BA46" i="1"/>
  <c r="BE46" i="1" s="1"/>
  <c r="BI46" i="1" s="1"/>
  <c r="BM46" i="1" s="1"/>
  <c r="AW8" i="1"/>
  <c r="AU186" i="1"/>
  <c r="AV184" i="1"/>
  <c r="AH105" i="3"/>
  <c r="AO105" i="3"/>
  <c r="AP105" i="3"/>
  <c r="AR105" i="3"/>
  <c r="AU105" i="3"/>
  <c r="AU79" i="1"/>
  <c r="AV36" i="1"/>
  <c r="V105" i="3"/>
  <c r="N105" i="3"/>
  <c r="F105" i="3"/>
  <c r="AB105" i="3"/>
  <c r="AC105" i="3"/>
  <c r="AN105" i="3"/>
  <c r="AT105" i="3"/>
  <c r="BE225" i="1"/>
  <c r="BI225" i="1" s="1"/>
  <c r="BM225" i="1" s="1"/>
  <c r="AU80" i="1"/>
  <c r="AV42" i="1"/>
  <c r="U105" i="3"/>
  <c r="M105" i="3"/>
  <c r="E105" i="3"/>
  <c r="AD105" i="3"/>
  <c r="AG105" i="3"/>
  <c r="AR14" i="29"/>
  <c r="AV229" i="1"/>
  <c r="AY46" i="1"/>
  <c r="BC46" i="1" s="1"/>
  <c r="BG46" i="1" s="1"/>
  <c r="BK46" i="1" s="1"/>
  <c r="AV47" i="1"/>
  <c r="T105" i="3"/>
  <c r="L105" i="3"/>
  <c r="D105" i="3"/>
  <c r="BY7" i="4"/>
  <c r="AK105" i="3"/>
  <c r="AF105" i="3"/>
  <c r="AS105" i="3"/>
  <c r="AV237" i="1"/>
  <c r="Z105" i="3"/>
  <c r="R105" i="3"/>
  <c r="J105" i="3"/>
  <c r="B105" i="3"/>
  <c r="CB35" i="4"/>
  <c r="BH225" i="1"/>
  <c r="BL225" i="1" s="1"/>
  <c r="AJ36" i="29"/>
  <c r="AB36" i="29"/>
  <c r="T36" i="29"/>
  <c r="L36" i="29"/>
  <c r="M36" i="29"/>
  <c r="AI36" i="29"/>
  <c r="AA36" i="29"/>
  <c r="S36" i="29"/>
  <c r="K36" i="29"/>
  <c r="AC36" i="29"/>
  <c r="AH36" i="29"/>
  <c r="Z36" i="29"/>
  <c r="R36" i="29"/>
  <c r="J36" i="29"/>
  <c r="AG36" i="29"/>
  <c r="Y36" i="29"/>
  <c r="Q36" i="29"/>
  <c r="I36" i="29"/>
  <c r="AK36" i="29"/>
  <c r="BP55" i="29"/>
  <c r="AF36" i="29"/>
  <c r="X36" i="29"/>
  <c r="P36" i="29"/>
  <c r="H36" i="29"/>
  <c r="AE36" i="29"/>
  <c r="W36" i="29"/>
  <c r="O36" i="29"/>
  <c r="G36" i="29"/>
  <c r="U36" i="29"/>
  <c r="AL36" i="29"/>
  <c r="AD36" i="29"/>
  <c r="V36" i="29"/>
  <c r="N36" i="29"/>
  <c r="F36" i="29"/>
  <c r="BB46" i="1"/>
  <c r="BF46" i="1" s="1"/>
  <c r="BJ46" i="1" s="1"/>
  <c r="BN46" i="1" s="1"/>
  <c r="BA260" i="1"/>
  <c r="BE260" i="1" s="1"/>
  <c r="BI260" i="1" s="1"/>
  <c r="BM260" i="1" s="1"/>
  <c r="AK8" i="29"/>
  <c r="AI8" i="29"/>
  <c r="AJ8" i="29"/>
  <c r="BZ41" i="4"/>
  <c r="AN56" i="4"/>
  <c r="AD34" i="3"/>
  <c r="BW27" i="3"/>
  <c r="AW11" i="3"/>
  <c r="Q27" i="9"/>
  <c r="Q29" i="9" s="1"/>
  <c r="AN80" i="1"/>
  <c r="S55" i="4"/>
  <c r="AI56" i="4"/>
  <c r="AI55" i="4"/>
  <c r="BW104" i="3"/>
  <c r="AA105" i="3"/>
  <c r="BU104" i="3"/>
  <c r="S105" i="3"/>
  <c r="BS104" i="3"/>
  <c r="K105" i="3"/>
  <c r="BQ104" i="3"/>
  <c r="C105" i="3"/>
  <c r="AO106" i="3"/>
  <c r="AO113" i="3"/>
  <c r="AO68" i="3"/>
  <c r="AO109" i="3"/>
  <c r="AO107" i="3"/>
  <c r="Z109" i="3"/>
  <c r="Z68" i="3"/>
  <c r="Z113" i="3"/>
  <c r="Z106" i="3"/>
  <c r="Z107" i="3"/>
  <c r="R68" i="3"/>
  <c r="R109" i="3"/>
  <c r="R107" i="3"/>
  <c r="R113" i="3"/>
  <c r="B68" i="3"/>
  <c r="B106" i="3"/>
  <c r="B109" i="3"/>
  <c r="B107" i="3"/>
  <c r="B113" i="3"/>
  <c r="AC68" i="3"/>
  <c r="AC113" i="3"/>
  <c r="AC107" i="3"/>
  <c r="AC106" i="3"/>
  <c r="AC109" i="3"/>
  <c r="BX104" i="3"/>
  <c r="AE105" i="3"/>
  <c r="AF107" i="3"/>
  <c r="AF106" i="3"/>
  <c r="AF113" i="3"/>
  <c r="AF68" i="3"/>
  <c r="AJ106" i="3"/>
  <c r="AJ113" i="3"/>
  <c r="AJ68" i="3"/>
  <c r="AJ109" i="3"/>
  <c r="AJ107" i="3"/>
  <c r="AR91" i="3"/>
  <c r="AR94" i="3"/>
  <c r="CA67" i="3"/>
  <c r="AU107" i="3"/>
  <c r="AU106" i="3"/>
  <c r="AU113" i="3"/>
  <c r="AU68" i="3"/>
  <c r="AU109" i="3"/>
  <c r="Y109" i="3"/>
  <c r="Y106" i="3"/>
  <c r="Y113" i="3"/>
  <c r="Y68" i="3"/>
  <c r="Y107" i="3"/>
  <c r="Q68" i="3"/>
  <c r="Q109" i="3"/>
  <c r="Q106" i="3"/>
  <c r="Q113" i="3"/>
  <c r="Q107" i="3"/>
  <c r="I68" i="3"/>
  <c r="I106" i="3"/>
  <c r="I109" i="3"/>
  <c r="I113" i="3"/>
  <c r="I107" i="3"/>
  <c r="AR106" i="3"/>
  <c r="AR109" i="3"/>
  <c r="AR113" i="3"/>
  <c r="AR68" i="3"/>
  <c r="AR107" i="3"/>
  <c r="X109" i="3"/>
  <c r="X107" i="3"/>
  <c r="X106" i="3"/>
  <c r="X68" i="3"/>
  <c r="X113" i="3"/>
  <c r="P109" i="3"/>
  <c r="P107" i="3"/>
  <c r="P68" i="3"/>
  <c r="P113" i="3"/>
  <c r="P106" i="3"/>
  <c r="H107" i="3"/>
  <c r="H106" i="3"/>
  <c r="H68" i="3"/>
  <c r="H113" i="3"/>
  <c r="H109" i="3"/>
  <c r="BY104" i="3"/>
  <c r="AI105" i="3"/>
  <c r="AN107" i="3"/>
  <c r="AN68" i="3"/>
  <c r="AN109" i="3"/>
  <c r="AN113" i="3"/>
  <c r="AN106" i="3"/>
  <c r="BV104" i="3"/>
  <c r="W105" i="3"/>
  <c r="O105" i="3"/>
  <c r="BT104" i="3"/>
  <c r="BR104" i="3"/>
  <c r="G105" i="3"/>
  <c r="AB68" i="3"/>
  <c r="AB113" i="3"/>
  <c r="AB106" i="3"/>
  <c r="AB109" i="3"/>
  <c r="AB107" i="3"/>
  <c r="AG106" i="3"/>
  <c r="AG109" i="3"/>
  <c r="AG113" i="3"/>
  <c r="AG68" i="3"/>
  <c r="AG107" i="3"/>
  <c r="AK68" i="3"/>
  <c r="AK107" i="3"/>
  <c r="AK106" i="3"/>
  <c r="AK109" i="3"/>
  <c r="AK113" i="3"/>
  <c r="AT106" i="3"/>
  <c r="AT113" i="3"/>
  <c r="AT68" i="3"/>
  <c r="AT109" i="3"/>
  <c r="AT107" i="3"/>
  <c r="V68" i="3"/>
  <c r="V106" i="3"/>
  <c r="V113" i="3"/>
  <c r="V109" i="3"/>
  <c r="V107" i="3"/>
  <c r="N106" i="3"/>
  <c r="N68" i="3"/>
  <c r="N113" i="3"/>
  <c r="N109" i="3"/>
  <c r="N107" i="3"/>
  <c r="F106" i="3"/>
  <c r="F68" i="3"/>
  <c r="F113" i="3"/>
  <c r="F109" i="3"/>
  <c r="F107" i="3"/>
  <c r="AP68" i="3"/>
  <c r="AP109" i="3"/>
  <c r="AP106" i="3"/>
  <c r="AP107" i="3"/>
  <c r="AP113" i="3"/>
  <c r="CA104" i="3"/>
  <c r="AQ105" i="3"/>
  <c r="U68" i="3"/>
  <c r="U109" i="3"/>
  <c r="U106" i="3"/>
  <c r="U113" i="3"/>
  <c r="U107" i="3"/>
  <c r="E113" i="3"/>
  <c r="E107" i="3"/>
  <c r="E68" i="3"/>
  <c r="E109" i="3"/>
  <c r="E106" i="3"/>
  <c r="AH106" i="3"/>
  <c r="AH107" i="3"/>
  <c r="AH113" i="3"/>
  <c r="AH109" i="3"/>
  <c r="AH68" i="3"/>
  <c r="AL106" i="3"/>
  <c r="AL68" i="3"/>
  <c r="AL113" i="3"/>
  <c r="AL109" i="3"/>
  <c r="AL107" i="3"/>
  <c r="BZ104" i="3"/>
  <c r="AM105" i="3"/>
  <c r="T113" i="3"/>
  <c r="T68" i="3"/>
  <c r="T106" i="3"/>
  <c r="T109" i="3"/>
  <c r="T107" i="3"/>
  <c r="L106" i="3"/>
  <c r="L68" i="3"/>
  <c r="L113" i="3"/>
  <c r="L109" i="3"/>
  <c r="L107" i="3"/>
  <c r="AD106" i="3"/>
  <c r="AD68" i="3"/>
  <c r="AD113" i="3"/>
  <c r="AD109" i="3"/>
  <c r="AD107" i="3"/>
  <c r="AU94" i="3"/>
  <c r="AU91" i="3"/>
  <c r="V34" i="3"/>
  <c r="AH27" i="9"/>
  <c r="AH29" i="9" s="1"/>
  <c r="U80" i="3"/>
  <c r="AG27" i="9"/>
  <c r="AG29" i="9" s="1"/>
  <c r="AU14" i="29"/>
  <c r="BV258" i="1"/>
  <c r="BU258" i="1"/>
  <c r="BS258" i="1"/>
  <c r="CA258" i="1"/>
  <c r="BY258" i="1"/>
  <c r="BT258" i="1"/>
  <c r="BZ258" i="1"/>
  <c r="BX258" i="1"/>
  <c r="BR258" i="1"/>
  <c r="BQ258" i="1"/>
  <c r="BW258" i="1"/>
  <c r="BP240" i="1"/>
  <c r="BP292" i="1" s="1"/>
  <c r="AP276" i="1"/>
  <c r="BR223" i="1"/>
  <c r="AU11" i="29"/>
  <c r="BY223" i="1"/>
  <c r="BX223" i="1"/>
  <c r="AA219" i="1"/>
  <c r="X219" i="1"/>
  <c r="AD219" i="1"/>
  <c r="AL219" i="1"/>
  <c r="C219" i="1"/>
  <c r="BF76" i="1"/>
  <c r="CD76" i="1" s="1"/>
  <c r="BE72" i="1"/>
  <c r="BZ35" i="1"/>
  <c r="BZ37" i="1" s="1"/>
  <c r="BZ41" i="1"/>
  <c r="AU58" i="1"/>
  <c r="AV59" i="1" s="1"/>
  <c r="CB23" i="1"/>
  <c r="CA41" i="1"/>
  <c r="CA35" i="1"/>
  <c r="AP8" i="29"/>
  <c r="AP61" i="1"/>
  <c r="AS61" i="1"/>
  <c r="AO61" i="1"/>
  <c r="AQ61" i="1"/>
  <c r="AN61" i="1"/>
  <c r="AT8" i="29"/>
  <c r="AT61" i="1"/>
  <c r="AR8" i="29"/>
  <c r="AR61" i="1"/>
  <c r="AM8" i="29"/>
  <c r="AU25" i="1"/>
  <c r="AU24" i="1"/>
  <c r="AU20" i="1"/>
  <c r="AU19" i="1"/>
  <c r="AU27" i="1"/>
  <c r="AU16" i="1" s="1"/>
  <c r="AU14" i="1"/>
  <c r="AU15" i="1"/>
  <c r="BR54" i="4"/>
  <c r="C17" i="2"/>
  <c r="BP77" i="4"/>
  <c r="AW40" i="3"/>
  <c r="CA29" i="4"/>
  <c r="BD71" i="29"/>
  <c r="BG73" i="29"/>
  <c r="BK73" i="29"/>
  <c r="AE276" i="1"/>
  <c r="BH73" i="29"/>
  <c r="BL73" i="29"/>
  <c r="BF7" i="4"/>
  <c r="BF71" i="29"/>
  <c r="BI73" i="29"/>
  <c r="K276" i="1"/>
  <c r="C276" i="1"/>
  <c r="BC73" i="29"/>
  <c r="BJ73" i="29"/>
  <c r="AO276" i="1"/>
  <c r="BN73" i="29"/>
  <c r="Z276" i="1"/>
  <c r="BD73" i="29"/>
  <c r="BK7" i="4"/>
  <c r="BK71" i="29"/>
  <c r="BE73" i="29"/>
  <c r="BH7" i="4"/>
  <c r="BH71" i="29"/>
  <c r="BL71" i="29"/>
  <c r="BF73" i="29"/>
  <c r="W276" i="1"/>
  <c r="AD276" i="1"/>
  <c r="BJ7" i="4"/>
  <c r="BJ71" i="29"/>
  <c r="BN7" i="4"/>
  <c r="BN71" i="29"/>
  <c r="AQ48" i="29"/>
  <c r="AN270" i="1"/>
  <c r="AF105" i="1"/>
  <c r="Q102" i="1"/>
  <c r="AF104" i="1"/>
  <c r="C272" i="1"/>
  <c r="L103" i="1"/>
  <c r="H103" i="1"/>
  <c r="U16" i="9"/>
  <c r="U17" i="9" s="1"/>
  <c r="U19" i="9" s="1"/>
  <c r="U22" i="9" s="1"/>
  <c r="AQ14" i="9"/>
  <c r="CA14" i="9" s="1"/>
  <c r="P27" i="9"/>
  <c r="P29" i="9" s="1"/>
  <c r="H27" i="9"/>
  <c r="H29" i="9" s="1"/>
  <c r="BS131" i="1"/>
  <c r="Z237" i="1"/>
  <c r="BW54" i="4"/>
  <c r="F34" i="3"/>
  <c r="AS48" i="1"/>
  <c r="I25" i="9"/>
  <c r="X230" i="1"/>
  <c r="F192" i="1"/>
  <c r="BP219" i="1"/>
  <c r="Z12" i="29"/>
  <c r="K48" i="29"/>
  <c r="BY101" i="1"/>
  <c r="AA48" i="29"/>
  <c r="AP48" i="29"/>
  <c r="U226" i="1"/>
  <c r="H224" i="1"/>
  <c r="U272" i="1"/>
  <c r="U266" i="1"/>
  <c r="F270" i="1"/>
  <c r="L34" i="3"/>
  <c r="BS54" i="4"/>
  <c r="BU34" i="3"/>
  <c r="AE219" i="1"/>
  <c r="T103" i="1"/>
  <c r="Z102" i="1"/>
  <c r="AG25" i="9"/>
  <c r="J48" i="29"/>
  <c r="T105" i="1"/>
  <c r="AG15" i="29"/>
  <c r="AC231" i="1"/>
  <c r="Y16" i="29"/>
  <c r="Q16" i="29"/>
  <c r="I266" i="1"/>
  <c r="I16" i="29"/>
  <c r="AA270" i="1"/>
  <c r="AA15" i="29"/>
  <c r="R264" i="1"/>
  <c r="R15" i="29"/>
  <c r="C236" i="1"/>
  <c r="B15" i="29"/>
  <c r="E235" i="1"/>
  <c r="D14" i="29"/>
  <c r="AE262" i="1"/>
  <c r="AE14" i="29"/>
  <c r="AH226" i="1"/>
  <c r="AH16" i="29"/>
  <c r="AJ264" i="1"/>
  <c r="AJ15" i="29"/>
  <c r="AK15" i="29"/>
  <c r="AU8" i="29"/>
  <c r="AW73" i="29"/>
  <c r="X16" i="29"/>
  <c r="P266" i="1"/>
  <c r="P16" i="29"/>
  <c r="H226" i="1"/>
  <c r="H16" i="29"/>
  <c r="Z15" i="29"/>
  <c r="Q264" i="1"/>
  <c r="Q15" i="29"/>
  <c r="K224" i="1"/>
  <c r="K14" i="29"/>
  <c r="C262" i="1"/>
  <c r="C14" i="29"/>
  <c r="AD264" i="1"/>
  <c r="AD15" i="29"/>
  <c r="AF14" i="29"/>
  <c r="AG224" i="1"/>
  <c r="AG14" i="29"/>
  <c r="AH264" i="1"/>
  <c r="AH15" i="29"/>
  <c r="AK224" i="1"/>
  <c r="AK14" i="29"/>
  <c r="AU264" i="1"/>
  <c r="AY264" i="1" s="1"/>
  <c r="BC264" i="1" s="1"/>
  <c r="BG264" i="1" s="1"/>
  <c r="BK264" i="1" s="1"/>
  <c r="AU15" i="29"/>
  <c r="AV73" i="29"/>
  <c r="O16" i="29"/>
  <c r="R262" i="1"/>
  <c r="R14" i="29"/>
  <c r="B14" i="29"/>
  <c r="AD224" i="1"/>
  <c r="AD14" i="29"/>
  <c r="AI16" i="29"/>
  <c r="AU16" i="29"/>
  <c r="AS8" i="29"/>
  <c r="BA71" i="29"/>
  <c r="X225" i="1"/>
  <c r="X15" i="29"/>
  <c r="I262" i="1"/>
  <c r="I14" i="29"/>
  <c r="AI225" i="1"/>
  <c r="AI15" i="29"/>
  <c r="AR15" i="29"/>
  <c r="AS262" i="1"/>
  <c r="AS14" i="29"/>
  <c r="BQ101" i="1"/>
  <c r="BQ104" i="1" s="1"/>
  <c r="BB73" i="29"/>
  <c r="AZ71" i="29"/>
  <c r="AI14" i="29"/>
  <c r="AM14" i="29"/>
  <c r="AR16" i="29"/>
  <c r="V102" i="1"/>
  <c r="AQ8" i="29"/>
  <c r="BA73" i="29"/>
  <c r="AY71" i="29"/>
  <c r="M15" i="29"/>
  <c r="E15" i="29"/>
  <c r="G262" i="1"/>
  <c r="G14" i="29"/>
  <c r="AB264" i="1"/>
  <c r="AB15" i="29"/>
  <c r="AM15" i="29"/>
  <c r="AQ14" i="29"/>
  <c r="BX101" i="1"/>
  <c r="BX105" i="1" s="1"/>
  <c r="AS16" i="29"/>
  <c r="BX131" i="1"/>
  <c r="AZ73" i="29"/>
  <c r="AX71" i="29"/>
  <c r="S266" i="1"/>
  <c r="S16" i="29"/>
  <c r="K16" i="29"/>
  <c r="U270" i="1"/>
  <c r="U15" i="29"/>
  <c r="D15" i="29"/>
  <c r="F262" i="1"/>
  <c r="F14" i="29"/>
  <c r="AM237" i="1"/>
  <c r="AL16" i="29"/>
  <c r="BQ131" i="1"/>
  <c r="AO8" i="29"/>
  <c r="AW71" i="29"/>
  <c r="Z226" i="1"/>
  <c r="Z16" i="29"/>
  <c r="J226" i="1"/>
  <c r="J16" i="29"/>
  <c r="B226" i="1"/>
  <c r="B16" i="29"/>
  <c r="T15" i="29"/>
  <c r="M224" i="1"/>
  <c r="M14" i="29"/>
  <c r="E224" i="1"/>
  <c r="E14" i="29"/>
  <c r="AE225" i="1"/>
  <c r="AE15" i="29"/>
  <c r="AF16" i="29"/>
  <c r="AN8" i="29"/>
  <c r="AX73" i="29"/>
  <c r="AV71" i="29"/>
  <c r="AR11" i="29"/>
  <c r="AD99" i="29"/>
  <c r="C12" i="29"/>
  <c r="K12" i="29"/>
  <c r="AQ39" i="29"/>
  <c r="O66" i="29"/>
  <c r="W66" i="29"/>
  <c r="AE66" i="29"/>
  <c r="F91" i="29"/>
  <c r="U48" i="29"/>
  <c r="AC48" i="29"/>
  <c r="AP39" i="29"/>
  <c r="BS72" i="29"/>
  <c r="R66" i="29"/>
  <c r="AI66" i="29"/>
  <c r="F100" i="29"/>
  <c r="BQ65" i="29"/>
  <c r="D100" i="29"/>
  <c r="S66" i="29"/>
  <c r="AA66" i="29"/>
  <c r="BQ71" i="29"/>
  <c r="T66" i="29"/>
  <c r="AB66" i="29"/>
  <c r="AJ66" i="29"/>
  <c r="E66" i="29"/>
  <c r="AK66" i="29"/>
  <c r="Z66" i="29"/>
  <c r="AH66" i="29"/>
  <c r="C100" i="29"/>
  <c r="AD39" i="29"/>
  <c r="K66" i="29"/>
  <c r="I66" i="29"/>
  <c r="Q66" i="29"/>
  <c r="Y66" i="29"/>
  <c r="AG66" i="29"/>
  <c r="AK99" i="29"/>
  <c r="T39" i="29"/>
  <c r="E100" i="29"/>
  <c r="M66" i="29"/>
  <c r="U66" i="29"/>
  <c r="AC66" i="29"/>
  <c r="V66" i="29"/>
  <c r="AD66" i="29"/>
  <c r="AM66" i="29"/>
  <c r="J66" i="29"/>
  <c r="E48" i="29"/>
  <c r="C66" i="29"/>
  <c r="H66" i="29"/>
  <c r="P66" i="29"/>
  <c r="X66" i="29"/>
  <c r="AF66" i="29"/>
  <c r="L99" i="29"/>
  <c r="AL66" i="29"/>
  <c r="BQ72" i="29"/>
  <c r="L66" i="29"/>
  <c r="D66" i="29"/>
  <c r="N99" i="29"/>
  <c r="AA47" i="29"/>
  <c r="B66" i="29"/>
  <c r="AB39" i="29"/>
  <c r="Y38" i="29"/>
  <c r="G66" i="29"/>
  <c r="N66" i="29"/>
  <c r="F66" i="29"/>
  <c r="AK48" i="29"/>
  <c r="AG39" i="29"/>
  <c r="U39" i="29"/>
  <c r="R39" i="29"/>
  <c r="M48" i="29"/>
  <c r="AO39" i="29"/>
  <c r="AS39" i="29"/>
  <c r="BS11" i="29"/>
  <c r="M12" i="29"/>
  <c r="G100" i="29"/>
  <c r="AA12" i="29"/>
  <c r="Q39" i="29"/>
  <c r="Z48" i="29"/>
  <c r="F99" i="29"/>
  <c r="CA71" i="29"/>
  <c r="BY71" i="29"/>
  <c r="BT69" i="29"/>
  <c r="AJ39" i="29"/>
  <c r="BR11" i="29"/>
  <c r="AC38" i="29"/>
  <c r="V99" i="29"/>
  <c r="CA73" i="29"/>
  <c r="L39" i="29"/>
  <c r="U47" i="29"/>
  <c r="I99" i="29"/>
  <c r="Q99" i="29"/>
  <c r="AG99" i="29"/>
  <c r="AN48" i="29"/>
  <c r="X12" i="29"/>
  <c r="T99" i="29"/>
  <c r="AA39" i="29"/>
  <c r="BQ11" i="29"/>
  <c r="AF48" i="29"/>
  <c r="E99" i="29"/>
  <c r="M99" i="29"/>
  <c r="U99" i="29"/>
  <c r="AC99" i="29"/>
  <c r="R47" i="29"/>
  <c r="AL39" i="29"/>
  <c r="N39" i="29"/>
  <c r="C48" i="29"/>
  <c r="C47" i="29"/>
  <c r="AL38" i="29"/>
  <c r="BZ68" i="29"/>
  <c r="BS71" i="29"/>
  <c r="BU11" i="29"/>
  <c r="F39" i="29"/>
  <c r="S39" i="29"/>
  <c r="B12" i="29"/>
  <c r="AG12" i="29"/>
  <c r="Y12" i="29"/>
  <c r="K47" i="29"/>
  <c r="BR69" i="29"/>
  <c r="BU71" i="29"/>
  <c r="BY11" i="29"/>
  <c r="Q48" i="29"/>
  <c r="AG48" i="29"/>
  <c r="I39" i="29"/>
  <c r="AH39" i="29"/>
  <c r="AH12" i="29"/>
  <c r="BW71" i="29"/>
  <c r="BZ11" i="29"/>
  <c r="R48" i="29"/>
  <c r="AH48" i="29"/>
  <c r="J39" i="29"/>
  <c r="V39" i="29"/>
  <c r="AI39" i="29"/>
  <c r="J12" i="29"/>
  <c r="BW70" i="29"/>
  <c r="BQ70" i="29"/>
  <c r="X48" i="29"/>
  <c r="P48" i="29"/>
  <c r="H48" i="29"/>
  <c r="S47" i="29"/>
  <c r="S48" i="29"/>
  <c r="AI48" i="29"/>
  <c r="K39" i="29"/>
  <c r="Y39" i="29"/>
  <c r="AM99" i="29"/>
  <c r="AC90" i="29"/>
  <c r="BX70" i="29"/>
  <c r="BV70" i="29"/>
  <c r="AM48" i="29"/>
  <c r="AE48" i="29"/>
  <c r="W48" i="29"/>
  <c r="O48" i="29"/>
  <c r="G48" i="29"/>
  <c r="Z47" i="29"/>
  <c r="Z39" i="29"/>
  <c r="R12" i="29"/>
  <c r="V90" i="29"/>
  <c r="Z90" i="29"/>
  <c r="AH90" i="29"/>
  <c r="G38" i="29"/>
  <c r="O38" i="29"/>
  <c r="W38" i="29"/>
  <c r="BX9" i="29"/>
  <c r="BQ73" i="29"/>
  <c r="I48" i="29"/>
  <c r="Y48" i="29"/>
  <c r="AO48" i="29"/>
  <c r="S12" i="29"/>
  <c r="BS63" i="29"/>
  <c r="BY73" i="29"/>
  <c r="BZ72" i="29"/>
  <c r="BY69" i="29"/>
  <c r="BW73" i="29"/>
  <c r="BU73" i="29"/>
  <c r="BW72" i="29"/>
  <c r="BU72" i="29"/>
  <c r="BX69" i="29"/>
  <c r="BX68" i="29"/>
  <c r="BV68" i="29"/>
  <c r="BT68" i="29"/>
  <c r="AN39" i="29"/>
  <c r="AB12" i="29"/>
  <c r="X39" i="29"/>
  <c r="P39" i="29"/>
  <c r="H39" i="29"/>
  <c r="BT11" i="29"/>
  <c r="D48" i="29"/>
  <c r="L48" i="29"/>
  <c r="T48" i="29"/>
  <c r="AB48" i="29"/>
  <c r="AJ48" i="29"/>
  <c r="AT48" i="29"/>
  <c r="M39" i="29"/>
  <c r="AC39" i="29"/>
  <c r="AK39" i="29"/>
  <c r="AT39" i="29"/>
  <c r="BV11" i="29"/>
  <c r="F48" i="29"/>
  <c r="N48" i="29"/>
  <c r="V48" i="29"/>
  <c r="AD48" i="29"/>
  <c r="AL48" i="29"/>
  <c r="G39" i="29"/>
  <c r="O39" i="29"/>
  <c r="W39" i="29"/>
  <c r="AE39" i="29"/>
  <c r="AM39" i="29"/>
  <c r="BW11" i="29"/>
  <c r="AF39" i="29"/>
  <c r="BX11" i="29"/>
  <c r="BV69" i="29"/>
  <c r="AC12" i="29"/>
  <c r="BR68" i="29"/>
  <c r="BS73" i="29"/>
  <c r="D99" i="29"/>
  <c r="CA69" i="29"/>
  <c r="AL47" i="29"/>
  <c r="BZ70" i="29"/>
  <c r="BQ68" i="29"/>
  <c r="BY72" i="29"/>
  <c r="CA70" i="29"/>
  <c r="BT71" i="29"/>
  <c r="BR73" i="29"/>
  <c r="BZ71" i="29"/>
  <c r="BY70" i="29"/>
  <c r="BZ69" i="29"/>
  <c r="BV72" i="29"/>
  <c r="BT72" i="29"/>
  <c r="BX71" i="29"/>
  <c r="BR71" i="29"/>
  <c r="BU69" i="29"/>
  <c r="BS69" i="29"/>
  <c r="BW68" i="29"/>
  <c r="AL99" i="29"/>
  <c r="F90" i="29"/>
  <c r="F38" i="29"/>
  <c r="BZ73" i="29"/>
  <c r="C99" i="29"/>
  <c r="BY68" i="29"/>
  <c r="BS70" i="29"/>
  <c r="BT70" i="29"/>
  <c r="BV9" i="29"/>
  <c r="BR70" i="29"/>
  <c r="BX72" i="29"/>
  <c r="W12" i="29"/>
  <c r="BW69" i="29"/>
  <c r="BR72" i="29"/>
  <c r="I90" i="29"/>
  <c r="BS68" i="29"/>
  <c r="CA68" i="29"/>
  <c r="BU70" i="29"/>
  <c r="BV71" i="29"/>
  <c r="CA72" i="29"/>
  <c r="BT73" i="29"/>
  <c r="Q90" i="29"/>
  <c r="AD38" i="29"/>
  <c r="BQ69" i="29"/>
  <c r="R90" i="29"/>
  <c r="W47" i="29"/>
  <c r="BU68" i="29"/>
  <c r="BV73" i="29"/>
  <c r="K99" i="29"/>
  <c r="AG90" i="29"/>
  <c r="AH99" i="29"/>
  <c r="AL90" i="29"/>
  <c r="BX73" i="29"/>
  <c r="AE12" i="29"/>
  <c r="AU63" i="29"/>
  <c r="H90" i="29"/>
  <c r="P90" i="29"/>
  <c r="X90" i="29"/>
  <c r="AF90" i="29"/>
  <c r="AT63" i="29"/>
  <c r="AP63" i="29"/>
  <c r="AK90" i="29"/>
  <c r="AO63" i="29"/>
  <c r="AM90" i="29"/>
  <c r="S90" i="29"/>
  <c r="X99" i="29"/>
  <c r="AE90" i="29"/>
  <c r="AN63" i="29"/>
  <c r="BT33" i="29"/>
  <c r="BV33" i="29"/>
  <c r="AS63" i="29"/>
  <c r="S99" i="29"/>
  <c r="AR63" i="29"/>
  <c r="AQ63" i="29"/>
  <c r="BU7" i="29"/>
  <c r="T12" i="29"/>
  <c r="O99" i="29"/>
  <c r="D47" i="29"/>
  <c r="AC47" i="29"/>
  <c r="N38" i="29"/>
  <c r="AK38" i="29"/>
  <c r="E12" i="29"/>
  <c r="O12" i="29"/>
  <c r="H38" i="29"/>
  <c r="P38" i="29"/>
  <c r="X38" i="29"/>
  <c r="AF38" i="29"/>
  <c r="G99" i="29"/>
  <c r="P99" i="29"/>
  <c r="E47" i="29"/>
  <c r="AE47" i="29"/>
  <c r="Q38" i="29"/>
  <c r="G12" i="29"/>
  <c r="P12" i="29"/>
  <c r="AJ12" i="29"/>
  <c r="U90" i="29"/>
  <c r="AL8" i="29"/>
  <c r="I47" i="29"/>
  <c r="Q47" i="29"/>
  <c r="Y47" i="29"/>
  <c r="AG47" i="29"/>
  <c r="L47" i="29"/>
  <c r="M47" i="29"/>
  <c r="I38" i="29"/>
  <c r="L12" i="29"/>
  <c r="U12" i="29"/>
  <c r="BW7" i="29"/>
  <c r="H99" i="29"/>
  <c r="AF99" i="29"/>
  <c r="Y90" i="29"/>
  <c r="G47" i="29"/>
  <c r="T47" i="29"/>
  <c r="AH47" i="29"/>
  <c r="U38" i="29"/>
  <c r="H12" i="29"/>
  <c r="Q12" i="29"/>
  <c r="AK12" i="29"/>
  <c r="BU63" i="29"/>
  <c r="Y99" i="29"/>
  <c r="O47" i="29"/>
  <c r="AB47" i="29"/>
  <c r="M38" i="29"/>
  <c r="AG38" i="29"/>
  <c r="D12" i="29"/>
  <c r="R99" i="29"/>
  <c r="BY7" i="29"/>
  <c r="BQ63" i="29"/>
  <c r="AD90" i="29"/>
  <c r="J47" i="29"/>
  <c r="AK47" i="29"/>
  <c r="V38" i="29"/>
  <c r="I12" i="29"/>
  <c r="AL12" i="29"/>
  <c r="BX7" i="29"/>
  <c r="BV7" i="29"/>
  <c r="BT7" i="29"/>
  <c r="BW9" i="29"/>
  <c r="BY9" i="29"/>
  <c r="AI47" i="29"/>
  <c r="R38" i="29"/>
  <c r="AH38" i="29"/>
  <c r="AF12" i="29"/>
  <c r="K38" i="29"/>
  <c r="AA38" i="29"/>
  <c r="J38" i="29"/>
  <c r="Z38" i="29"/>
  <c r="AJ47" i="29"/>
  <c r="S38" i="29"/>
  <c r="AI38" i="29"/>
  <c r="L38" i="29"/>
  <c r="T38" i="29"/>
  <c r="AB38" i="29"/>
  <c r="AJ38" i="29"/>
  <c r="BU9" i="29"/>
  <c r="F47" i="29"/>
  <c r="N47" i="29"/>
  <c r="V47" i="29"/>
  <c r="AD47" i="29"/>
  <c r="AI12" i="29"/>
  <c r="H47" i="29"/>
  <c r="P47" i="29"/>
  <c r="X47" i="29"/>
  <c r="AF47" i="29"/>
  <c r="AE38" i="29"/>
  <c r="F12" i="29"/>
  <c r="N12" i="29"/>
  <c r="V12" i="29"/>
  <c r="AD12" i="29"/>
  <c r="BV63" i="29"/>
  <c r="BX63" i="29"/>
  <c r="J99" i="29"/>
  <c r="Z99" i="29"/>
  <c r="J90" i="29"/>
  <c r="W99" i="29"/>
  <c r="K90" i="29"/>
  <c r="N90" i="29"/>
  <c r="AE99" i="29"/>
  <c r="BW63" i="29"/>
  <c r="L90" i="29"/>
  <c r="T90" i="29"/>
  <c r="AB90" i="29"/>
  <c r="BR63" i="29"/>
  <c r="AA99" i="29"/>
  <c r="AI99" i="29"/>
  <c r="M90" i="29"/>
  <c r="AA90" i="29"/>
  <c r="AI90" i="29"/>
  <c r="BY63" i="29"/>
  <c r="AJ90" i="29"/>
  <c r="AB99" i="29"/>
  <c r="AJ99" i="29"/>
  <c r="BT63" i="29"/>
  <c r="G90" i="29"/>
  <c r="O90" i="29"/>
  <c r="W90" i="29"/>
  <c r="CC23" i="29"/>
  <c r="CE23" i="29"/>
  <c r="N100" i="29"/>
  <c r="AT100" i="29"/>
  <c r="AB100" i="29"/>
  <c r="AM91" i="29"/>
  <c r="AU91" i="29"/>
  <c r="X100" i="29"/>
  <c r="Q91" i="29"/>
  <c r="P100" i="29"/>
  <c r="I91" i="29"/>
  <c r="AF91" i="29"/>
  <c r="M91" i="29"/>
  <c r="AE105" i="1"/>
  <c r="O105" i="1"/>
  <c r="O104" i="1"/>
  <c r="P102" i="1"/>
  <c r="G105" i="1"/>
  <c r="G104" i="1"/>
  <c r="AC102" i="1"/>
  <c r="AC104" i="1"/>
  <c r="AC105" i="1"/>
  <c r="AC103" i="1"/>
  <c r="M102" i="1"/>
  <c r="M103" i="1"/>
  <c r="M104" i="1"/>
  <c r="M105" i="1"/>
  <c r="AD105" i="1"/>
  <c r="O264" i="1"/>
  <c r="Q262" i="1"/>
  <c r="Q224" i="1"/>
  <c r="D219" i="1"/>
  <c r="F189" i="1"/>
  <c r="F190" i="1" s="1"/>
  <c r="M226" i="1"/>
  <c r="N264" i="1"/>
  <c r="N225" i="1"/>
  <c r="H262" i="1"/>
  <c r="E276" i="1"/>
  <c r="BQ54" i="4"/>
  <c r="BQ55" i="4" s="1"/>
  <c r="U91" i="29"/>
  <c r="AK91" i="29"/>
  <c r="AL100" i="29"/>
  <c r="AK100" i="29"/>
  <c r="AL102" i="1"/>
  <c r="AL104" i="1"/>
  <c r="AL105" i="1"/>
  <c r="N102" i="1"/>
  <c r="F102" i="1"/>
  <c r="F104" i="1"/>
  <c r="F105" i="1"/>
  <c r="AJ262" i="1"/>
  <c r="BY41" i="4"/>
  <c r="AK104" i="1"/>
  <c r="AK102" i="1"/>
  <c r="AK105" i="1"/>
  <c r="U105" i="1"/>
  <c r="U104" i="1"/>
  <c r="U102" i="1"/>
  <c r="E102" i="1"/>
  <c r="E105" i="1"/>
  <c r="BU131" i="1"/>
  <c r="BU274" i="1"/>
  <c r="V226" i="1"/>
  <c r="V266" i="1"/>
  <c r="G225" i="1"/>
  <c r="G270" i="1"/>
  <c r="V276" i="1"/>
  <c r="O24" i="9"/>
  <c r="O27" i="9" s="1"/>
  <c r="O29" i="9" s="1"/>
  <c r="BS26" i="9"/>
  <c r="W105" i="1"/>
  <c r="R235" i="1"/>
  <c r="E266" i="1"/>
  <c r="X236" i="1"/>
  <c r="W225" i="1"/>
  <c r="F225" i="1"/>
  <c r="G236" i="1"/>
  <c r="F264" i="1"/>
  <c r="P262" i="1"/>
  <c r="Q235" i="1"/>
  <c r="BT27" i="3"/>
  <c r="U25" i="9"/>
  <c r="V24" i="9"/>
  <c r="V25" i="9" s="1"/>
  <c r="P224" i="1"/>
  <c r="AH25" i="9"/>
  <c r="AE104" i="1"/>
  <c r="W100" i="29"/>
  <c r="AJ105" i="1"/>
  <c r="AJ103" i="1"/>
  <c r="AB103" i="1"/>
  <c r="AB102" i="1"/>
  <c r="AB105" i="1"/>
  <c r="L104" i="1"/>
  <c r="P103" i="1"/>
  <c r="D104" i="1"/>
  <c r="D105" i="1"/>
  <c r="BU14" i="29"/>
  <c r="N230" i="1"/>
  <c r="T229" i="1"/>
  <c r="P229" i="1"/>
  <c r="BS21" i="9"/>
  <c r="BZ43" i="3"/>
  <c r="BZ26" i="9"/>
  <c r="AQ24" i="9"/>
  <c r="AQ27" i="9" s="1"/>
  <c r="AQ29" i="9" s="1"/>
  <c r="BQ87" i="29"/>
  <c r="BS87" i="29"/>
  <c r="BU87" i="29"/>
  <c r="BW87" i="29"/>
  <c r="BY87" i="29"/>
  <c r="CA87" i="29"/>
  <c r="O100" i="29"/>
  <c r="AU100" i="29"/>
  <c r="BP21" i="29"/>
  <c r="CA12" i="4"/>
  <c r="L105" i="1"/>
  <c r="L55" i="4"/>
  <c r="T55" i="4"/>
  <c r="AJ276" i="1"/>
  <c r="O34" i="3"/>
  <c r="F272" i="1"/>
  <c r="BR7" i="4"/>
  <c r="P25" i="9"/>
  <c r="I27" i="9"/>
  <c r="I29" i="9" s="1"/>
  <c r="M17" i="9"/>
  <c r="M19" i="9" s="1"/>
  <c r="M22" i="9" s="1"/>
  <c r="V91" i="29"/>
  <c r="AL91" i="29"/>
  <c r="CF23" i="29"/>
  <c r="AJ104" i="1"/>
  <c r="BR131" i="1"/>
  <c r="BR101" i="1"/>
  <c r="AE272" i="1"/>
  <c r="AF25" i="9"/>
  <c r="CC15" i="9"/>
  <c r="J184" i="1"/>
  <c r="AI102" i="1"/>
  <c r="AA103" i="1"/>
  <c r="K230" i="1"/>
  <c r="P272" i="1"/>
  <c r="BU41" i="4"/>
  <c r="G17" i="9"/>
  <c r="G19" i="9" s="1"/>
  <c r="G22" i="9" s="1"/>
  <c r="BY21" i="9"/>
  <c r="BX33" i="29"/>
  <c r="BZ33" i="29"/>
  <c r="BQ33" i="29"/>
  <c r="BS33" i="29"/>
  <c r="BU33" i="29"/>
  <c r="BW33" i="29"/>
  <c r="BY33" i="29"/>
  <c r="CA33" i="29"/>
  <c r="AJ230" i="1"/>
  <c r="AS43" i="1"/>
  <c r="AT37" i="1"/>
  <c r="N56" i="4"/>
  <c r="P105" i="1"/>
  <c r="AC229" i="1"/>
  <c r="BX29" i="4"/>
  <c r="BR87" i="29"/>
  <c r="BT87" i="29"/>
  <c r="BV87" i="29"/>
  <c r="BX87" i="29"/>
  <c r="BZ87" i="29"/>
  <c r="AF103" i="1"/>
  <c r="X103" i="1"/>
  <c r="X102" i="1"/>
  <c r="Y102" i="1"/>
  <c r="AE266" i="1"/>
  <c r="AL186" i="1"/>
  <c r="P185" i="1"/>
  <c r="I185" i="1"/>
  <c r="I188" i="1"/>
  <c r="I192" i="1" s="1"/>
  <c r="AT276" i="1"/>
  <c r="AG105" i="1"/>
  <c r="AG103" i="1"/>
  <c r="AG104" i="1"/>
  <c r="AG102" i="1"/>
  <c r="Q105" i="1"/>
  <c r="Q104" i="1"/>
  <c r="BY131" i="1"/>
  <c r="S262" i="1"/>
  <c r="S224" i="1"/>
  <c r="Y103" i="1"/>
  <c r="K103" i="1"/>
  <c r="J264" i="1"/>
  <c r="AE215" i="1"/>
  <c r="AE193" i="1" s="1"/>
  <c r="AA224" i="1"/>
  <c r="H270" i="1"/>
  <c r="H225" i="1"/>
  <c r="K235" i="1"/>
  <c r="J262" i="1"/>
  <c r="AD226" i="1"/>
  <c r="AE237" i="1"/>
  <c r="AH237" i="1"/>
  <c r="AG215" i="1"/>
  <c r="AG193" i="1" s="1"/>
  <c r="BS101" i="1"/>
  <c r="AI104" i="1"/>
  <c r="AI105" i="1"/>
  <c r="AA105" i="1"/>
  <c r="AA104" i="1"/>
  <c r="AE103" i="1"/>
  <c r="T102" i="1"/>
  <c r="W103" i="1"/>
  <c r="S105" i="1"/>
  <c r="S102" i="1"/>
  <c r="S103" i="1"/>
  <c r="K102" i="1"/>
  <c r="L102" i="1"/>
  <c r="O103" i="1"/>
  <c r="K104" i="1"/>
  <c r="C102" i="1"/>
  <c r="G103" i="1"/>
  <c r="C105" i="1"/>
  <c r="AL272" i="1"/>
  <c r="AQ188" i="1"/>
  <c r="AQ186" i="1"/>
  <c r="AQ185" i="1"/>
  <c r="AP47" i="1"/>
  <c r="AA102" i="1"/>
  <c r="AH103" i="1"/>
  <c r="AH104" i="1"/>
  <c r="Z103" i="1"/>
  <c r="Z104" i="1"/>
  <c r="Z105" i="1"/>
  <c r="R103" i="1"/>
  <c r="R104" i="1"/>
  <c r="R105" i="1"/>
  <c r="J103" i="1"/>
  <c r="J104" i="1"/>
  <c r="J105" i="1"/>
  <c r="B104" i="1"/>
  <c r="B105" i="1"/>
  <c r="BW131" i="1"/>
  <c r="Y266" i="1"/>
  <c r="Y64" i="3"/>
  <c r="Y276" i="1"/>
  <c r="I276" i="1"/>
  <c r="AD272" i="1"/>
  <c r="Y105" i="1"/>
  <c r="Y104" i="1"/>
  <c r="I105" i="1"/>
  <c r="I102" i="1"/>
  <c r="AI224" i="1"/>
  <c r="Y237" i="1"/>
  <c r="P186" i="1"/>
  <c r="F219" i="1"/>
  <c r="J236" i="1"/>
  <c r="X276" i="1"/>
  <c r="BV275" i="1"/>
  <c r="P276" i="1"/>
  <c r="H276" i="1"/>
  <c r="BV10" i="1"/>
  <c r="BU101" i="1"/>
  <c r="X226" i="1"/>
  <c r="AC266" i="1"/>
  <c r="I186" i="1"/>
  <c r="BV131" i="1"/>
  <c r="AA235" i="1"/>
  <c r="Z235" i="1"/>
  <c r="AJ215" i="1"/>
  <c r="AJ193" i="1" s="1"/>
  <c r="AJ266" i="1"/>
  <c r="CA214" i="1"/>
  <c r="CA266" i="1" s="1"/>
  <c r="AL103" i="1"/>
  <c r="V103" i="1"/>
  <c r="I103" i="1"/>
  <c r="J102" i="1"/>
  <c r="BV101" i="1"/>
  <c r="BT131" i="1"/>
  <c r="W272" i="1"/>
  <c r="AD237" i="1"/>
  <c r="Q225" i="1"/>
  <c r="P188" i="1"/>
  <c r="P192" i="1" s="1"/>
  <c r="AA262" i="1"/>
  <c r="BZ214" i="1"/>
  <c r="AP186" i="1"/>
  <c r="AQ184" i="1"/>
  <c r="AQ37" i="1"/>
  <c r="BW101" i="1"/>
  <c r="AU37" i="1"/>
  <c r="S104" i="1"/>
  <c r="AK103" i="1"/>
  <c r="U103" i="1"/>
  <c r="AJ102" i="1"/>
  <c r="BT101" i="1"/>
  <c r="AE102" i="1"/>
  <c r="AD102" i="1"/>
  <c r="AD103" i="1"/>
  <c r="W102" i="1"/>
  <c r="V104" i="1"/>
  <c r="O102" i="1"/>
  <c r="N103" i="1"/>
  <c r="N105" i="1"/>
  <c r="G102" i="1"/>
  <c r="F103" i="1"/>
  <c r="BQ260" i="1"/>
  <c r="AD186" i="1"/>
  <c r="D224" i="1"/>
  <c r="AE236" i="1"/>
  <c r="J224" i="1"/>
  <c r="AU266" i="1"/>
  <c r="AY266" i="1" s="1"/>
  <c r="BC266" i="1" s="1"/>
  <c r="BG266" i="1" s="1"/>
  <c r="BK266" i="1" s="1"/>
  <c r="AL188" i="1"/>
  <c r="AC226" i="1"/>
  <c r="V105" i="1"/>
  <c r="N104" i="1"/>
  <c r="C104" i="1"/>
  <c r="AI103" i="1"/>
  <c r="Q103" i="1"/>
  <c r="AH102" i="1"/>
  <c r="R102" i="1"/>
  <c r="D102" i="1"/>
  <c r="Y235" i="1"/>
  <c r="H105" i="1"/>
  <c r="H104" i="1"/>
  <c r="E226" i="1"/>
  <c r="AP264" i="1"/>
  <c r="W224" i="1"/>
  <c r="X235" i="1"/>
  <c r="X105" i="1"/>
  <c r="AF102" i="1"/>
  <c r="H102" i="1"/>
  <c r="BW260" i="1"/>
  <c r="AA215" i="1"/>
  <c r="AA193" i="1" s="1"/>
  <c r="M236" i="1"/>
  <c r="R229" i="1"/>
  <c r="AR36" i="1"/>
  <c r="K272" i="1"/>
  <c r="R276" i="1"/>
  <c r="AU36" i="1"/>
  <c r="AE230" i="1"/>
  <c r="AD266" i="1"/>
  <c r="AD230" i="1"/>
  <c r="C224" i="1"/>
  <c r="AJ224" i="1"/>
  <c r="E262" i="1"/>
  <c r="S235" i="1"/>
  <c r="AL235" i="1"/>
  <c r="AH272" i="1"/>
  <c r="AF236" i="1"/>
  <c r="AD231" i="1"/>
  <c r="AJ225" i="1"/>
  <c r="B219" i="1"/>
  <c r="G266" i="1"/>
  <c r="G215" i="1"/>
  <c r="G193" i="1" s="1"/>
  <c r="Q236" i="1"/>
  <c r="H272" i="1"/>
  <c r="AB231" i="1"/>
  <c r="AH229" i="1"/>
  <c r="AN186" i="1"/>
  <c r="AS229" i="1"/>
  <c r="S237" i="1"/>
  <c r="R215" i="1"/>
  <c r="R193" i="1" s="1"/>
  <c r="AG231" i="1"/>
  <c r="AG226" i="1"/>
  <c r="AL264" i="1"/>
  <c r="AL225" i="1"/>
  <c r="U184" i="1"/>
  <c r="CF180" i="1"/>
  <c r="CF279" i="1" s="1"/>
  <c r="AI229" i="1"/>
  <c r="AG264" i="1"/>
  <c r="AH219" i="1"/>
  <c r="AU231" i="1"/>
  <c r="M235" i="1"/>
  <c r="AB276" i="1"/>
  <c r="AB272" i="1"/>
  <c r="AR266" i="1"/>
  <c r="AS236" i="1"/>
  <c r="AT30" i="1"/>
  <c r="AT43" i="1"/>
  <c r="T225" i="1"/>
  <c r="J225" i="1"/>
  <c r="AH230" i="1"/>
  <c r="AF266" i="1"/>
  <c r="I237" i="1"/>
  <c r="H266" i="1"/>
  <c r="AT266" i="1"/>
  <c r="AX266" i="1" s="1"/>
  <c r="BB266" i="1" s="1"/>
  <c r="BF266" i="1" s="1"/>
  <c r="BJ266" i="1" s="1"/>
  <c r="BN266" i="1" s="1"/>
  <c r="AF219" i="1"/>
  <c r="X272" i="1"/>
  <c r="AL230" i="1"/>
  <c r="E189" i="1"/>
  <c r="J276" i="1"/>
  <c r="L235" i="1"/>
  <c r="BT275" i="1"/>
  <c r="AF270" i="1"/>
  <c r="N219" i="1"/>
  <c r="AD262" i="1"/>
  <c r="AA225" i="1"/>
  <c r="BT213" i="1"/>
  <c r="AA237" i="1"/>
  <c r="H264" i="1"/>
  <c r="AW7" i="4"/>
  <c r="O270" i="1"/>
  <c r="O225" i="1"/>
  <c r="Y224" i="1"/>
  <c r="Y262" i="1"/>
  <c r="AN264" i="1"/>
  <c r="AR230" i="1"/>
  <c r="R184" i="1"/>
  <c r="AS184" i="1"/>
  <c r="H230" i="1"/>
  <c r="AU30" i="1"/>
  <c r="Z224" i="1"/>
  <c r="AA264" i="1"/>
  <c r="J230" i="1"/>
  <c r="Q270" i="1"/>
  <c r="N272" i="1"/>
  <c r="AD215" i="1"/>
  <c r="AD193" i="1" s="1"/>
  <c r="X64" i="3"/>
  <c r="BY212" i="1"/>
  <c r="BY224" i="1" s="1"/>
  <c r="AQ231" i="1"/>
  <c r="AE264" i="1"/>
  <c r="AF226" i="1"/>
  <c r="BX214" i="1"/>
  <c r="AO229" i="1"/>
  <c r="AG225" i="1"/>
  <c r="AG270" i="1"/>
  <c r="K270" i="1"/>
  <c r="K225" i="1"/>
  <c r="AD235" i="1"/>
  <c r="AC224" i="1"/>
  <c r="AF264" i="1"/>
  <c r="AG236" i="1"/>
  <c r="AF225" i="1"/>
  <c r="BY183" i="1"/>
  <c r="BY186" i="1" s="1"/>
  <c r="BV218" i="1"/>
  <c r="AS266" i="1"/>
  <c r="O237" i="1"/>
  <c r="X264" i="1"/>
  <c r="G264" i="1"/>
  <c r="BR20" i="9"/>
  <c r="R224" i="1"/>
  <c r="AD225" i="1"/>
  <c r="O230" i="1"/>
  <c r="AE270" i="1"/>
  <c r="X270" i="1"/>
  <c r="Z225" i="1"/>
  <c r="O276" i="1"/>
  <c r="N270" i="1"/>
  <c r="O236" i="1"/>
  <c r="CB180" i="1"/>
  <c r="CB279" i="1" s="1"/>
  <c r="CC180" i="1"/>
  <c r="CC279" i="1" s="1"/>
  <c r="AF184" i="1"/>
  <c r="AE186" i="1"/>
  <c r="X184" i="1"/>
  <c r="U237" i="1"/>
  <c r="E237" i="1"/>
  <c r="Z230" i="1"/>
  <c r="BQ277" i="1"/>
  <c r="D191" i="1"/>
  <c r="H56" i="4"/>
  <c r="H55" i="4"/>
  <c r="AD91" i="29"/>
  <c r="AX7" i="4"/>
  <c r="AL229" i="1"/>
  <c r="BT33" i="1"/>
  <c r="AQ43" i="1"/>
  <c r="AM215" i="1"/>
  <c r="AM193" i="1" s="1"/>
  <c r="AH34" i="3"/>
  <c r="BX34" i="3" s="1"/>
  <c r="AM184" i="1"/>
  <c r="AN184" i="1"/>
  <c r="AF188" i="1"/>
  <c r="AF189" i="1" s="1"/>
  <c r="AF186" i="1"/>
  <c r="L184" i="1"/>
  <c r="K186" i="1"/>
  <c r="K185" i="1"/>
  <c r="O91" i="29"/>
  <c r="L100" i="29"/>
  <c r="AE91" i="29"/>
  <c r="AR100" i="29"/>
  <c r="BS65" i="29"/>
  <c r="AT42" i="1"/>
  <c r="L186" i="1"/>
  <c r="AI235" i="1"/>
  <c r="AB225" i="1"/>
  <c r="AU42" i="1"/>
  <c r="AM262" i="1"/>
  <c r="AG184" i="1"/>
  <c r="AO262" i="1"/>
  <c r="P231" i="1"/>
  <c r="L226" i="1"/>
  <c r="BU21" i="9"/>
  <c r="AB262" i="1"/>
  <c r="W184" i="1"/>
  <c r="AI91" i="29"/>
  <c r="BY32" i="1"/>
  <c r="AK230" i="1"/>
  <c r="B25" i="9"/>
  <c r="AO45" i="3"/>
  <c r="V55" i="4"/>
  <c r="E225" i="1"/>
  <c r="BA7" i="4"/>
  <c r="AN276" i="1"/>
  <c r="AI215" i="1"/>
  <c r="AI193" i="1" s="1"/>
  <c r="BX212" i="1"/>
  <c r="AO230" i="1"/>
  <c r="AK270" i="1"/>
  <c r="Z34" i="3"/>
  <c r="P219" i="1"/>
  <c r="AM229" i="1"/>
  <c r="E272" i="1"/>
  <c r="AM270" i="1"/>
  <c r="S272" i="1"/>
  <c r="C24" i="9"/>
  <c r="C27" i="9" s="1"/>
  <c r="C29" i="9" s="1"/>
  <c r="AS276" i="1"/>
  <c r="AI264" i="1"/>
  <c r="C264" i="1"/>
  <c r="G230" i="1"/>
  <c r="S276" i="1"/>
  <c r="AP91" i="29"/>
  <c r="BV65" i="29"/>
  <c r="BU218" i="1"/>
  <c r="AS186" i="1"/>
  <c r="AB230" i="1"/>
  <c r="T230" i="1"/>
  <c r="AB270" i="1"/>
  <c r="CA43" i="3"/>
  <c r="M184" i="1"/>
  <c r="U225" i="1"/>
  <c r="AE224" i="1"/>
  <c r="BZ46" i="1"/>
  <c r="AS235" i="1"/>
  <c r="AI25" i="9"/>
  <c r="G34" i="3"/>
  <c r="BR214" i="1"/>
  <c r="AI262" i="1"/>
  <c r="U236" i="1"/>
  <c r="E215" i="1"/>
  <c r="E193" i="1" s="1"/>
  <c r="BZ260" i="1"/>
  <c r="F191" i="1"/>
  <c r="I272" i="1"/>
  <c r="C270" i="1"/>
  <c r="J270" i="1"/>
  <c r="AW36" i="3"/>
  <c r="BX260" i="1"/>
  <c r="BU277" i="1"/>
  <c r="AE24" i="9"/>
  <c r="BX24" i="9" s="1"/>
  <c r="C237" i="1"/>
  <c r="V230" i="1"/>
  <c r="W219" i="1"/>
  <c r="AA55" i="4"/>
  <c r="AP55" i="4"/>
  <c r="K24" i="9"/>
  <c r="AK262" i="1"/>
  <c r="L236" i="1"/>
  <c r="AM188" i="1"/>
  <c r="AO42" i="1"/>
  <c r="K184" i="1"/>
  <c r="AG266" i="1"/>
  <c r="AR43" i="1"/>
  <c r="AB224" i="1"/>
  <c r="X188" i="1"/>
  <c r="X186" i="1"/>
  <c r="E219" i="1"/>
  <c r="P226" i="1"/>
  <c r="AA236" i="1"/>
  <c r="K262" i="1"/>
  <c r="O229" i="1"/>
  <c r="BS27" i="3"/>
  <c r="N34" i="3"/>
  <c r="AF229" i="1"/>
  <c r="AF224" i="1"/>
  <c r="AF215" i="1"/>
  <c r="AF193" i="1" s="1"/>
  <c r="CC178" i="1"/>
  <c r="AL231" i="1"/>
  <c r="AK236" i="1"/>
  <c r="AO47" i="1"/>
  <c r="AU270" i="1"/>
  <c r="L91" i="29"/>
  <c r="I100" i="29"/>
  <c r="H91" i="29"/>
  <c r="H100" i="29"/>
  <c r="BR65" i="29"/>
  <c r="T91" i="29"/>
  <c r="Q100" i="29"/>
  <c r="AB91" i="29"/>
  <c r="Y100" i="29"/>
  <c r="AJ91" i="29"/>
  <c r="AG100" i="29"/>
  <c r="AF100" i="29"/>
  <c r="AR91" i="29"/>
  <c r="AO100" i="29"/>
  <c r="CA65" i="29"/>
  <c r="J100" i="29"/>
  <c r="Z100" i="29"/>
  <c r="AP100" i="29"/>
  <c r="J91" i="29"/>
  <c r="Z91" i="29"/>
  <c r="AN91" i="29"/>
  <c r="BV14" i="29"/>
  <c r="AH262" i="1"/>
  <c r="AK215" i="1"/>
  <c r="AK193" i="1" s="1"/>
  <c r="R91" i="29"/>
  <c r="S100" i="29"/>
  <c r="AH91" i="29"/>
  <c r="AH100" i="29"/>
  <c r="AI266" i="1"/>
  <c r="AK226" i="1"/>
  <c r="AL266" i="1"/>
  <c r="Q188" i="1"/>
  <c r="Q186" i="1"/>
  <c r="U185" i="1"/>
  <c r="S91" i="29"/>
  <c r="T100" i="29"/>
  <c r="BY65" i="29"/>
  <c r="N91" i="29"/>
  <c r="CB178" i="1"/>
  <c r="AR30" i="1"/>
  <c r="AQ47" i="1"/>
  <c r="AC237" i="1"/>
  <c r="AA24" i="9"/>
  <c r="AL237" i="1"/>
  <c r="BY214" i="1"/>
  <c r="BY266" i="1" s="1"/>
  <c r="Q230" i="1"/>
  <c r="M270" i="1"/>
  <c r="BI7" i="4"/>
  <c r="BT65" i="29"/>
  <c r="AI100" i="29"/>
  <c r="BU284" i="1"/>
  <c r="AS215" i="1"/>
  <c r="AS193" i="1" s="1"/>
  <c r="AH224" i="1"/>
  <c r="D189" i="1"/>
  <c r="AF230" i="1"/>
  <c r="M15" i="9"/>
  <c r="AL215" i="1"/>
  <c r="AL193" i="1" s="1"/>
  <c r="G224" i="1"/>
  <c r="D237" i="1"/>
  <c r="AW9" i="3"/>
  <c r="BU65" i="29"/>
  <c r="R100" i="29"/>
  <c r="AJ100" i="29"/>
  <c r="AI27" i="9"/>
  <c r="AI29" i="9" s="1"/>
  <c r="E55" i="4"/>
  <c r="BX274" i="1"/>
  <c r="AT237" i="1"/>
  <c r="AI230" i="1"/>
  <c r="F236" i="1"/>
  <c r="BW41" i="4"/>
  <c r="BX275" i="1"/>
  <c r="G229" i="1"/>
  <c r="AT47" i="1"/>
  <c r="J186" i="1"/>
  <c r="AL236" i="1"/>
  <c r="AN188" i="1"/>
  <c r="BX32" i="1"/>
  <c r="J215" i="1"/>
  <c r="J193" i="1" s="1"/>
  <c r="N231" i="1"/>
  <c r="Y229" i="1"/>
  <c r="AI237" i="1"/>
  <c r="I229" i="1"/>
  <c r="J24" i="9"/>
  <c r="J27" i="9" s="1"/>
  <c r="J29" i="9" s="1"/>
  <c r="AK235" i="1"/>
  <c r="CA277" i="1"/>
  <c r="AJ235" i="1"/>
  <c r="D236" i="1"/>
  <c r="U219" i="1"/>
  <c r="L56" i="4"/>
  <c r="AG186" i="1"/>
  <c r="AL226" i="1"/>
  <c r="AM236" i="1"/>
  <c r="AK266" i="1"/>
  <c r="R34" i="3"/>
  <c r="AB236" i="1"/>
  <c r="AO30" i="1"/>
  <c r="AO8" i="1" s="1"/>
  <c r="BZ65" i="29"/>
  <c r="W91" i="29"/>
  <c r="AT184" i="1"/>
  <c r="T270" i="1"/>
  <c r="K229" i="1"/>
  <c r="AS237" i="1"/>
  <c r="AA230" i="1"/>
  <c r="AM186" i="1"/>
  <c r="AH215" i="1"/>
  <c r="AH193" i="1" s="1"/>
  <c r="T264" i="1"/>
  <c r="BZ274" i="1"/>
  <c r="AU237" i="1"/>
  <c r="C215" i="1"/>
  <c r="C193" i="1" s="1"/>
  <c r="CD180" i="1"/>
  <c r="CD279" i="1" s="1"/>
  <c r="C266" i="1"/>
  <c r="M231" i="1"/>
  <c r="K14" i="9"/>
  <c r="K15" i="9" s="1"/>
  <c r="AS56" i="4"/>
  <c r="W186" i="1"/>
  <c r="AS42" i="1"/>
  <c r="AL270" i="1"/>
  <c r="K188" i="1"/>
  <c r="L191" i="1" s="1"/>
  <c r="AA231" i="1"/>
  <c r="W226" i="1"/>
  <c r="W266" i="1"/>
  <c r="E34" i="3"/>
  <c r="G15" i="9"/>
  <c r="BX41" i="4"/>
  <c r="BX213" i="1"/>
  <c r="BX270" i="1" s="1"/>
  <c r="AI236" i="1"/>
  <c r="AH225" i="1"/>
  <c r="BY12" i="4"/>
  <c r="K100" i="29"/>
  <c r="AA100" i="29"/>
  <c r="AQ100" i="29"/>
  <c r="K91" i="29"/>
  <c r="AA91" i="29"/>
  <c r="AT91" i="29"/>
  <c r="BR15" i="29"/>
  <c r="BZ16" i="29"/>
  <c r="N25" i="9"/>
  <c r="BT20" i="9"/>
  <c r="Q184" i="1"/>
  <c r="AM30" i="1"/>
  <c r="AM8" i="1" s="1"/>
  <c r="CF178" i="1"/>
  <c r="P91" i="29"/>
  <c r="M100" i="29"/>
  <c r="X91" i="29"/>
  <c r="U100" i="29"/>
  <c r="AO91" i="29"/>
  <c r="H215" i="1"/>
  <c r="H193" i="1" s="1"/>
  <c r="U27" i="9"/>
  <c r="U29" i="9" s="1"/>
  <c r="AO235" i="1"/>
  <c r="AU43" i="1"/>
  <c r="Y91" i="29"/>
  <c r="V100" i="29"/>
  <c r="AS100" i="29"/>
  <c r="AS91" i="29"/>
  <c r="BX65" i="29"/>
  <c r="AM100" i="29"/>
  <c r="BP108" i="29"/>
  <c r="AE100" i="29"/>
  <c r="AN100" i="29"/>
  <c r="G91" i="29"/>
  <c r="AQ91" i="29"/>
  <c r="BR33" i="29"/>
  <c r="CB23" i="29"/>
  <c r="AO56" i="4"/>
  <c r="AO55" i="4"/>
  <c r="Z55" i="4"/>
  <c r="Z56" i="4"/>
  <c r="R55" i="4"/>
  <c r="R56" i="4"/>
  <c r="K56" i="4"/>
  <c r="K55" i="4"/>
  <c r="BV55" i="4"/>
  <c r="R219" i="1"/>
  <c r="BX284" i="1"/>
  <c r="AR236" i="1"/>
  <c r="AU230" i="1"/>
  <c r="AQ264" i="1"/>
  <c r="AQ230" i="1"/>
  <c r="AQ236" i="1"/>
  <c r="BW218" i="1"/>
  <c r="BW10" i="1"/>
  <c r="AR272" i="1"/>
  <c r="AR276" i="1"/>
  <c r="AT188" i="1"/>
  <c r="AT191" i="1" s="1"/>
  <c r="CA183" i="1"/>
  <c r="AT270" i="1"/>
  <c r="AU236" i="1"/>
  <c r="AT236" i="1"/>
  <c r="B56" i="4"/>
  <c r="B55" i="4"/>
  <c r="AQ42" i="1"/>
  <c r="D55" i="4"/>
  <c r="Q219" i="1"/>
  <c r="BY284" i="1"/>
  <c r="BR218" i="1"/>
  <c r="BU32" i="1"/>
  <c r="BU33" i="1"/>
  <c r="G192" i="1"/>
  <c r="U186" i="1"/>
  <c r="U188" i="1"/>
  <c r="V184" i="1"/>
  <c r="D25" i="9"/>
  <c r="AP30" i="1"/>
  <c r="AP8" i="1" s="1"/>
  <c r="N27" i="9"/>
  <c r="N29" i="9" s="1"/>
  <c r="BW34" i="3"/>
  <c r="AQ272" i="1"/>
  <c r="AS34" i="3"/>
  <c r="BY130" i="1"/>
  <c r="BC7" i="4"/>
  <c r="AM276" i="1"/>
  <c r="AJ185" i="1"/>
  <c r="T188" i="1"/>
  <c r="X185" i="1"/>
  <c r="T185" i="1"/>
  <c r="BM7" i="4"/>
  <c r="L215" i="1"/>
  <c r="L193" i="1" s="1"/>
  <c r="C191" i="1"/>
  <c r="AJ45" i="3"/>
  <c r="AP25" i="9"/>
  <c r="I184" i="1"/>
  <c r="W231" i="1"/>
  <c r="BU214" i="1"/>
  <c r="BU226" i="1" s="1"/>
  <c r="C226" i="1"/>
  <c r="L270" i="1"/>
  <c r="L264" i="1"/>
  <c r="L230" i="1"/>
  <c r="L225" i="1"/>
  <c r="BS213" i="1"/>
  <c r="W235" i="1"/>
  <c r="V224" i="1"/>
  <c r="B272" i="1"/>
  <c r="D276" i="1"/>
  <c r="BR274" i="1"/>
  <c r="S213" i="1"/>
  <c r="BU269" i="1"/>
  <c r="BU280" i="1" s="1"/>
  <c r="C189" i="1"/>
  <c r="G190" i="1" s="1"/>
  <c r="CA20" i="9"/>
  <c r="BR183" i="1"/>
  <c r="BR188" i="1" s="1"/>
  <c r="AN236" i="1"/>
  <c r="K237" i="1"/>
  <c r="H17" i="9"/>
  <c r="H19" i="9" s="1"/>
  <c r="H22" i="9" s="1"/>
  <c r="AT41" i="4"/>
  <c r="CA41" i="4" s="1"/>
  <c r="AQ276" i="1"/>
  <c r="BQ186" i="1"/>
  <c r="V215" i="1"/>
  <c r="V193" i="1" s="1"/>
  <c r="BX12" i="4"/>
  <c r="AL276" i="1"/>
  <c r="E264" i="1"/>
  <c r="AT230" i="1"/>
  <c r="AT264" i="1"/>
  <c r="AX264" i="1" s="1"/>
  <c r="BB264" i="1" s="1"/>
  <c r="BF264" i="1" s="1"/>
  <c r="BJ264" i="1" s="1"/>
  <c r="BN264" i="1" s="1"/>
  <c r="BL7" i="4"/>
  <c r="AQ270" i="1"/>
  <c r="AH56" i="4"/>
  <c r="AH55" i="4"/>
  <c r="T34" i="3"/>
  <c r="D34" i="3"/>
  <c r="AS47" i="1"/>
  <c r="CA46" i="1"/>
  <c r="AR47" i="1"/>
  <c r="AN36" i="1"/>
  <c r="T219" i="1"/>
  <c r="AJ219" i="1"/>
  <c r="I219" i="1"/>
  <c r="BR130" i="1"/>
  <c r="S34" i="3"/>
  <c r="K34" i="3"/>
  <c r="BT41" i="9"/>
  <c r="I17" i="9"/>
  <c r="I19" i="9" s="1"/>
  <c r="I22" i="9" s="1"/>
  <c r="AN262" i="1"/>
  <c r="AR229" i="1"/>
  <c r="AN235" i="1"/>
  <c r="AN34" i="3"/>
  <c r="AO25" i="9"/>
  <c r="AO27" i="9"/>
  <c r="AO29" i="9" s="1"/>
  <c r="G185" i="1"/>
  <c r="H184" i="1"/>
  <c r="G184" i="1"/>
  <c r="G186" i="1"/>
  <c r="AK188" i="1"/>
  <c r="AK192" i="1" s="1"/>
  <c r="AK186" i="1"/>
  <c r="AK185" i="1"/>
  <c r="AG185" i="1"/>
  <c r="AC188" i="1"/>
  <c r="AC189" i="1" s="1"/>
  <c r="AD184" i="1"/>
  <c r="AC185" i="1"/>
  <c r="AC186" i="1"/>
  <c r="O185" i="1"/>
  <c r="O186" i="1"/>
  <c r="P184" i="1"/>
  <c r="L185" i="1"/>
  <c r="AR235" i="1"/>
  <c r="AU229" i="1"/>
  <c r="AQ262" i="1"/>
  <c r="AN30" i="1"/>
  <c r="AN8" i="1" s="1"/>
  <c r="AN49" i="1" s="1"/>
  <c r="AR37" i="1"/>
  <c r="AQ30" i="1"/>
  <c r="AQ8" i="1" s="1"/>
  <c r="AR42" i="1"/>
  <c r="CA211" i="1"/>
  <c r="AR260" i="1"/>
  <c r="AR274" i="1"/>
  <c r="AR284" i="1"/>
  <c r="AS272" i="1"/>
  <c r="AU235" i="1"/>
  <c r="AT235" i="1"/>
  <c r="AT262" i="1"/>
  <c r="AX262" i="1" s="1"/>
  <c r="BB262" i="1" s="1"/>
  <c r="BF262" i="1" s="1"/>
  <c r="BJ262" i="1" s="1"/>
  <c r="BN262" i="1" s="1"/>
  <c r="AT34" i="3"/>
  <c r="CA27" i="3"/>
  <c r="CA26" i="9"/>
  <c r="AU24" i="9"/>
  <c r="AU284" i="1"/>
  <c r="BY218" i="1"/>
  <c r="H219" i="1"/>
  <c r="AW38" i="4"/>
  <c r="BZ130" i="1"/>
  <c r="AK219" i="1"/>
  <c r="D266" i="1"/>
  <c r="V270" i="1"/>
  <c r="V264" i="1"/>
  <c r="W236" i="1"/>
  <c r="V225" i="1"/>
  <c r="M225" i="1"/>
  <c r="N236" i="1"/>
  <c r="M264" i="1"/>
  <c r="W262" i="1"/>
  <c r="BV212" i="1"/>
  <c r="O224" i="1"/>
  <c r="O262" i="1"/>
  <c r="S229" i="1"/>
  <c r="BT212" i="1"/>
  <c r="BT224" i="1" s="1"/>
  <c r="H235" i="1"/>
  <c r="BR212" i="1"/>
  <c r="BR224" i="1" s="1"/>
  <c r="BQ12" i="4"/>
  <c r="AK237" i="1"/>
  <c r="AJ231" i="1"/>
  <c r="AJ226" i="1"/>
  <c r="AP188" i="1"/>
  <c r="AB185" i="1"/>
  <c r="AC184" i="1"/>
  <c r="AF185" i="1"/>
  <c r="AB188" i="1"/>
  <c r="AB186" i="1"/>
  <c r="N186" i="1"/>
  <c r="N188" i="1"/>
  <c r="O191" i="1" s="1"/>
  <c r="N185" i="1"/>
  <c r="AO36" i="1"/>
  <c r="BY33" i="1"/>
  <c r="AR262" i="1"/>
  <c r="BZ275" i="1"/>
  <c r="V236" i="1"/>
  <c r="AT185" i="1"/>
  <c r="AQ229" i="1"/>
  <c r="H186" i="1"/>
  <c r="AA266" i="1"/>
  <c r="AA226" i="1"/>
  <c r="BW214" i="1"/>
  <c r="AE231" i="1"/>
  <c r="O231" i="1"/>
  <c r="K226" i="1"/>
  <c r="BS214" i="1"/>
  <c r="BS226" i="1" s="1"/>
  <c r="K215" i="1"/>
  <c r="K193" i="1" s="1"/>
  <c r="U264" i="1"/>
  <c r="U230" i="1"/>
  <c r="E236" i="1"/>
  <c r="BQ213" i="1"/>
  <c r="BQ230" i="1" s="1"/>
  <c r="D270" i="1"/>
  <c r="N215" i="1"/>
  <c r="N193" i="1" s="1"/>
  <c r="Z272" i="1"/>
  <c r="J272" i="1"/>
  <c r="L276" i="1"/>
  <c r="S231" i="1"/>
  <c r="AP27" i="9"/>
  <c r="AP29" i="9" s="1"/>
  <c r="H185" i="1"/>
  <c r="L237" i="1"/>
  <c r="K266" i="1"/>
  <c r="AP36" i="1"/>
  <c r="D264" i="1"/>
  <c r="T237" i="1"/>
  <c r="J219" i="1"/>
  <c r="X231" i="1"/>
  <c r="N229" i="1"/>
  <c r="AL184" i="1"/>
  <c r="D272" i="1"/>
  <c r="D225" i="1"/>
  <c r="H231" i="1"/>
  <c r="T215" i="1"/>
  <c r="T193" i="1" s="1"/>
  <c r="AN229" i="1"/>
  <c r="V262" i="1"/>
  <c r="V229" i="1"/>
  <c r="T186" i="1"/>
  <c r="AP42" i="1"/>
  <c r="S226" i="1"/>
  <c r="E270" i="1"/>
  <c r="BY277" i="1"/>
  <c r="AQ48" i="1"/>
  <c r="AN231" i="1"/>
  <c r="AP184" i="1"/>
  <c r="Q272" i="1"/>
  <c r="BQ29" i="4"/>
  <c r="AL262" i="1"/>
  <c r="AL224" i="1"/>
  <c r="AM235" i="1"/>
  <c r="AK55" i="4"/>
  <c r="AK56" i="4"/>
  <c r="G56" i="4"/>
  <c r="AW12" i="3"/>
  <c r="AH266" i="1"/>
  <c r="AH235" i="1"/>
  <c r="C225" i="1"/>
  <c r="AD270" i="1"/>
  <c r="AH231" i="1"/>
  <c r="AI45" i="3"/>
  <c r="AK272" i="1"/>
  <c r="Y226" i="1"/>
  <c r="Y231" i="1"/>
  <c r="I226" i="1"/>
  <c r="R270" i="1"/>
  <c r="R230" i="1"/>
  <c r="R236" i="1"/>
  <c r="K236" i="1"/>
  <c r="BR213" i="1"/>
  <c r="BR264" i="1" s="1"/>
  <c r="T224" i="1"/>
  <c r="X229" i="1"/>
  <c r="AK229" i="1"/>
  <c r="CC31" i="4"/>
  <c r="AJ270" i="1"/>
  <c r="AJ236" i="1"/>
  <c r="BY29" i="4"/>
  <c r="AO231" i="1"/>
  <c r="AP237" i="1"/>
  <c r="AJ184" i="1"/>
  <c r="S184" i="1"/>
  <c r="W185" i="1"/>
  <c r="AL55" i="4"/>
  <c r="BW213" i="1"/>
  <c r="BW225" i="1" s="1"/>
  <c r="R266" i="1"/>
  <c r="R226" i="1"/>
  <c r="J266" i="1"/>
  <c r="BU29" i="4"/>
  <c r="BS29" i="4"/>
  <c r="AD229" i="1"/>
  <c r="BW212" i="1"/>
  <c r="AH270" i="1"/>
  <c r="AH236" i="1"/>
  <c r="B266" i="1"/>
  <c r="AE235" i="1"/>
  <c r="AN230" i="1"/>
  <c r="AB34" i="3"/>
  <c r="J237" i="1"/>
  <c r="N55" i="4"/>
  <c r="BW277" i="1"/>
  <c r="Z266" i="1"/>
  <c r="BY213" i="1"/>
  <c r="K219" i="1"/>
  <c r="BU260" i="1"/>
  <c r="BV214" i="1"/>
  <c r="X266" i="1"/>
  <c r="AI226" i="1"/>
  <c r="AJ237" i="1"/>
  <c r="AM231" i="1"/>
  <c r="AI231" i="1"/>
  <c r="AP230" i="1"/>
  <c r="AP270" i="1"/>
  <c r="U215" i="1"/>
  <c r="U193" i="1" s="1"/>
  <c r="N237" i="1"/>
  <c r="Q231" i="1"/>
  <c r="M266" i="1"/>
  <c r="I231" i="1"/>
  <c r="P235" i="1"/>
  <c r="AI270" i="1"/>
  <c r="Q276" i="1"/>
  <c r="AS264" i="1"/>
  <c r="BA264" i="1" s="1"/>
  <c r="BE264" i="1" s="1"/>
  <c r="BI264" i="1" s="1"/>
  <c r="BM264" i="1" s="1"/>
  <c r="AS270" i="1"/>
  <c r="N266" i="1"/>
  <c r="AP185" i="1"/>
  <c r="V186" i="1"/>
  <c r="AQ266" i="1"/>
  <c r="BQ274" i="1"/>
  <c r="AB27" i="9"/>
  <c r="AB29" i="9" s="1"/>
  <c r="P17" i="9"/>
  <c r="P19" i="9" s="1"/>
  <c r="P22" i="9" s="1"/>
  <c r="BX130" i="1"/>
  <c r="Z229" i="1"/>
  <c r="J235" i="1"/>
  <c r="AE226" i="1"/>
  <c r="AF237" i="1"/>
  <c r="AK264" i="1"/>
  <c r="BG7" i="4"/>
  <c r="AQ36" i="1"/>
  <c r="AR237" i="1"/>
  <c r="W229" i="1"/>
  <c r="W27" i="9"/>
  <c r="W29" i="9" s="1"/>
  <c r="AJ272" i="1"/>
  <c r="AG189" i="1"/>
  <c r="CA130" i="1"/>
  <c r="AU47" i="1"/>
  <c r="CA55" i="4"/>
  <c r="BW32" i="1"/>
  <c r="H189" i="1"/>
  <c r="H192" i="1"/>
  <c r="BW29" i="4"/>
  <c r="H191" i="1"/>
  <c r="AC272" i="1"/>
  <c r="AQ237" i="1"/>
  <c r="AP231" i="1"/>
  <c r="AO188" i="1"/>
  <c r="BZ183" i="1"/>
  <c r="AS185" i="1"/>
  <c r="AA186" i="1"/>
  <c r="AA188" i="1"/>
  <c r="AA189" i="1" s="1"/>
  <c r="AB184" i="1"/>
  <c r="BW183" i="1"/>
  <c r="AU272" i="1"/>
  <c r="AU276" i="1"/>
  <c r="AT56" i="4"/>
  <c r="AE56" i="4"/>
  <c r="W55" i="4"/>
  <c r="W56" i="4"/>
  <c r="O55" i="4"/>
  <c r="BW130" i="1"/>
  <c r="AF45" i="3"/>
  <c r="AK276" i="1"/>
  <c r="AN24" i="9"/>
  <c r="BS284" i="1"/>
  <c r="O272" i="1"/>
  <c r="BT277" i="1"/>
  <c r="BY26" i="9"/>
  <c r="BY27" i="9" s="1"/>
  <c r="AM24" i="9"/>
  <c r="AM25" i="9" s="1"/>
  <c r="AO264" i="1"/>
  <c r="AO270" i="1"/>
  <c r="AO236" i="1"/>
  <c r="AP236" i="1"/>
  <c r="BZ213" i="1"/>
  <c r="BZ270" i="1" s="1"/>
  <c r="AS230" i="1"/>
  <c r="Z186" i="1"/>
  <c r="AA184" i="1"/>
  <c r="Z188" i="1"/>
  <c r="Z192" i="1" s="1"/>
  <c r="Z185" i="1"/>
  <c r="BS183" i="1"/>
  <c r="AR34" i="3"/>
  <c r="AT36" i="1"/>
  <c r="AS30" i="1"/>
  <c r="AS36" i="1"/>
  <c r="BT41" i="4"/>
  <c r="BX55" i="4"/>
  <c r="AS37" i="1"/>
  <c r="M186" i="1"/>
  <c r="L229" i="1"/>
  <c r="L224" i="1"/>
  <c r="BS212" i="1"/>
  <c r="D262" i="1"/>
  <c r="D215" i="1"/>
  <c r="D193" i="1" s="1"/>
  <c r="AF55" i="4"/>
  <c r="AT55" i="4"/>
  <c r="AI219" i="1"/>
  <c r="M188" i="1"/>
  <c r="M189" i="1" s="1"/>
  <c r="AW38" i="3"/>
  <c r="O189" i="1"/>
  <c r="G276" i="1"/>
  <c r="BR275" i="1"/>
  <c r="BT218" i="1"/>
  <c r="BT274" i="1"/>
  <c r="BT284" i="1"/>
  <c r="BT260" i="1"/>
  <c r="AU48" i="1"/>
  <c r="Y55" i="4"/>
  <c r="Q55" i="4"/>
  <c r="Q56" i="4"/>
  <c r="AW26" i="3"/>
  <c r="BV274" i="1"/>
  <c r="BV260" i="1"/>
  <c r="CB31" i="4"/>
  <c r="AU188" i="1"/>
  <c r="AV191" i="1" s="1"/>
  <c r="AU185" i="1"/>
  <c r="AU184" i="1"/>
  <c r="AU55" i="4"/>
  <c r="AU56" i="4"/>
  <c r="AM55" i="4"/>
  <c r="X55" i="4"/>
  <c r="X56" i="4"/>
  <c r="P55" i="4"/>
  <c r="P56" i="4"/>
  <c r="I55" i="4"/>
  <c r="I56" i="4"/>
  <c r="BP55" i="4"/>
  <c r="AW29" i="3"/>
  <c r="AU274" i="1"/>
  <c r="AU260" i="1"/>
  <c r="AY260" i="1" s="1"/>
  <c r="BC260" i="1" s="1"/>
  <c r="BG260" i="1" s="1"/>
  <c r="BK260" i="1" s="1"/>
  <c r="AG45" i="3"/>
  <c r="BV32" i="1"/>
  <c r="BE7" i="4"/>
  <c r="AN215" i="1"/>
  <c r="AN193" i="1" s="1"/>
  <c r="AR231" i="1"/>
  <c r="AO266" i="1"/>
  <c r="AS231" i="1"/>
  <c r="AO215" i="1"/>
  <c r="AO193" i="1" s="1"/>
  <c r="AI184" i="1"/>
  <c r="AI188" i="1"/>
  <c r="AM185" i="1"/>
  <c r="T184" i="1"/>
  <c r="S185" i="1"/>
  <c r="S186" i="1"/>
  <c r="S188" i="1"/>
  <c r="S192" i="1" s="1"/>
  <c r="BU183" i="1"/>
  <c r="G191" i="1"/>
  <c r="AT231" i="1"/>
  <c r="AN266" i="1"/>
  <c r="AO186" i="1"/>
  <c r="BR260" i="1"/>
  <c r="AO272" i="1"/>
  <c r="AL185" i="1"/>
  <c r="AH188" i="1"/>
  <c r="AH186" i="1"/>
  <c r="AH184" i="1"/>
  <c r="BX183" i="1"/>
  <c r="AH185" i="1"/>
  <c r="AR264" i="1"/>
  <c r="AR270" i="1"/>
  <c r="BD270" i="1" s="1"/>
  <c r="BH270" i="1" s="1"/>
  <c r="BL270" i="1" s="1"/>
  <c r="CA213" i="1"/>
  <c r="AT24" i="9"/>
  <c r="AS25" i="9"/>
  <c r="AS27" i="9"/>
  <c r="AS29" i="9" s="1"/>
  <c r="CA275" i="1"/>
  <c r="AT272" i="1"/>
  <c r="L262" i="1"/>
  <c r="BV33" i="1"/>
  <c r="BZ29" i="4"/>
  <c r="AO237" i="1"/>
  <c r="CD178" i="1"/>
  <c r="AM45" i="3"/>
  <c r="CE180" i="1"/>
  <c r="CE279" i="1" s="1"/>
  <c r="AR215" i="1"/>
  <c r="C55" i="4"/>
  <c r="AF56" i="4"/>
  <c r="AP266" i="1"/>
  <c r="AD185" i="1"/>
  <c r="AO185" i="1"/>
  <c r="AO184" i="1"/>
  <c r="BY260" i="1"/>
  <c r="BY55" i="4"/>
  <c r="BQ275" i="1"/>
  <c r="B34" i="3"/>
  <c r="B45" i="3" s="1"/>
  <c r="G24" i="9"/>
  <c r="BU26" i="9"/>
  <c r="U276" i="1"/>
  <c r="BS275" i="1"/>
  <c r="M272" i="1"/>
  <c r="BT55" i="4"/>
  <c r="AW30" i="3"/>
  <c r="M276" i="1"/>
  <c r="X34" i="3"/>
  <c r="AJ56" i="4"/>
  <c r="M56" i="4"/>
  <c r="F56" i="4"/>
  <c r="Q34" i="3"/>
  <c r="CB277" i="1"/>
  <c r="AD56" i="4"/>
  <c r="AD55" i="4"/>
  <c r="Q25" i="9"/>
  <c r="N276" i="1"/>
  <c r="AS55" i="4"/>
  <c r="BW275" i="1"/>
  <c r="AK34" i="3"/>
  <c r="P34" i="3"/>
  <c r="H34" i="3"/>
  <c r="AC262" i="1"/>
  <c r="AG229" i="1"/>
  <c r="AC235" i="1"/>
  <c r="AG276" i="1"/>
  <c r="AG272" i="1"/>
  <c r="AU262" i="1"/>
  <c r="AY262" i="1" s="1"/>
  <c r="BC262" i="1" s="1"/>
  <c r="BG262" i="1" s="1"/>
  <c r="BK262" i="1" s="1"/>
  <c r="AU215" i="1"/>
  <c r="U55" i="4"/>
  <c r="U56" i="4"/>
  <c r="AW31" i="3"/>
  <c r="AK225" i="1"/>
  <c r="AM266" i="1"/>
  <c r="AN237" i="1"/>
  <c r="AE188" i="1"/>
  <c r="AI185" i="1"/>
  <c r="AE184" i="1"/>
  <c r="AA185" i="1"/>
  <c r="W188" i="1"/>
  <c r="J185" i="1"/>
  <c r="J188" i="1"/>
  <c r="AN42" i="1"/>
  <c r="BU10" i="1"/>
  <c r="M34" i="3"/>
  <c r="AB266" i="1"/>
  <c r="AB226" i="1"/>
  <c r="AG262" i="1"/>
  <c r="AG235" i="1"/>
  <c r="W215" i="1"/>
  <c r="W193" i="1" s="1"/>
  <c r="X237" i="1"/>
  <c r="O226" i="1"/>
  <c r="O266" i="1"/>
  <c r="O215" i="1"/>
  <c r="O193" i="1" s="1"/>
  <c r="Z264" i="1"/>
  <c r="Z270" i="1"/>
  <c r="I236" i="1"/>
  <c r="AA229" i="1"/>
  <c r="AE229" i="1"/>
  <c r="AB235" i="1"/>
  <c r="D235" i="1"/>
  <c r="BR284" i="1"/>
  <c r="V272" i="1"/>
  <c r="BD7" i="4"/>
  <c r="BU130" i="1"/>
  <c r="BW33" i="1"/>
  <c r="M219" i="1"/>
  <c r="P230" i="1"/>
  <c r="P236" i="1"/>
  <c r="R272" i="1"/>
  <c r="T15" i="9"/>
  <c r="T17" i="9"/>
  <c r="T19" i="9" s="1"/>
  <c r="T22" i="9" s="1"/>
  <c r="AF235" i="1"/>
  <c r="AF262" i="1"/>
  <c r="AJ229" i="1"/>
  <c r="AG237" i="1"/>
  <c r="AK231" i="1"/>
  <c r="AH276" i="1"/>
  <c r="AJ186" i="1"/>
  <c r="AJ188" i="1"/>
  <c r="AN185" i="1"/>
  <c r="AK184" i="1"/>
  <c r="O184" i="1"/>
  <c r="AQ215" i="1"/>
  <c r="AQ193" i="1" s="1"/>
  <c r="CA212" i="1"/>
  <c r="N226" i="1"/>
  <c r="R231" i="1"/>
  <c r="BR12" i="4"/>
  <c r="AT48" i="1"/>
  <c r="X224" i="1"/>
  <c r="AB229" i="1"/>
  <c r="AM264" i="1"/>
  <c r="AM230" i="1"/>
  <c r="AR48" i="1"/>
  <c r="AN47" i="1"/>
  <c r="L25" i="9"/>
  <c r="E25" i="9"/>
  <c r="BV21" i="9"/>
  <c r="AP272" i="1"/>
  <c r="BQ188" i="1"/>
  <c r="BQ189" i="1" s="1"/>
  <c r="Z215" i="1"/>
  <c r="Z193" i="1" s="1"/>
  <c r="AC27" i="9"/>
  <c r="AC29" i="9" s="1"/>
  <c r="BZ41" i="9"/>
  <c r="AC16" i="9"/>
  <c r="AD14" i="9" s="1"/>
  <c r="B215" i="1"/>
  <c r="B193" i="1" s="1"/>
  <c r="BV284" i="1"/>
  <c r="F15" i="9"/>
  <c r="F17" i="9"/>
  <c r="F19" i="9" s="1"/>
  <c r="F22" i="9" s="1"/>
  <c r="AW63" i="3"/>
  <c r="BU55" i="4"/>
  <c r="G219" i="1"/>
  <c r="BW12" i="4"/>
  <c r="BV12" i="4"/>
  <c r="H25" i="9"/>
  <c r="P270" i="1"/>
  <c r="Q229" i="1"/>
  <c r="H237" i="1"/>
  <c r="T266" i="1"/>
  <c r="AF272" i="1"/>
  <c r="AE185" i="1"/>
  <c r="AE34" i="3"/>
  <c r="I225" i="1"/>
  <c r="B264" i="1"/>
  <c r="H15" i="9"/>
  <c r="BU275" i="1"/>
  <c r="BR27" i="3"/>
  <c r="BS218" i="1"/>
  <c r="P225" i="1"/>
  <c r="BW274" i="1"/>
  <c r="AA272" i="1"/>
  <c r="I230" i="1"/>
  <c r="T262" i="1"/>
  <c r="AJ27" i="9"/>
  <c r="AJ29" i="9" s="1"/>
  <c r="F276" i="1"/>
  <c r="T272" i="1"/>
  <c r="V190" i="1"/>
  <c r="BT12" i="4"/>
  <c r="BT29" i="4"/>
  <c r="BT16" i="9"/>
  <c r="BT17" i="9" s="1"/>
  <c r="J34" i="3"/>
  <c r="AA276" i="1"/>
  <c r="P264" i="1"/>
  <c r="M215" i="1"/>
  <c r="M193" i="1" s="1"/>
  <c r="I270" i="1"/>
  <c r="AF276" i="1"/>
  <c r="H236" i="1"/>
  <c r="C17" i="9"/>
  <c r="C19" i="9" s="1"/>
  <c r="C22" i="9" s="1"/>
  <c r="BY41" i="9"/>
  <c r="AI186" i="1"/>
  <c r="T276" i="1"/>
  <c r="K231" i="1"/>
  <c r="M230" i="1"/>
  <c r="BV29" i="4"/>
  <c r="M262" i="1"/>
  <c r="BS260" i="1"/>
  <c r="I264" i="1"/>
  <c r="B270" i="1"/>
  <c r="AM272" i="1"/>
  <c r="BQ284" i="1"/>
  <c r="BQ218" i="1"/>
  <c r="AB219" i="1"/>
  <c r="BR29" i="4"/>
  <c r="M229" i="1"/>
  <c r="BZ284" i="1"/>
  <c r="X27" i="9"/>
  <c r="X29" i="9" s="1"/>
  <c r="I215" i="1"/>
  <c r="I193" i="1" s="1"/>
  <c r="BU12" i="4"/>
  <c r="P215" i="1"/>
  <c r="P193" i="1" s="1"/>
  <c r="G226" i="1"/>
  <c r="AC276" i="1"/>
  <c r="B225" i="1"/>
  <c r="CD31" i="4"/>
  <c r="G231" i="1"/>
  <c r="BS12" i="4"/>
  <c r="T235" i="1"/>
  <c r="T226" i="1"/>
  <c r="BS130" i="1"/>
  <c r="F230" i="1"/>
  <c r="Y219" i="1"/>
  <c r="BS274" i="1"/>
  <c r="Q215" i="1"/>
  <c r="Q193" i="1" s="1"/>
  <c r="BY274" i="1"/>
  <c r="BQ41" i="4"/>
  <c r="BV41" i="4"/>
  <c r="Q226" i="1"/>
  <c r="BS41" i="4"/>
  <c r="U231" i="1"/>
  <c r="Z219" i="1"/>
  <c r="R237" i="1"/>
  <c r="BT130" i="1"/>
  <c r="Q266" i="1"/>
  <c r="W264" i="1"/>
  <c r="W270" i="1"/>
  <c r="Z262" i="1"/>
  <c r="O17" i="9"/>
  <c r="O19" i="9" s="1"/>
  <c r="O22" i="9" s="1"/>
  <c r="BV130" i="1"/>
  <c r="BR41" i="4"/>
  <c r="L27" i="9"/>
  <c r="L29" i="9" s="1"/>
  <c r="E27" i="9"/>
  <c r="E29" i="9" s="1"/>
  <c r="X215" i="1"/>
  <c r="X193" i="1" s="1"/>
  <c r="B39" i="9"/>
  <c r="BU20" i="9"/>
  <c r="BQ41" i="9"/>
  <c r="X25" i="9"/>
  <c r="CE31" i="4"/>
  <c r="CE15" i="9"/>
  <c r="AT215" i="1"/>
  <c r="AT193" i="1" s="1"/>
  <c r="CA41" i="9"/>
  <c r="CF31" i="4"/>
  <c r="CF15" i="9"/>
  <c r="BZ21" i="9"/>
  <c r="CA21" i="9"/>
  <c r="Q17" i="9"/>
  <c r="Q19" i="9" s="1"/>
  <c r="Q22" i="9" s="1"/>
  <c r="Q30" i="9" s="1"/>
  <c r="Q39" i="9" s="1"/>
  <c r="Q15" i="9"/>
  <c r="I15" i="9"/>
  <c r="D15" i="9"/>
  <c r="D17" i="9"/>
  <c r="D19" i="9" s="1"/>
  <c r="D22" i="9" s="1"/>
  <c r="AR27" i="9"/>
  <c r="AR29" i="9" s="1"/>
  <c r="AR25" i="9"/>
  <c r="N15" i="9"/>
  <c r="N17" i="9"/>
  <c r="N19" i="9" s="1"/>
  <c r="N22" i="9" s="1"/>
  <c r="R17" i="9"/>
  <c r="R19" i="9" s="1"/>
  <c r="R22" i="9" s="1"/>
  <c r="R15" i="9"/>
  <c r="E15" i="9"/>
  <c r="E17" i="9"/>
  <c r="E19" i="9" s="1"/>
  <c r="E22" i="9" s="1"/>
  <c r="AD27" i="9"/>
  <c r="AD29" i="9" s="1"/>
  <c r="AD25" i="9"/>
  <c r="Z25" i="9"/>
  <c r="Z27" i="9"/>
  <c r="Z29" i="9" s="1"/>
  <c r="BU14" i="9"/>
  <c r="S15" i="9"/>
  <c r="S17" i="9"/>
  <c r="S19" i="9" s="1"/>
  <c r="S22" i="9" s="1"/>
  <c r="J14" i="9"/>
  <c r="M24" i="9"/>
  <c r="M25" i="9" s="1"/>
  <c r="BX21" i="9"/>
  <c r="BU41" i="9"/>
  <c r="BS41" i="9"/>
  <c r="BR21" i="9"/>
  <c r="AV26" i="9"/>
  <c r="AW24" i="9" s="1"/>
  <c r="W25" i="9"/>
  <c r="BT21" i="9"/>
  <c r="BW41" i="9"/>
  <c r="BV24" i="9"/>
  <c r="P15" i="9"/>
  <c r="O15" i="9"/>
  <c r="C15" i="9"/>
  <c r="AB25" i="9"/>
  <c r="D27" i="9"/>
  <c r="D29" i="9" s="1"/>
  <c r="Y24" i="9"/>
  <c r="Y27" i="9" s="1"/>
  <c r="Y29" i="9" s="1"/>
  <c r="BS16" i="9"/>
  <c r="AC25" i="9"/>
  <c r="CD15" i="9"/>
  <c r="F24" i="9"/>
  <c r="F25" i="9" s="1"/>
  <c r="BW21" i="9"/>
  <c r="AX17" i="3"/>
  <c r="R27" i="9"/>
  <c r="R29" i="9" s="1"/>
  <c r="S24" i="9"/>
  <c r="R25" i="9"/>
  <c r="U27" i="3"/>
  <c r="T25" i="9"/>
  <c r="T27" i="9"/>
  <c r="T29" i="9" s="1"/>
  <c r="AW33" i="3"/>
  <c r="B14" i="3"/>
  <c r="B36" i="9"/>
  <c r="C34" i="9" s="1"/>
  <c r="BQ34" i="9" s="1"/>
  <c r="B48" i="3"/>
  <c r="AW58" i="3"/>
  <c r="L17" i="9"/>
  <c r="L19" i="9" s="1"/>
  <c r="L15" i="9"/>
  <c r="AJ25" i="9"/>
  <c r="AK24" i="9"/>
  <c r="AL25" i="9"/>
  <c r="AL27" i="9"/>
  <c r="AL29" i="9" s="1"/>
  <c r="AL34" i="3"/>
  <c r="BY27" i="3"/>
  <c r="AQ34" i="3"/>
  <c r="BZ27" i="3"/>
  <c r="AP34" i="3"/>
  <c r="AF27" i="9"/>
  <c r="AF29" i="9" s="1"/>
  <c r="BX26" i="9"/>
  <c r="AR56" i="4"/>
  <c r="AR55" i="4"/>
  <c r="J56" i="4"/>
  <c r="J55" i="4"/>
  <c r="BZ55" i="4"/>
  <c r="BZ12" i="4"/>
  <c r="AG55" i="4"/>
  <c r="AG56" i="4"/>
  <c r="BW7" i="4"/>
  <c r="AN15" i="9"/>
  <c r="BZ15" i="9" s="1"/>
  <c r="BZ20" i="9"/>
  <c r="BQ7" i="4"/>
  <c r="BX7" i="4"/>
  <c r="BT7" i="4"/>
  <c r="BX20" i="9"/>
  <c r="AH15" i="9"/>
  <c r="BX15" i="9" s="1"/>
  <c r="AI15" i="9"/>
  <c r="BY15" i="9" s="1"/>
  <c r="BY20" i="9"/>
  <c r="CA15" i="9"/>
  <c r="BW20" i="9"/>
  <c r="AB15" i="9"/>
  <c r="BW15" i="9" s="1"/>
  <c r="BX41" i="9"/>
  <c r="BV41" i="9"/>
  <c r="BR41" i="9"/>
  <c r="BB52" i="3"/>
  <c r="F215" i="1"/>
  <c r="F193" i="1" s="1"/>
  <c r="G237" i="1"/>
  <c r="F231" i="1"/>
  <c r="F237" i="1"/>
  <c r="F266" i="1"/>
  <c r="J231" i="1"/>
  <c r="F226" i="1"/>
  <c r="BV277" i="1"/>
  <c r="Y272" i="1"/>
  <c r="L272" i="1"/>
  <c r="BS277" i="1"/>
  <c r="BR277" i="1"/>
  <c r="G272" i="1"/>
  <c r="BV7" i="4"/>
  <c r="BU7" i="4"/>
  <c r="BS7" i="4"/>
  <c r="Y15" i="9"/>
  <c r="BV15" i="9" s="1"/>
  <c r="BV20" i="9"/>
  <c r="AI272" i="1"/>
  <c r="BY275" i="1"/>
  <c r="AI276" i="1"/>
  <c r="AP262" i="1"/>
  <c r="AQ235" i="1"/>
  <c r="AP235" i="1"/>
  <c r="BZ212" i="1"/>
  <c r="AP229" i="1"/>
  <c r="AP215" i="1"/>
  <c r="AP193" i="1" s="1"/>
  <c r="AT229" i="1"/>
  <c r="BY10" i="1"/>
  <c r="BX33" i="1"/>
  <c r="BX10" i="1"/>
  <c r="BX218" i="1"/>
  <c r="Y230" i="1"/>
  <c r="Y225" i="1"/>
  <c r="Z236" i="1"/>
  <c r="Y270" i="1"/>
  <c r="BV213" i="1"/>
  <c r="Y264" i="1"/>
  <c r="AC230" i="1"/>
  <c r="Y215" i="1"/>
  <c r="Y193" i="1" s="1"/>
  <c r="Y236" i="1"/>
  <c r="BS20" i="9"/>
  <c r="AC215" i="1"/>
  <c r="AC193" i="1" s="1"/>
  <c r="AC236" i="1"/>
  <c r="AG230" i="1"/>
  <c r="AC225" i="1"/>
  <c r="AC264" i="1"/>
  <c r="AD236" i="1"/>
  <c r="AC270" i="1"/>
  <c r="AS189" i="1"/>
  <c r="L189" i="1"/>
  <c r="L192" i="1"/>
  <c r="AC219" i="1"/>
  <c r="AG219" i="1"/>
  <c r="O219" i="1"/>
  <c r="V219" i="1"/>
  <c r="S219" i="1"/>
  <c r="U235" i="1"/>
  <c r="U229" i="1"/>
  <c r="U262" i="1"/>
  <c r="U224" i="1"/>
  <c r="V235" i="1"/>
  <c r="BU212" i="1"/>
  <c r="N224" i="1"/>
  <c r="N262" i="1"/>
  <c r="N235" i="1"/>
  <c r="O235" i="1"/>
  <c r="J229" i="1"/>
  <c r="BQ212" i="1"/>
  <c r="F229" i="1"/>
  <c r="G235" i="1"/>
  <c r="F224" i="1"/>
  <c r="F235" i="1"/>
  <c r="V192" i="1"/>
  <c r="BW284" i="1"/>
  <c r="V231" i="1"/>
  <c r="V237" i="1"/>
  <c r="W237" i="1"/>
  <c r="P237" i="1"/>
  <c r="T231" i="1"/>
  <c r="BT214" i="1"/>
  <c r="Q237" i="1"/>
  <c r="L266" i="1"/>
  <c r="M237" i="1"/>
  <c r="L231" i="1"/>
  <c r="D226" i="1"/>
  <c r="BQ214" i="1"/>
  <c r="AF231" i="1"/>
  <c r="AB215" i="1"/>
  <c r="AB193" i="1" s="1"/>
  <c r="AB237" i="1"/>
  <c r="BX277" i="1"/>
  <c r="BB7" i="4"/>
  <c r="AN272" i="1"/>
  <c r="BZ277" i="1"/>
  <c r="CE178" i="1"/>
  <c r="Y188" i="1"/>
  <c r="Y184" i="1"/>
  <c r="BV183" i="1"/>
  <c r="Y185" i="1"/>
  <c r="R186" i="1"/>
  <c r="V185" i="1"/>
  <c r="R185" i="1"/>
  <c r="Q185" i="1"/>
  <c r="M185" i="1"/>
  <c r="N184" i="1"/>
  <c r="AR186" i="1"/>
  <c r="AR184" i="1"/>
  <c r="AR188" i="1"/>
  <c r="AV192" i="1" s="1"/>
  <c r="AR185" i="1"/>
  <c r="BT183" i="1"/>
  <c r="Z184" i="1"/>
  <c r="Z231" i="1"/>
  <c r="E191" i="1"/>
  <c r="K264" i="1"/>
  <c r="I235" i="1"/>
  <c r="H229" i="1"/>
  <c r="B262" i="1"/>
  <c r="B224" i="1"/>
  <c r="C235" i="1"/>
  <c r="BQ185" i="1"/>
  <c r="L219" i="1"/>
  <c r="R225" i="1"/>
  <c r="D109" i="3" l="1"/>
  <c r="J113" i="3"/>
  <c r="AS113" i="3"/>
  <c r="M107" i="3"/>
  <c r="D68" i="3"/>
  <c r="M113" i="3"/>
  <c r="J106" i="3"/>
  <c r="D113" i="3"/>
  <c r="M68" i="3"/>
  <c r="AS109" i="3"/>
  <c r="AS106" i="3"/>
  <c r="AS107" i="3"/>
  <c r="D107" i="3"/>
  <c r="M109" i="3"/>
  <c r="BR109" i="3" s="1"/>
  <c r="AS68" i="3"/>
  <c r="AS92" i="3" s="1"/>
  <c r="D106" i="3"/>
  <c r="M106" i="3"/>
  <c r="J107" i="3"/>
  <c r="J109" i="3"/>
  <c r="J68" i="3"/>
  <c r="L114" i="3"/>
  <c r="BX109" i="3"/>
  <c r="E114" i="3"/>
  <c r="BZ109" i="3"/>
  <c r="V92" i="3"/>
  <c r="P114" i="3"/>
  <c r="BQ109" i="3"/>
  <c r="AJ114" i="3"/>
  <c r="BX105" i="3"/>
  <c r="R114" i="3"/>
  <c r="Z92" i="3"/>
  <c r="BQ105" i="3"/>
  <c r="L92" i="3"/>
  <c r="BZ105" i="3"/>
  <c r="AH114" i="3"/>
  <c r="BT109" i="3"/>
  <c r="AP92" i="3"/>
  <c r="N114" i="3"/>
  <c r="BY105" i="3"/>
  <c r="P92" i="3"/>
  <c r="Y92" i="3"/>
  <c r="BV109" i="3"/>
  <c r="AW270" i="1"/>
  <c r="AX270" i="1"/>
  <c r="U92" i="3"/>
  <c r="N92" i="3"/>
  <c r="CA109" i="3"/>
  <c r="AK92" i="3"/>
  <c r="BV105" i="3"/>
  <c r="AR92" i="3"/>
  <c r="I92" i="3"/>
  <c r="Y114" i="3"/>
  <c r="AF92" i="3"/>
  <c r="B92" i="3"/>
  <c r="R106" i="3"/>
  <c r="BS105" i="3"/>
  <c r="AS114" i="3"/>
  <c r="BY109" i="3"/>
  <c r="AT92" i="3"/>
  <c r="AB114" i="3"/>
  <c r="H114" i="3"/>
  <c r="AR114" i="3"/>
  <c r="AF114" i="3"/>
  <c r="D92" i="3"/>
  <c r="AL114" i="3"/>
  <c r="M114" i="3"/>
  <c r="CA105" i="3"/>
  <c r="F114" i="3"/>
  <c r="AT114" i="3"/>
  <c r="AG92" i="3"/>
  <c r="AB92" i="3"/>
  <c r="AN114" i="3"/>
  <c r="H92" i="3"/>
  <c r="X114" i="3"/>
  <c r="Q114" i="3"/>
  <c r="BU109" i="3"/>
  <c r="AC114" i="3"/>
  <c r="R92" i="3"/>
  <c r="AO92" i="3"/>
  <c r="BU105" i="3"/>
  <c r="AU193" i="1"/>
  <c r="AV238" i="1"/>
  <c r="AW310" i="1"/>
  <c r="AR8" i="1"/>
  <c r="AV32" i="1"/>
  <c r="AY270" i="1"/>
  <c r="BC270" i="1" s="1"/>
  <c r="BG270" i="1" s="1"/>
  <c r="BK270" i="1" s="1"/>
  <c r="D114" i="3"/>
  <c r="AL92" i="3"/>
  <c r="M92" i="3"/>
  <c r="AP114" i="3"/>
  <c r="F92" i="3"/>
  <c r="AG114" i="3"/>
  <c r="X92" i="3"/>
  <c r="AC92" i="3"/>
  <c r="J92" i="3"/>
  <c r="AO114" i="3"/>
  <c r="AR193" i="1"/>
  <c r="AV232" i="1"/>
  <c r="AY94" i="3"/>
  <c r="AD114" i="3"/>
  <c r="T92" i="3"/>
  <c r="E92" i="3"/>
  <c r="V114" i="3"/>
  <c r="AK114" i="3"/>
  <c r="BW109" i="3"/>
  <c r="BR105" i="3"/>
  <c r="AN92" i="3"/>
  <c r="BS109" i="3"/>
  <c r="AU92" i="3"/>
  <c r="AF109" i="3"/>
  <c r="J114" i="3"/>
  <c r="BW105" i="3"/>
  <c r="AU8" i="1"/>
  <c r="AV31" i="1"/>
  <c r="AD92" i="3"/>
  <c r="T114" i="3"/>
  <c r="AH92" i="3"/>
  <c r="U114" i="3"/>
  <c r="BT105" i="3"/>
  <c r="I114" i="3"/>
  <c r="Q92" i="3"/>
  <c r="AU114" i="3"/>
  <c r="AJ92" i="3"/>
  <c r="Z114" i="3"/>
  <c r="AX40" i="3"/>
  <c r="AX29" i="3"/>
  <c r="AX36" i="3"/>
  <c r="AX12" i="3"/>
  <c r="AW72" i="3"/>
  <c r="AV310" i="1"/>
  <c r="AU59" i="1"/>
  <c r="M55" i="29"/>
  <c r="P108" i="29"/>
  <c r="BQ91" i="29"/>
  <c r="AK55" i="29"/>
  <c r="F108" i="29"/>
  <c r="D108" i="29"/>
  <c r="I108" i="29"/>
  <c r="AJ108" i="29"/>
  <c r="AE108" i="29"/>
  <c r="AQ37" i="29"/>
  <c r="AT37" i="29"/>
  <c r="I55" i="29"/>
  <c r="D55" i="29"/>
  <c r="T55" i="29"/>
  <c r="N108" i="29"/>
  <c r="L108" i="29"/>
  <c r="C108" i="29"/>
  <c r="AB108" i="29"/>
  <c r="W108" i="29"/>
  <c r="AP37" i="29"/>
  <c r="P55" i="29"/>
  <c r="H55" i="29"/>
  <c r="BX36" i="29"/>
  <c r="O55" i="29"/>
  <c r="BV36" i="29"/>
  <c r="S55" i="29"/>
  <c r="T108" i="29"/>
  <c r="AN37" i="29"/>
  <c r="AU37" i="29"/>
  <c r="Z55" i="29"/>
  <c r="B8" i="2"/>
  <c r="C8" i="2"/>
  <c r="U55" i="29"/>
  <c r="E55" i="29"/>
  <c r="X55" i="29"/>
  <c r="J108" i="29"/>
  <c r="AO37" i="29"/>
  <c r="N55" i="29"/>
  <c r="B55" i="29"/>
  <c r="J55" i="29"/>
  <c r="AH55" i="29"/>
  <c r="AM108" i="29"/>
  <c r="K55" i="29"/>
  <c r="AM37" i="29"/>
  <c r="AU39" i="29"/>
  <c r="AE55" i="29"/>
  <c r="BP24" i="29"/>
  <c r="AD55" i="29"/>
  <c r="BU36" i="29"/>
  <c r="BT36" i="29"/>
  <c r="Y55" i="29"/>
  <c r="AG108" i="29"/>
  <c r="C55" i="29"/>
  <c r="AS37" i="29"/>
  <c r="BY36" i="29"/>
  <c r="BW36" i="29"/>
  <c r="BQ90" i="29"/>
  <c r="AJ55" i="29"/>
  <c r="AG55" i="29"/>
  <c r="V108" i="29"/>
  <c r="Y108" i="29"/>
  <c r="AR37" i="29"/>
  <c r="AZ262" i="1"/>
  <c r="BD262" i="1" s="1"/>
  <c r="BH262" i="1" s="1"/>
  <c r="BL262" i="1" s="1"/>
  <c r="AZ266" i="1"/>
  <c r="BD266" i="1" s="1"/>
  <c r="BH266" i="1" s="1"/>
  <c r="BL266" i="1" s="1"/>
  <c r="BD264" i="1"/>
  <c r="BH264" i="1" s="1"/>
  <c r="BL264" i="1" s="1"/>
  <c r="BA262" i="1"/>
  <c r="BE262" i="1" s="1"/>
  <c r="BI262" i="1" s="1"/>
  <c r="BM262" i="1" s="1"/>
  <c r="BA266" i="1"/>
  <c r="BE266" i="1" s="1"/>
  <c r="BI266" i="1" s="1"/>
  <c r="BM266" i="1" s="1"/>
  <c r="AX11" i="3"/>
  <c r="AT50" i="1"/>
  <c r="AN44" i="1"/>
  <c r="BR70" i="4"/>
  <c r="BR309" i="1"/>
  <c r="BV70" i="4"/>
  <c r="BV309" i="1"/>
  <c r="AE68" i="3"/>
  <c r="AE113" i="3"/>
  <c r="AE109" i="3"/>
  <c r="AE107" i="3"/>
  <c r="AE106" i="3"/>
  <c r="C109" i="3"/>
  <c r="C107" i="3"/>
  <c r="C113" i="3"/>
  <c r="C106" i="3"/>
  <c r="C68" i="3"/>
  <c r="BX70" i="4"/>
  <c r="BX309" i="1"/>
  <c r="AM107" i="3"/>
  <c r="AM113" i="3"/>
  <c r="AM106" i="3"/>
  <c r="AM68" i="3"/>
  <c r="AM109" i="3"/>
  <c r="O107" i="3"/>
  <c r="O106" i="3"/>
  <c r="O68" i="3"/>
  <c r="O113" i="3"/>
  <c r="O109" i="3"/>
  <c r="AI109" i="3"/>
  <c r="AI106" i="3"/>
  <c r="AI113" i="3"/>
  <c r="AI68" i="3"/>
  <c r="AI107" i="3"/>
  <c r="BX106" i="3"/>
  <c r="BX107" i="3"/>
  <c r="BQ107" i="3"/>
  <c r="BZ70" i="4"/>
  <c r="BZ309" i="1"/>
  <c r="BZ107" i="3"/>
  <c r="BZ106" i="3"/>
  <c r="W109" i="3"/>
  <c r="W107" i="3"/>
  <c r="W106" i="3"/>
  <c r="W113" i="3"/>
  <c r="W68" i="3"/>
  <c r="AW107" i="3"/>
  <c r="AX107" i="3" s="1"/>
  <c r="AY107" i="3" s="1"/>
  <c r="AZ107" i="3" s="1"/>
  <c r="BA107" i="3" s="1"/>
  <c r="BB107" i="3" s="1"/>
  <c r="BC107" i="3" s="1"/>
  <c r="BD107" i="3" s="1"/>
  <c r="BE107" i="3" s="1"/>
  <c r="BF107" i="3" s="1"/>
  <c r="BG107" i="3" s="1"/>
  <c r="BH107" i="3" s="1"/>
  <c r="BI107" i="3" s="1"/>
  <c r="BJ107" i="3" s="1"/>
  <c r="BK107" i="3" s="1"/>
  <c r="BL107" i="3" s="1"/>
  <c r="BM107" i="3" s="1"/>
  <c r="BN107" i="3" s="1"/>
  <c r="K68" i="3"/>
  <c r="K109" i="3"/>
  <c r="K113" i="3"/>
  <c r="K107" i="3"/>
  <c r="K106" i="3"/>
  <c r="BT70" i="4"/>
  <c r="BT309" i="1"/>
  <c r="BV106" i="3"/>
  <c r="BS106" i="3"/>
  <c r="BS107" i="3"/>
  <c r="BY70" i="4"/>
  <c r="BY309" i="1"/>
  <c r="AQ113" i="3"/>
  <c r="AQ106" i="3"/>
  <c r="AQ68" i="3"/>
  <c r="AQ109" i="3"/>
  <c r="AQ107" i="3"/>
  <c r="S109" i="3"/>
  <c r="S106" i="3"/>
  <c r="S113" i="3"/>
  <c r="S107" i="3"/>
  <c r="S68" i="3"/>
  <c r="CA70" i="4"/>
  <c r="CA309" i="1"/>
  <c r="BU107" i="3"/>
  <c r="BU106" i="3"/>
  <c r="BW70" i="4"/>
  <c r="BW309" i="1"/>
  <c r="BS70" i="4"/>
  <c r="BS309" i="1"/>
  <c r="G109" i="3"/>
  <c r="G107" i="3"/>
  <c r="G106" i="3"/>
  <c r="G113" i="3"/>
  <c r="G68" i="3"/>
  <c r="AA109" i="3"/>
  <c r="AA107" i="3"/>
  <c r="AA113" i="3"/>
  <c r="AA106" i="3"/>
  <c r="AA68" i="3"/>
  <c r="BQ70" i="4"/>
  <c r="BQ309" i="1"/>
  <c r="BU70" i="4"/>
  <c r="BU309" i="1"/>
  <c r="BR106" i="3"/>
  <c r="BR107" i="3"/>
  <c r="B114" i="3"/>
  <c r="BW107" i="3"/>
  <c r="BW106" i="3"/>
  <c r="AQ16" i="9"/>
  <c r="AR14" i="9" s="1"/>
  <c r="U82" i="3"/>
  <c r="U84" i="3" s="1"/>
  <c r="U95" i="3"/>
  <c r="AE27" i="9"/>
  <c r="AE29" i="9" s="1"/>
  <c r="BX29" i="9" s="1"/>
  <c r="H30" i="9"/>
  <c r="H39" i="9" s="1"/>
  <c r="BQ34" i="3"/>
  <c r="J25" i="9"/>
  <c r="BS34" i="3"/>
  <c r="BP52" i="4"/>
  <c r="BS74" i="29"/>
  <c r="BW74" i="29"/>
  <c r="AS50" i="1"/>
  <c r="AR50" i="1"/>
  <c r="H220" i="1"/>
  <c r="H56" i="29" s="1"/>
  <c r="BZ48" i="1"/>
  <c r="AM50" i="1"/>
  <c r="AQ50" i="1"/>
  <c r="AP50" i="1"/>
  <c r="AO50" i="1"/>
  <c r="BX74" i="29"/>
  <c r="BP245" i="1"/>
  <c r="BP250" i="1" s="1"/>
  <c r="AN50" i="1"/>
  <c r="BU74" i="29"/>
  <c r="BV74" i="29"/>
  <c r="BY74" i="29"/>
  <c r="AU48" i="29"/>
  <c r="BR74" i="29"/>
  <c r="BQ74" i="29"/>
  <c r="BT74" i="29"/>
  <c r="AE220" i="1"/>
  <c r="AE56" i="29" s="1"/>
  <c r="K74" i="29"/>
  <c r="H195" i="1"/>
  <c r="H200" i="1" s="1"/>
  <c r="AH220" i="1"/>
  <c r="AH56" i="29" s="1"/>
  <c r="O74" i="29"/>
  <c r="AU74" i="29"/>
  <c r="C74" i="29"/>
  <c r="AB74" i="29"/>
  <c r="U74" i="29"/>
  <c r="AO74" i="29"/>
  <c r="AK74" i="29"/>
  <c r="E74" i="29"/>
  <c r="AI74" i="29"/>
  <c r="W74" i="29"/>
  <c r="G74" i="29"/>
  <c r="J240" i="1"/>
  <c r="AB240" i="1"/>
  <c r="Q240" i="1"/>
  <c r="Q241" i="1" s="1"/>
  <c r="L240" i="1"/>
  <c r="Y240" i="1"/>
  <c r="Z240" i="1"/>
  <c r="G240" i="1"/>
  <c r="T220" i="1"/>
  <c r="T56" i="29" s="1"/>
  <c r="M220" i="1"/>
  <c r="M56" i="29" s="1"/>
  <c r="G220" i="1"/>
  <c r="G56" i="29" s="1"/>
  <c r="D240" i="1"/>
  <c r="AL240" i="1"/>
  <c r="AQ17" i="29"/>
  <c r="AM223" i="1"/>
  <c r="N240" i="1"/>
  <c r="O240" i="1"/>
  <c r="AK240" i="1"/>
  <c r="AQ223" i="1"/>
  <c r="AP223" i="1"/>
  <c r="J17" i="29"/>
  <c r="T240" i="1"/>
  <c r="X240" i="1"/>
  <c r="AA240" i="1"/>
  <c r="AJ240" i="1"/>
  <c r="AJ52" i="4" s="1"/>
  <c r="I17" i="29"/>
  <c r="AU17" i="29"/>
  <c r="C17" i="29"/>
  <c r="AH17" i="29"/>
  <c r="AO223" i="1"/>
  <c r="AE17" i="29"/>
  <c r="B240" i="1"/>
  <c r="R240" i="1"/>
  <c r="C240" i="1"/>
  <c r="U240" i="1"/>
  <c r="AD240" i="1"/>
  <c r="AI240" i="1"/>
  <c r="AF240" i="1"/>
  <c r="Y17" i="29"/>
  <c r="AO17" i="29"/>
  <c r="AN17" i="29"/>
  <c r="AN223" i="1"/>
  <c r="L17" i="29"/>
  <c r="AU223" i="1"/>
  <c r="AC240" i="1"/>
  <c r="P240" i="1"/>
  <c r="AE240" i="1"/>
  <c r="AH240" i="1"/>
  <c r="Z17" i="29"/>
  <c r="G17" i="29"/>
  <c r="AG240" i="1"/>
  <c r="E240" i="1"/>
  <c r="I240" i="1"/>
  <c r="AB17" i="29"/>
  <c r="AP17" i="29"/>
  <c r="F17" i="29"/>
  <c r="Q17" i="29"/>
  <c r="AR223" i="1"/>
  <c r="M240" i="1"/>
  <c r="W240" i="1"/>
  <c r="V240" i="1"/>
  <c r="F240" i="1"/>
  <c r="H240" i="1"/>
  <c r="K240" i="1"/>
  <c r="AI220" i="1"/>
  <c r="AI56" i="29" s="1"/>
  <c r="Y220" i="1"/>
  <c r="Y56" i="29" s="1"/>
  <c r="I220" i="1"/>
  <c r="I56" i="29" s="1"/>
  <c r="V220" i="1"/>
  <c r="V56" i="29" s="1"/>
  <c r="L220" i="1"/>
  <c r="L56" i="29" s="1"/>
  <c r="O220" i="1"/>
  <c r="O56" i="29" s="1"/>
  <c r="R220" i="1"/>
  <c r="R56" i="29" s="1"/>
  <c r="CA274" i="1"/>
  <c r="AG220" i="1"/>
  <c r="AG56" i="29" s="1"/>
  <c r="AF220" i="1"/>
  <c r="AF56" i="29" s="1"/>
  <c r="AK220" i="1"/>
  <c r="AK56" i="29" s="1"/>
  <c r="J220" i="1"/>
  <c r="J56" i="29" s="1"/>
  <c r="U220" i="1"/>
  <c r="U56" i="29" s="1"/>
  <c r="X220" i="1"/>
  <c r="X56" i="29" s="1"/>
  <c r="S220" i="1"/>
  <c r="S56" i="29" s="1"/>
  <c r="P220" i="1"/>
  <c r="P56" i="29" s="1"/>
  <c r="AL220" i="1"/>
  <c r="AL56" i="29" s="1"/>
  <c r="AJ220" i="1"/>
  <c r="AJ56" i="29" s="1"/>
  <c r="AD220" i="1"/>
  <c r="AD56" i="29" s="1"/>
  <c r="F220" i="1"/>
  <c r="F56" i="29" s="1"/>
  <c r="K220" i="1"/>
  <c r="K56" i="29" s="1"/>
  <c r="AC220" i="1"/>
  <c r="AC56" i="29" s="1"/>
  <c r="Z220" i="1"/>
  <c r="Z56" i="29" s="1"/>
  <c r="AB220" i="1"/>
  <c r="AB56" i="29" s="1"/>
  <c r="Q220" i="1"/>
  <c r="Q56" i="29" s="1"/>
  <c r="W220" i="1"/>
  <c r="W56" i="29" s="1"/>
  <c r="N220" i="1"/>
  <c r="N56" i="29" s="1"/>
  <c r="AA220" i="1"/>
  <c r="AA56" i="29" s="1"/>
  <c r="BY219" i="1"/>
  <c r="BU219" i="1"/>
  <c r="BR219" i="1"/>
  <c r="BV219" i="1"/>
  <c r="AS78" i="1"/>
  <c r="AS8" i="1"/>
  <c r="AT44" i="1"/>
  <c r="AT8" i="1"/>
  <c r="BG76" i="1"/>
  <c r="BF72" i="1"/>
  <c r="BF39" i="1" s="1"/>
  <c r="AQ52" i="1"/>
  <c r="AQ78" i="1"/>
  <c r="AM44" i="1"/>
  <c r="AM78" i="1"/>
  <c r="AO52" i="1"/>
  <c r="AO78" i="1"/>
  <c r="AU52" i="1"/>
  <c r="AV53" i="1" s="1"/>
  <c r="AU78" i="1"/>
  <c r="AY78" i="1" s="1"/>
  <c r="AS38" i="1"/>
  <c r="AN78" i="1"/>
  <c r="AP52" i="1"/>
  <c r="AP78" i="1"/>
  <c r="AR78" i="1"/>
  <c r="AT52" i="1"/>
  <c r="AT78" i="1"/>
  <c r="AO38" i="1"/>
  <c r="AQ44" i="1"/>
  <c r="AR38" i="1"/>
  <c r="AN38" i="1"/>
  <c r="AR44" i="1"/>
  <c r="AM52" i="1"/>
  <c r="AM38" i="1"/>
  <c r="AO44" i="1"/>
  <c r="AQ38" i="1"/>
  <c r="AS44" i="1"/>
  <c r="AP44" i="1"/>
  <c r="AU38" i="1"/>
  <c r="AP38" i="1"/>
  <c r="AU44" i="1"/>
  <c r="AT38" i="1"/>
  <c r="CB58" i="1"/>
  <c r="CB60" i="1" s="1"/>
  <c r="AY58" i="1"/>
  <c r="AY23" i="1" s="1"/>
  <c r="AU60" i="1"/>
  <c r="AU61" i="1"/>
  <c r="CA37" i="1"/>
  <c r="CB25" i="1"/>
  <c r="CA43" i="1"/>
  <c r="BZ43" i="1"/>
  <c r="BW55" i="4"/>
  <c r="BR55" i="4"/>
  <c r="CD71" i="29"/>
  <c r="AS7" i="29"/>
  <c r="AS52" i="1"/>
  <c r="AR52" i="1"/>
  <c r="AV54" i="1" s="1"/>
  <c r="AN52" i="1"/>
  <c r="AU21" i="1"/>
  <c r="CE73" i="29"/>
  <c r="AU26" i="1"/>
  <c r="CD73" i="29"/>
  <c r="CF71" i="29"/>
  <c r="CF73" i="29"/>
  <c r="AK64" i="3"/>
  <c r="CE71" i="29"/>
  <c r="BP78" i="29"/>
  <c r="BQ12" i="29"/>
  <c r="BS12" i="29"/>
  <c r="CA15" i="29"/>
  <c r="BS16" i="29"/>
  <c r="AR48" i="29"/>
  <c r="BU16" i="29"/>
  <c r="BZ8" i="29"/>
  <c r="V14" i="9"/>
  <c r="V16" i="9" s="1"/>
  <c r="BU16" i="9" s="1"/>
  <c r="BU17" i="9" s="1"/>
  <c r="CC73" i="29"/>
  <c r="CA8" i="29"/>
  <c r="I64" i="3"/>
  <c r="O192" i="1"/>
  <c r="BX104" i="1"/>
  <c r="AN45" i="3"/>
  <c r="BY104" i="1"/>
  <c r="BY105" i="1"/>
  <c r="AE64" i="3"/>
  <c r="C25" i="9"/>
  <c r="BQ24" i="9"/>
  <c r="BQ27" i="9" s="1"/>
  <c r="CA16" i="29"/>
  <c r="BT24" i="9"/>
  <c r="O25" i="9"/>
  <c r="CC71" i="29"/>
  <c r="P30" i="9"/>
  <c r="P39" i="9" s="1"/>
  <c r="I30" i="9"/>
  <c r="I39" i="9" s="1"/>
  <c r="Q189" i="1"/>
  <c r="AS48" i="29"/>
  <c r="BY103" i="1"/>
  <c r="P191" i="1"/>
  <c r="I191" i="1"/>
  <c r="Z40" i="29"/>
  <c r="BT16" i="29"/>
  <c r="P189" i="1"/>
  <c r="P190" i="1" s="1"/>
  <c r="AA49" i="29"/>
  <c r="CB71" i="29"/>
  <c r="BQ14" i="29"/>
  <c r="BR16" i="29"/>
  <c r="BY14" i="29"/>
  <c r="BZ14" i="29"/>
  <c r="BR14" i="29"/>
  <c r="BX230" i="1"/>
  <c r="CA284" i="1"/>
  <c r="AR39" i="29"/>
  <c r="BY15" i="29"/>
  <c r="CA11" i="29"/>
  <c r="AM191" i="1"/>
  <c r="BW186" i="1"/>
  <c r="BX14" i="29"/>
  <c r="BW15" i="29"/>
  <c r="CB73" i="29"/>
  <c r="AK232" i="1"/>
  <c r="CA231" i="1"/>
  <c r="BV15" i="29"/>
  <c r="AM189" i="1"/>
  <c r="AH64" i="3"/>
  <c r="AN191" i="1"/>
  <c r="CA14" i="29"/>
  <c r="BS55" i="4"/>
  <c r="BQ15" i="29"/>
  <c r="BQ105" i="1"/>
  <c r="BS14" i="29"/>
  <c r="BX15" i="29"/>
  <c r="BX262" i="1"/>
  <c r="BY229" i="1"/>
  <c r="N189" i="1"/>
  <c r="AC17" i="29"/>
  <c r="P17" i="29"/>
  <c r="T17" i="29"/>
  <c r="H17" i="29"/>
  <c r="AM7" i="29"/>
  <c r="AU7" i="29"/>
  <c r="AT17" i="29"/>
  <c r="AF17" i="29"/>
  <c r="AT7" i="29"/>
  <c r="AA17" i="29"/>
  <c r="O17" i="29"/>
  <c r="AQ7" i="29"/>
  <c r="AL17" i="29"/>
  <c r="AS17" i="29"/>
  <c r="AJ17" i="29"/>
  <c r="B17" i="29"/>
  <c r="AR17" i="29"/>
  <c r="AN7" i="29"/>
  <c r="S215" i="1"/>
  <c r="S193" i="1" s="1"/>
  <c r="S15" i="29"/>
  <c r="AD17" i="29"/>
  <c r="R17" i="29"/>
  <c r="D17" i="29"/>
  <c r="V17" i="29"/>
  <c r="AP32" i="1"/>
  <c r="AP7" i="29"/>
  <c r="E17" i="29"/>
  <c r="AG17" i="29"/>
  <c r="X17" i="29"/>
  <c r="W17" i="29"/>
  <c r="AV72" i="29"/>
  <c r="AK17" i="29"/>
  <c r="M74" i="29"/>
  <c r="M17" i="29"/>
  <c r="U17" i="29"/>
  <c r="N17" i="29"/>
  <c r="K17" i="29"/>
  <c r="AO32" i="1"/>
  <c r="AO7" i="29"/>
  <c r="AR7" i="29"/>
  <c r="AI17" i="29"/>
  <c r="AM17" i="29"/>
  <c r="G40" i="29"/>
  <c r="AJ92" i="29"/>
  <c r="AK101" i="29"/>
  <c r="BW16" i="29"/>
  <c r="BT15" i="29"/>
  <c r="AB49" i="29"/>
  <c r="BX16" i="29"/>
  <c r="AN90" i="29"/>
  <c r="AN66" i="29"/>
  <c r="AT66" i="29"/>
  <c r="AP66" i="29"/>
  <c r="AQ90" i="29"/>
  <c r="AQ66" i="29"/>
  <c r="AR66" i="29"/>
  <c r="Q40" i="29"/>
  <c r="AS90" i="29"/>
  <c r="AS66" i="29"/>
  <c r="AO90" i="29"/>
  <c r="AO66" i="29"/>
  <c r="AU66" i="29"/>
  <c r="C49" i="29"/>
  <c r="Q49" i="29"/>
  <c r="K40" i="29"/>
  <c r="AA40" i="29"/>
  <c r="AA55" i="29"/>
  <c r="BS39" i="29"/>
  <c r="AL40" i="29"/>
  <c r="BR12" i="29"/>
  <c r="AI49" i="29"/>
  <c r="Z49" i="29"/>
  <c r="BY16" i="29"/>
  <c r="Y49" i="29"/>
  <c r="BV16" i="29"/>
  <c r="R49" i="29"/>
  <c r="BR39" i="29"/>
  <c r="R55" i="29"/>
  <c r="BQ39" i="29"/>
  <c r="M101" i="29"/>
  <c r="F101" i="29"/>
  <c r="BY38" i="29"/>
  <c r="BW65" i="29"/>
  <c r="BZ15" i="29"/>
  <c r="BV39" i="29"/>
  <c r="S49" i="29"/>
  <c r="AH49" i="29"/>
  <c r="BW14" i="29"/>
  <c r="G55" i="29"/>
  <c r="BQ16" i="29"/>
  <c r="H49" i="29"/>
  <c r="BU39" i="29"/>
  <c r="E108" i="29"/>
  <c r="K49" i="29"/>
  <c r="F92" i="29"/>
  <c r="BX12" i="29"/>
  <c r="BT12" i="29"/>
  <c r="B108" i="29"/>
  <c r="AB40" i="29"/>
  <c r="J92" i="29"/>
  <c r="R92" i="29"/>
  <c r="AB55" i="29"/>
  <c r="AM101" i="29"/>
  <c r="E101" i="29"/>
  <c r="AF40" i="29"/>
  <c r="P49" i="29"/>
  <c r="BZ39" i="29"/>
  <c r="P40" i="29"/>
  <c r="AC49" i="29"/>
  <c r="S40" i="29"/>
  <c r="BT39" i="29"/>
  <c r="H92" i="29"/>
  <c r="BW39" i="29"/>
  <c r="BW12" i="29"/>
  <c r="M49" i="29"/>
  <c r="AG40" i="29"/>
  <c r="AC55" i="29"/>
  <c r="BX39" i="29"/>
  <c r="O40" i="29"/>
  <c r="X49" i="29"/>
  <c r="BY39" i="29"/>
  <c r="J49" i="29"/>
  <c r="AC40" i="29"/>
  <c r="BT14" i="29"/>
  <c r="BV12" i="29"/>
  <c r="AF55" i="29"/>
  <c r="BS15" i="29"/>
  <c r="L55" i="29"/>
  <c r="L49" i="29"/>
  <c r="AI40" i="29"/>
  <c r="L40" i="29"/>
  <c r="AK49" i="29"/>
  <c r="N40" i="29"/>
  <c r="AK40" i="29"/>
  <c r="W40" i="29"/>
  <c r="W55" i="29"/>
  <c r="AE40" i="29"/>
  <c r="AU99" i="29"/>
  <c r="BX90" i="29"/>
  <c r="AD100" i="29"/>
  <c r="AG91" i="29"/>
  <c r="AC91" i="29"/>
  <c r="AC100" i="29"/>
  <c r="AC108" i="29"/>
  <c r="V40" i="29"/>
  <c r="P92" i="29"/>
  <c r="V55" i="29"/>
  <c r="AP99" i="29"/>
  <c r="Q101" i="29"/>
  <c r="D49" i="29"/>
  <c r="R40" i="29"/>
  <c r="BY12" i="29"/>
  <c r="AR90" i="29"/>
  <c r="Y40" i="29"/>
  <c r="AO99" i="29"/>
  <c r="BZ63" i="29"/>
  <c r="N49" i="29"/>
  <c r="O49" i="29"/>
  <c r="P101" i="29"/>
  <c r="AN99" i="29"/>
  <c r="AU90" i="29"/>
  <c r="AP90" i="29"/>
  <c r="AT90" i="29"/>
  <c r="AR99" i="29"/>
  <c r="AT99" i="29"/>
  <c r="AJ40" i="29"/>
  <c r="G49" i="29"/>
  <c r="AQ99" i="29"/>
  <c r="J40" i="29"/>
  <c r="AF108" i="29"/>
  <c r="CA63" i="29"/>
  <c r="BX38" i="29"/>
  <c r="U40" i="29"/>
  <c r="AS99" i="29"/>
  <c r="M40" i="29"/>
  <c r="I49" i="29"/>
  <c r="BR90" i="29"/>
  <c r="I40" i="29"/>
  <c r="V49" i="29"/>
  <c r="X101" i="29"/>
  <c r="W49" i="29"/>
  <c r="BV38" i="29"/>
  <c r="K101" i="29"/>
  <c r="E49" i="29"/>
  <c r="BW38" i="29"/>
  <c r="U49" i="29"/>
  <c r="AL55" i="29"/>
  <c r="Q55" i="29"/>
  <c r="T49" i="29"/>
  <c r="X40" i="29"/>
  <c r="BW90" i="29"/>
  <c r="BU38" i="29"/>
  <c r="BU12" i="29"/>
  <c r="AH40" i="29"/>
  <c r="BQ66" i="29"/>
  <c r="BV90" i="29"/>
  <c r="AE49" i="29"/>
  <c r="AE101" i="29"/>
  <c r="H40" i="29"/>
  <c r="AL49" i="29"/>
  <c r="T40" i="29"/>
  <c r="BU90" i="29"/>
  <c r="AJ49" i="29"/>
  <c r="F40" i="29"/>
  <c r="AF49" i="29"/>
  <c r="AI55" i="29"/>
  <c r="F49" i="29"/>
  <c r="F55" i="29"/>
  <c r="AD40" i="29"/>
  <c r="AD49" i="29"/>
  <c r="AG49" i="29"/>
  <c r="AF101" i="29"/>
  <c r="D101" i="29"/>
  <c r="BY90" i="29"/>
  <c r="N92" i="29"/>
  <c r="BT66" i="29"/>
  <c r="C101" i="29"/>
  <c r="BS90" i="29"/>
  <c r="BT90" i="29"/>
  <c r="BR66" i="29"/>
  <c r="W101" i="29"/>
  <c r="O108" i="29"/>
  <c r="AH92" i="29"/>
  <c r="T92" i="29"/>
  <c r="I92" i="29"/>
  <c r="V101" i="29"/>
  <c r="AL108" i="29"/>
  <c r="J101" i="29"/>
  <c r="O101" i="29"/>
  <c r="AH101" i="29"/>
  <c r="AD108" i="29"/>
  <c r="AF92" i="29"/>
  <c r="AG101" i="29"/>
  <c r="U101" i="29"/>
  <c r="BR104" i="1"/>
  <c r="BR105" i="1"/>
  <c r="AK92" i="29"/>
  <c r="T64" i="3"/>
  <c r="AM31" i="1"/>
  <c r="V27" i="9"/>
  <c r="V29" i="9" s="1"/>
  <c r="AJ64" i="3"/>
  <c r="AQ25" i="9"/>
  <c r="AC64" i="3"/>
  <c r="AF238" i="1"/>
  <c r="CA24" i="9"/>
  <c r="CA27" i="9" s="1"/>
  <c r="BV34" i="3"/>
  <c r="M27" i="9"/>
  <c r="M29" i="9" s="1"/>
  <c r="M30" i="9" s="1"/>
  <c r="M39" i="9" s="1"/>
  <c r="Y92" i="29"/>
  <c r="I189" i="1"/>
  <c r="BR103" i="1"/>
  <c r="BS264" i="1"/>
  <c r="AL101" i="29"/>
  <c r="BW219" i="1"/>
  <c r="AK108" i="29"/>
  <c r="T30" i="9"/>
  <c r="T39" i="9" s="1"/>
  <c r="BU15" i="9"/>
  <c r="BW188" i="1"/>
  <c r="U108" i="29"/>
  <c r="BY188" i="1"/>
  <c r="BY189" i="1" s="1"/>
  <c r="AK238" i="1"/>
  <c r="BW270" i="1"/>
  <c r="BY262" i="1"/>
  <c r="AP31" i="1"/>
  <c r="I238" i="1"/>
  <c r="H238" i="1"/>
  <c r="BW105" i="1"/>
  <c r="BW103" i="1"/>
  <c r="BW104" i="1"/>
  <c r="BX103" i="1"/>
  <c r="U192" i="1"/>
  <c r="BZ266" i="1"/>
  <c r="BX266" i="1"/>
  <c r="AE238" i="1"/>
  <c r="BX229" i="1"/>
  <c r="BT103" i="1"/>
  <c r="BT104" i="1"/>
  <c r="BT105" i="1"/>
  <c r="BS104" i="1"/>
  <c r="BS105" i="1"/>
  <c r="BS103" i="1"/>
  <c r="BW264" i="1"/>
  <c r="BV105" i="1"/>
  <c r="BV104" i="1"/>
  <c r="BV103" i="1"/>
  <c r="AQ189" i="1"/>
  <c r="BX215" i="1"/>
  <c r="BX193" i="1" s="1"/>
  <c r="BX226" i="1"/>
  <c r="BX225" i="1"/>
  <c r="AE232" i="1"/>
  <c r="AD191" i="1"/>
  <c r="I232" i="1"/>
  <c r="BY230" i="1"/>
  <c r="AH238" i="1"/>
  <c r="BU104" i="1"/>
  <c r="BU103" i="1"/>
  <c r="BU105" i="1"/>
  <c r="T236" i="1"/>
  <c r="BX264" i="1"/>
  <c r="BT230" i="1"/>
  <c r="AQ192" i="1"/>
  <c r="K238" i="1"/>
  <c r="BS231" i="1"/>
  <c r="AL189" i="1"/>
  <c r="S225" i="1"/>
  <c r="S236" i="1"/>
  <c r="R192" i="1"/>
  <c r="AT32" i="1"/>
  <c r="BW215" i="1"/>
  <c r="BW193" i="1" s="1"/>
  <c r="AH232" i="1"/>
  <c r="S270" i="1"/>
  <c r="CA272" i="1"/>
  <c r="BS270" i="1"/>
  <c r="AL232" i="1"/>
  <c r="BU213" i="1"/>
  <c r="BU270" i="1" s="1"/>
  <c r="AL238" i="1"/>
  <c r="N191" i="1"/>
  <c r="AM238" i="1"/>
  <c r="AU31" i="1"/>
  <c r="CA186" i="1"/>
  <c r="H232" i="1"/>
  <c r="BT264" i="1"/>
  <c r="K192" i="1"/>
  <c r="BS230" i="1"/>
  <c r="AP232" i="1"/>
  <c r="S264" i="1"/>
  <c r="AM32" i="1"/>
  <c r="BR226" i="1"/>
  <c r="U238" i="1"/>
  <c r="BX224" i="1"/>
  <c r="BP195" i="1"/>
  <c r="AB64" i="3"/>
  <c r="AN31" i="1"/>
  <c r="U191" i="1"/>
  <c r="W230" i="1"/>
  <c r="BR266" i="1"/>
  <c r="Q238" i="1"/>
  <c r="BT225" i="1"/>
  <c r="BT270" i="1"/>
  <c r="BV29" i="9"/>
  <c r="AH45" i="3"/>
  <c r="BZ91" i="29"/>
  <c r="AL92" i="29"/>
  <c r="AI101" i="29"/>
  <c r="AH108" i="29"/>
  <c r="AI232" i="1"/>
  <c r="M191" i="1"/>
  <c r="CB36" i="3"/>
  <c r="BR186" i="1"/>
  <c r="M108" i="29"/>
  <c r="Q92" i="29"/>
  <c r="N101" i="29"/>
  <c r="M92" i="29"/>
  <c r="BV91" i="29"/>
  <c r="AB101" i="29"/>
  <c r="AA108" i="29"/>
  <c r="AE92" i="29"/>
  <c r="Q192" i="1"/>
  <c r="H101" i="29"/>
  <c r="G108" i="29"/>
  <c r="G92" i="29"/>
  <c r="K92" i="29"/>
  <c r="BY91" i="29"/>
  <c r="CA91" i="29"/>
  <c r="V238" i="1"/>
  <c r="BV266" i="1"/>
  <c r="BY231" i="1"/>
  <c r="BY25" i="9"/>
  <c r="K189" i="1"/>
  <c r="O190" i="1" s="1"/>
  <c r="BS91" i="29"/>
  <c r="X189" i="1"/>
  <c r="AM232" i="1"/>
  <c r="V232" i="1"/>
  <c r="AF191" i="1"/>
  <c r="BR91" i="29"/>
  <c r="G101" i="29"/>
  <c r="BW24" i="9"/>
  <c r="AA27" i="9"/>
  <c r="AA29" i="9" s="1"/>
  <c r="BW29" i="9" s="1"/>
  <c r="AA25" i="9"/>
  <c r="S101" i="29"/>
  <c r="V92" i="29"/>
  <c r="R108" i="29"/>
  <c r="O92" i="29"/>
  <c r="K108" i="29"/>
  <c r="L101" i="29"/>
  <c r="AE25" i="9"/>
  <c r="BS266" i="1"/>
  <c r="BY226" i="1"/>
  <c r="BY66" i="29"/>
  <c r="Q191" i="1"/>
  <c r="AX9" i="3"/>
  <c r="S92" i="29"/>
  <c r="S108" i="29"/>
  <c r="W92" i="29"/>
  <c r="T101" i="29"/>
  <c r="BX66" i="29"/>
  <c r="AB92" i="29"/>
  <c r="X108" i="29"/>
  <c r="Y101" i="29"/>
  <c r="X92" i="29"/>
  <c r="BT91" i="29"/>
  <c r="BS66" i="29"/>
  <c r="Z108" i="29"/>
  <c r="AD92" i="29"/>
  <c r="AA101" i="29"/>
  <c r="Z101" i="29"/>
  <c r="T192" i="1"/>
  <c r="AA191" i="1"/>
  <c r="AY36" i="3"/>
  <c r="AI238" i="1"/>
  <c r="N232" i="1"/>
  <c r="AA92" i="29"/>
  <c r="BU66" i="29"/>
  <c r="AN189" i="1"/>
  <c r="AI108" i="29"/>
  <c r="AM92" i="29"/>
  <c r="AI92" i="29"/>
  <c r="AJ101" i="29"/>
  <c r="R191" i="1"/>
  <c r="AR32" i="1"/>
  <c r="AJ232" i="1"/>
  <c r="BS14" i="9"/>
  <c r="BS17" i="9" s="1"/>
  <c r="BZ231" i="1"/>
  <c r="BR230" i="1"/>
  <c r="CB7" i="4"/>
  <c r="X192" i="1"/>
  <c r="Z92" i="29"/>
  <c r="BT34" i="3"/>
  <c r="BS24" i="9"/>
  <c r="K27" i="9"/>
  <c r="K29" i="9" s="1"/>
  <c r="S230" i="1"/>
  <c r="BZ30" i="1"/>
  <c r="U30" i="9"/>
  <c r="U39" i="9" s="1"/>
  <c r="K17" i="9"/>
  <c r="K19" i="9" s="1"/>
  <c r="K22" i="9" s="1"/>
  <c r="AG191" i="1"/>
  <c r="BQ225" i="1"/>
  <c r="BU272" i="1"/>
  <c r="G232" i="1"/>
  <c r="BV226" i="1"/>
  <c r="K25" i="9"/>
  <c r="AJ238" i="1"/>
  <c r="M192" i="1"/>
  <c r="AS31" i="1"/>
  <c r="CA230" i="1"/>
  <c r="D238" i="1"/>
  <c r="Q108" i="29"/>
  <c r="R101" i="29"/>
  <c r="U92" i="29"/>
  <c r="BU91" i="29"/>
  <c r="H108" i="29"/>
  <c r="L92" i="29"/>
  <c r="I101" i="29"/>
  <c r="BV66" i="29"/>
  <c r="AG238" i="1"/>
  <c r="BR189" i="1"/>
  <c r="BR192" i="1"/>
  <c r="BP72" i="4"/>
  <c r="CB24" i="9"/>
  <c r="AU25" i="9"/>
  <c r="BX186" i="1"/>
  <c r="AS45" i="3"/>
  <c r="BX231" i="1"/>
  <c r="BT272" i="1"/>
  <c r="AF192" i="1"/>
  <c r="AB189" i="1"/>
  <c r="AB192" i="1"/>
  <c r="BV262" i="1"/>
  <c r="AT189" i="1"/>
  <c r="CE7" i="4"/>
  <c r="AR232" i="1"/>
  <c r="AR31" i="1"/>
  <c r="Z232" i="1"/>
  <c r="AC191" i="1"/>
  <c r="AQ32" i="1"/>
  <c r="E30" i="9"/>
  <c r="E39" i="9" s="1"/>
  <c r="BS186" i="1"/>
  <c r="BZ186" i="1"/>
  <c r="L232" i="1"/>
  <c r="BY215" i="1"/>
  <c r="BY193" i="1" s="1"/>
  <c r="BR215" i="1"/>
  <c r="BR193" i="1" s="1"/>
  <c r="AR238" i="1"/>
  <c r="C238" i="1"/>
  <c r="AU27" i="9"/>
  <c r="AU29" i="9" s="1"/>
  <c r="BW229" i="1"/>
  <c r="BW262" i="1"/>
  <c r="AT45" i="3"/>
  <c r="CA34" i="3"/>
  <c r="AO31" i="1"/>
  <c r="U232" i="1"/>
  <c r="BQ270" i="1"/>
  <c r="L238" i="1"/>
  <c r="BY264" i="1"/>
  <c r="BR262" i="1"/>
  <c r="AP189" i="1"/>
  <c r="AE192" i="1"/>
  <c r="R238" i="1"/>
  <c r="AS192" i="1"/>
  <c r="AC17" i="9"/>
  <c r="AC19" i="9" s="1"/>
  <c r="AC22" i="9" s="1"/>
  <c r="AC30" i="9" s="1"/>
  <c r="AC39" i="9" s="1"/>
  <c r="N30" i="9"/>
  <c r="N39" i="9" s="1"/>
  <c r="BS15" i="9"/>
  <c r="BT29" i="9"/>
  <c r="H64" i="3"/>
  <c r="X232" i="1"/>
  <c r="AG192" i="1"/>
  <c r="AU32" i="1"/>
  <c r="BQ264" i="1"/>
  <c r="AQ31" i="1"/>
  <c r="CA48" i="1"/>
  <c r="BZ188" i="1"/>
  <c r="BR270" i="1"/>
  <c r="BR225" i="1"/>
  <c r="CA260" i="1"/>
  <c r="BW226" i="1"/>
  <c r="CF7" i="4"/>
  <c r="BW231" i="1"/>
  <c r="BV224" i="1"/>
  <c r="BY185" i="1"/>
  <c r="AL191" i="1"/>
  <c r="AK189" i="1"/>
  <c r="BX188" i="1"/>
  <c r="BX189" i="1" s="1"/>
  <c r="O238" i="1"/>
  <c r="AS32" i="1"/>
  <c r="BW266" i="1"/>
  <c r="F27" i="9"/>
  <c r="F29" i="9" s="1"/>
  <c r="F30" i="9" s="1"/>
  <c r="F39" i="9" s="1"/>
  <c r="AO189" i="1"/>
  <c r="CA188" i="1"/>
  <c r="CA189" i="1" s="1"/>
  <c r="BU266" i="1"/>
  <c r="BR185" i="1"/>
  <c r="CA270" i="1"/>
  <c r="G64" i="3"/>
  <c r="BV231" i="1"/>
  <c r="AN32" i="1"/>
  <c r="R232" i="1"/>
  <c r="BW224" i="1"/>
  <c r="O232" i="1"/>
  <c r="C30" i="9"/>
  <c r="C39" i="9" s="1"/>
  <c r="C38" i="9" s="1"/>
  <c r="K232" i="1"/>
  <c r="AT192" i="1"/>
  <c r="AQ191" i="1"/>
  <c r="T189" i="1"/>
  <c r="AP192" i="1"/>
  <c r="BY270" i="1"/>
  <c r="AB191" i="1"/>
  <c r="BT262" i="1"/>
  <c r="BY225" i="1"/>
  <c r="AU238" i="1"/>
  <c r="AX38" i="3"/>
  <c r="BX185" i="1"/>
  <c r="AO192" i="1"/>
  <c r="AK45" i="3"/>
  <c r="BS225" i="1"/>
  <c r="U189" i="1"/>
  <c r="V191" i="1"/>
  <c r="O30" i="9"/>
  <c r="O39" i="9" s="1"/>
  <c r="BT22" i="9"/>
  <c r="X238" i="1"/>
  <c r="K191" i="1"/>
  <c r="J189" i="1"/>
  <c r="J192" i="1"/>
  <c r="W64" i="3"/>
  <c r="J191" i="1"/>
  <c r="N192" i="1"/>
  <c r="BT219" i="1"/>
  <c r="AT31" i="1"/>
  <c r="V74" i="29"/>
  <c r="AE189" i="1"/>
  <c r="CA262" i="1"/>
  <c r="W191" i="1"/>
  <c r="X191" i="1"/>
  <c r="W189" i="1"/>
  <c r="AS238" i="1"/>
  <c r="W238" i="1"/>
  <c r="AX26" i="3"/>
  <c r="AM27" i="9"/>
  <c r="AM29" i="9" s="1"/>
  <c r="BZ24" i="9"/>
  <c r="BW272" i="1"/>
  <c r="AI191" i="1"/>
  <c r="AH189" i="1"/>
  <c r="AL192" i="1"/>
  <c r="AN238" i="1"/>
  <c r="AN232" i="1"/>
  <c r="AU189" i="1"/>
  <c r="AU192" i="1"/>
  <c r="AU191" i="1"/>
  <c r="AR45" i="3"/>
  <c r="AN27" i="9"/>
  <c r="AN29" i="9" s="1"/>
  <c r="AN25" i="9"/>
  <c r="BQ272" i="1"/>
  <c r="BS224" i="1"/>
  <c r="BS229" i="1"/>
  <c r="BS262" i="1"/>
  <c r="AH191" i="1"/>
  <c r="AS232" i="1"/>
  <c r="AH192" i="1"/>
  <c r="BT229" i="1"/>
  <c r="AI192" i="1"/>
  <c r="BZ230" i="1"/>
  <c r="BZ264" i="1"/>
  <c r="CA185" i="1"/>
  <c r="AO238" i="1"/>
  <c r="BS215" i="1"/>
  <c r="BS193" i="1" s="1"/>
  <c r="AT238" i="1"/>
  <c r="AP238" i="1"/>
  <c r="AO232" i="1"/>
  <c r="CD7" i="4"/>
  <c r="N64" i="3"/>
  <c r="AU232" i="1"/>
  <c r="AA192" i="1"/>
  <c r="AA238" i="1"/>
  <c r="AD232" i="1"/>
  <c r="AQ232" i="1"/>
  <c r="AX30" i="3"/>
  <c r="AT27" i="9"/>
  <c r="AT29" i="9" s="1"/>
  <c r="CA29" i="9" s="1"/>
  <c r="AT25" i="9"/>
  <c r="AI189" i="1"/>
  <c r="AJ191" i="1"/>
  <c r="AM192" i="1"/>
  <c r="AA232" i="1"/>
  <c r="AG190" i="1"/>
  <c r="AT74" i="29"/>
  <c r="AP191" i="1"/>
  <c r="BS188" i="1"/>
  <c r="BS192" i="1" s="1"/>
  <c r="H190" i="1"/>
  <c r="CA215" i="1"/>
  <c r="CA193" i="1" s="1"/>
  <c r="BZ185" i="1"/>
  <c r="BQ192" i="1"/>
  <c r="AE191" i="1"/>
  <c r="AN192" i="1"/>
  <c r="AK191" i="1"/>
  <c r="AJ189" i="1"/>
  <c r="AJ192" i="1"/>
  <c r="BU186" i="1"/>
  <c r="BU188" i="1"/>
  <c r="E238" i="1"/>
  <c r="AD192" i="1"/>
  <c r="Z189" i="1"/>
  <c r="CB11" i="3"/>
  <c r="AY11" i="3"/>
  <c r="G27" i="9"/>
  <c r="G29" i="9" s="1"/>
  <c r="G25" i="9"/>
  <c r="BR24" i="9"/>
  <c r="P238" i="1"/>
  <c r="Y238" i="1"/>
  <c r="AO191" i="1"/>
  <c r="AX31" i="3"/>
  <c r="AY12" i="3"/>
  <c r="CB12" i="3"/>
  <c r="CA264" i="1"/>
  <c r="S189" i="1"/>
  <c r="W192" i="1"/>
  <c r="S191" i="1"/>
  <c r="T191" i="1"/>
  <c r="AY40" i="3"/>
  <c r="CB40" i="3"/>
  <c r="CA30" i="1"/>
  <c r="BS185" i="1"/>
  <c r="M232" i="1"/>
  <c r="J238" i="1"/>
  <c r="BS219" i="1"/>
  <c r="AX63" i="3"/>
  <c r="AW19" i="3"/>
  <c r="Y232" i="1"/>
  <c r="P232" i="1"/>
  <c r="T232" i="1"/>
  <c r="BQ219" i="1"/>
  <c r="AE45" i="3"/>
  <c r="BQ190" i="1"/>
  <c r="N238" i="1"/>
  <c r="M238" i="1"/>
  <c r="BR34" i="3"/>
  <c r="BT15" i="9"/>
  <c r="Q232" i="1"/>
  <c r="D30" i="9"/>
  <c r="D39" i="9" s="1"/>
  <c r="BV27" i="9"/>
  <c r="BV25" i="9"/>
  <c r="J17" i="9"/>
  <c r="J19" i="9" s="1"/>
  <c r="J15" i="9"/>
  <c r="BR15" i="9" s="1"/>
  <c r="AW26" i="9"/>
  <c r="AX24" i="9" s="1"/>
  <c r="Y25" i="9"/>
  <c r="BT19" i="9"/>
  <c r="BT18" i="9" s="1"/>
  <c r="AV27" i="9"/>
  <c r="AV29" i="9" s="1"/>
  <c r="S64" i="3"/>
  <c r="B64" i="3"/>
  <c r="F64" i="3"/>
  <c r="BX27" i="9"/>
  <c r="BX25" i="9"/>
  <c r="R30" i="9"/>
  <c r="R39" i="9" s="1"/>
  <c r="S27" i="9"/>
  <c r="S29" i="9" s="1"/>
  <c r="S25" i="9"/>
  <c r="BU24" i="9"/>
  <c r="AX33" i="3"/>
  <c r="AY17" i="3"/>
  <c r="CB17" i="3"/>
  <c r="AX58" i="3"/>
  <c r="BP48" i="3"/>
  <c r="AL45" i="3"/>
  <c r="BY34" i="3"/>
  <c r="AQ45" i="3"/>
  <c r="B21" i="3"/>
  <c r="U34" i="3"/>
  <c r="L22" i="9"/>
  <c r="L30" i="9" s="1"/>
  <c r="L39" i="9" s="1"/>
  <c r="AP45" i="3"/>
  <c r="BZ34" i="3"/>
  <c r="AK25" i="9"/>
  <c r="AK27" i="9"/>
  <c r="AK29" i="9" s="1"/>
  <c r="BY29" i="9" s="1"/>
  <c r="BY28" i="9" s="1"/>
  <c r="AQ17" i="9"/>
  <c r="AQ19" i="9" s="1"/>
  <c r="AQ22" i="9" s="1"/>
  <c r="AQ30" i="9" s="1"/>
  <c r="AQ39" i="9" s="1"/>
  <c r="AD16" i="9"/>
  <c r="AD17" i="9" s="1"/>
  <c r="AD19" i="9" s="1"/>
  <c r="AD22" i="9" s="1"/>
  <c r="AD30" i="9" s="1"/>
  <c r="AD39" i="9" s="1"/>
  <c r="AU64" i="3"/>
  <c r="AT64" i="3"/>
  <c r="BZ215" i="1"/>
  <c r="BZ193" i="1" s="1"/>
  <c r="BZ262" i="1"/>
  <c r="CA229" i="1"/>
  <c r="BZ229" i="1"/>
  <c r="BR272" i="1"/>
  <c r="BV272" i="1"/>
  <c r="F238" i="1"/>
  <c r="F74" i="29"/>
  <c r="F232" i="1"/>
  <c r="G238" i="1"/>
  <c r="J232" i="1"/>
  <c r="AN74" i="29"/>
  <c r="L190" i="1"/>
  <c r="BZ272" i="1"/>
  <c r="BT185" i="1"/>
  <c r="BT188" i="1"/>
  <c r="BT186" i="1"/>
  <c r="BU185" i="1"/>
  <c r="CC7" i="4"/>
  <c r="BS272" i="1"/>
  <c r="BX272" i="1"/>
  <c r="J64" i="3"/>
  <c r="AE74" i="29"/>
  <c r="BV229" i="1"/>
  <c r="BU262" i="1"/>
  <c r="BU224" i="1"/>
  <c r="Z191" i="1"/>
  <c r="Y191" i="1"/>
  <c r="AC192" i="1"/>
  <c r="Y189" i="1"/>
  <c r="Y192" i="1"/>
  <c r="AC238" i="1"/>
  <c r="AB238" i="1"/>
  <c r="AF232" i="1"/>
  <c r="BU229" i="1"/>
  <c r="BT266" i="1"/>
  <c r="BT226" i="1"/>
  <c r="BT231" i="1"/>
  <c r="BT215" i="1"/>
  <c r="BT193" i="1" s="1"/>
  <c r="BU231" i="1"/>
  <c r="AD238" i="1"/>
  <c r="AG232" i="1"/>
  <c r="Z238" i="1"/>
  <c r="AC232" i="1"/>
  <c r="AT232" i="1"/>
  <c r="AQ238" i="1"/>
  <c r="L74" i="29"/>
  <c r="BV264" i="1"/>
  <c r="BV215" i="1"/>
  <c r="BV193" i="1" s="1"/>
  <c r="BV225" i="1"/>
  <c r="BV270" i="1"/>
  <c r="BW230" i="1"/>
  <c r="BY272" i="1"/>
  <c r="BV186" i="1"/>
  <c r="BV188" i="1"/>
  <c r="BW185" i="1"/>
  <c r="BV185" i="1"/>
  <c r="BQ229" i="1"/>
  <c r="BR229" i="1"/>
  <c r="BQ224" i="1"/>
  <c r="BQ262" i="1"/>
  <c r="AR189" i="1"/>
  <c r="AV190" i="1" s="1"/>
  <c r="AR191" i="1"/>
  <c r="AR192" i="1"/>
  <c r="AS191" i="1"/>
  <c r="BQ231" i="1"/>
  <c r="BQ226" i="1"/>
  <c r="BQ266" i="1"/>
  <c r="BR231" i="1"/>
  <c r="BQ215" i="1"/>
  <c r="BQ193" i="1" s="1"/>
  <c r="AL64" i="3"/>
  <c r="BX219" i="1"/>
  <c r="AB232" i="1"/>
  <c r="BC52" i="3"/>
  <c r="BV107" i="3" l="1"/>
  <c r="BQ106" i="3"/>
  <c r="N109" i="29"/>
  <c r="BY107" i="3"/>
  <c r="BY106" i="3"/>
  <c r="J109" i="29"/>
  <c r="BT106" i="3"/>
  <c r="BT107" i="3"/>
  <c r="CA106" i="3"/>
  <c r="T109" i="29"/>
  <c r="P109" i="29"/>
  <c r="CA107" i="3"/>
  <c r="BA270" i="1"/>
  <c r="CB114" i="3"/>
  <c r="BP58" i="4"/>
  <c r="BC94" i="3"/>
  <c r="BB270" i="1"/>
  <c r="BF270" i="1" s="1"/>
  <c r="BJ270" i="1" s="1"/>
  <c r="BN270" i="1" s="1"/>
  <c r="AY38" i="3"/>
  <c r="AY29" i="3"/>
  <c r="CB29" i="3"/>
  <c r="AZ36" i="3"/>
  <c r="AX72" i="3"/>
  <c r="AT108" i="29"/>
  <c r="L21" i="29"/>
  <c r="AJ109" i="29"/>
  <c r="BW55" i="29"/>
  <c r="F109" i="29"/>
  <c r="AN108" i="29"/>
  <c r="N21" i="29"/>
  <c r="V21" i="29"/>
  <c r="F21" i="29"/>
  <c r="Z21" i="29"/>
  <c r="I21" i="29"/>
  <c r="AT9" i="29"/>
  <c r="AT36" i="29"/>
  <c r="BU55" i="29"/>
  <c r="U21" i="29"/>
  <c r="W21" i="29"/>
  <c r="AL21" i="29"/>
  <c r="AF21" i="29"/>
  <c r="T21" i="29"/>
  <c r="G21" i="29"/>
  <c r="AK109" i="29"/>
  <c r="BT108" i="29"/>
  <c r="BY55" i="29"/>
  <c r="AC109" i="29"/>
  <c r="BX55" i="29"/>
  <c r="AI21" i="29"/>
  <c r="X21" i="29"/>
  <c r="D21" i="29"/>
  <c r="AN9" i="29"/>
  <c r="AN36" i="29"/>
  <c r="AQ9" i="29"/>
  <c r="AQ36" i="29"/>
  <c r="P21" i="29"/>
  <c r="AB21" i="29"/>
  <c r="K21" i="29"/>
  <c r="H21" i="29"/>
  <c r="Q21" i="29"/>
  <c r="G109" i="29"/>
  <c r="M109" i="29"/>
  <c r="Y109" i="29"/>
  <c r="AR9" i="29"/>
  <c r="AR36" i="29"/>
  <c r="M21" i="29"/>
  <c r="AU9" i="29"/>
  <c r="AU36" i="29"/>
  <c r="AC21" i="29"/>
  <c r="Y21" i="29"/>
  <c r="AE21" i="29"/>
  <c r="AQ92" i="29"/>
  <c r="M78" i="29"/>
  <c r="AG21" i="29"/>
  <c r="R21" i="29"/>
  <c r="B21" i="29"/>
  <c r="B30" i="29" s="1"/>
  <c r="O21" i="29"/>
  <c r="BS55" i="29"/>
  <c r="G78" i="29"/>
  <c r="G110" i="29" s="1"/>
  <c r="BV55" i="29"/>
  <c r="I109" i="29"/>
  <c r="AU108" i="29"/>
  <c r="AO9" i="29"/>
  <c r="AO36" i="29"/>
  <c r="E21" i="29"/>
  <c r="AJ21" i="29"/>
  <c r="AM9" i="29"/>
  <c r="AM36" i="29"/>
  <c r="BZ37" i="29"/>
  <c r="CA37" i="29"/>
  <c r="BQ55" i="29"/>
  <c r="J21" i="29"/>
  <c r="Z109" i="29"/>
  <c r="AS9" i="29"/>
  <c r="AS36" i="29"/>
  <c r="BZ90" i="29"/>
  <c r="AO108" i="29"/>
  <c r="AP108" i="29"/>
  <c r="AK21" i="29"/>
  <c r="AP9" i="29"/>
  <c r="AP36" i="29"/>
  <c r="AD21" i="29"/>
  <c r="AD57" i="29" s="1"/>
  <c r="AI78" i="29"/>
  <c r="BX45" i="3"/>
  <c r="BV28" i="9"/>
  <c r="CA25" i="9"/>
  <c r="BQ25" i="9"/>
  <c r="CA8" i="1"/>
  <c r="BP59" i="4"/>
  <c r="AY24" i="1"/>
  <c r="AY25" i="1"/>
  <c r="CC23" i="1"/>
  <c r="AZ24" i="1"/>
  <c r="AA92" i="3"/>
  <c r="BW68" i="3"/>
  <c r="CA113" i="3"/>
  <c r="AQ114" i="3"/>
  <c r="AI92" i="3"/>
  <c r="BY68" i="3"/>
  <c r="C92" i="3"/>
  <c r="BQ68" i="3"/>
  <c r="AE114" i="3"/>
  <c r="BX113" i="3"/>
  <c r="BY113" i="3"/>
  <c r="AI114" i="3"/>
  <c r="AE92" i="3"/>
  <c r="BX68" i="3"/>
  <c r="BW113" i="3"/>
  <c r="AA114" i="3"/>
  <c r="BV68" i="3"/>
  <c r="W92" i="3"/>
  <c r="BZ68" i="3"/>
  <c r="AM92" i="3"/>
  <c r="BQ113" i="3"/>
  <c r="C114" i="3"/>
  <c r="BS113" i="3"/>
  <c r="K114" i="3"/>
  <c r="BV113" i="3"/>
  <c r="W114" i="3"/>
  <c r="AM114" i="3"/>
  <c r="BZ113" i="3"/>
  <c r="BR68" i="3"/>
  <c r="G92" i="3"/>
  <c r="S92" i="3"/>
  <c r="BU68" i="3"/>
  <c r="K92" i="3"/>
  <c r="BS68" i="3"/>
  <c r="BT113" i="3"/>
  <c r="O114" i="3"/>
  <c r="BP113" i="3"/>
  <c r="BR113" i="3"/>
  <c r="G114" i="3"/>
  <c r="AQ92" i="3"/>
  <c r="CA68" i="3"/>
  <c r="BT68" i="3"/>
  <c r="O92" i="3"/>
  <c r="BU113" i="3"/>
  <c r="S114" i="3"/>
  <c r="U85" i="3"/>
  <c r="V85" i="3"/>
  <c r="CB72" i="3"/>
  <c r="BS29" i="9"/>
  <c r="AD52" i="4"/>
  <c r="BQ108" i="29"/>
  <c r="BR92" i="29"/>
  <c r="BP200" i="1"/>
  <c r="BP201" i="1" s="1"/>
  <c r="BP63" i="4"/>
  <c r="AT55" i="1"/>
  <c r="AM55" i="1"/>
  <c r="BZ52" i="1"/>
  <c r="AM56" i="1" s="1"/>
  <c r="AO53" i="1"/>
  <c r="AO55" i="1"/>
  <c r="AP55" i="1"/>
  <c r="AP53" i="1"/>
  <c r="AQ55" i="1"/>
  <c r="AQ53" i="1"/>
  <c r="AQ54" i="1"/>
  <c r="AN53" i="1"/>
  <c r="AN55" i="1"/>
  <c r="R245" i="1"/>
  <c r="R292" i="1"/>
  <c r="H292" i="1"/>
  <c r="H245" i="1"/>
  <c r="I245" i="1"/>
  <c r="I292" i="1"/>
  <c r="C245" i="1"/>
  <c r="C292" i="1"/>
  <c r="AJ291" i="1"/>
  <c r="AJ290" i="1" s="1"/>
  <c r="AJ28" i="29" s="1"/>
  <c r="G241" i="1"/>
  <c r="G245" i="1"/>
  <c r="G292" i="1"/>
  <c r="AA245" i="1"/>
  <c r="AA292" i="1"/>
  <c r="N245" i="1"/>
  <c r="N292" i="1"/>
  <c r="AC243" i="1"/>
  <c r="AC291" i="1"/>
  <c r="AC290" i="1" s="1"/>
  <c r="AC28" i="29" s="1"/>
  <c r="B245" i="1"/>
  <c r="B292" i="1"/>
  <c r="Y241" i="1"/>
  <c r="Y245" i="1"/>
  <c r="Y292" i="1"/>
  <c r="E245" i="1"/>
  <c r="E292" i="1"/>
  <c r="AH291" i="1"/>
  <c r="AH290" i="1" s="1"/>
  <c r="AH28" i="29" s="1"/>
  <c r="L241" i="1"/>
  <c r="L245" i="1"/>
  <c r="L292" i="1"/>
  <c r="V245" i="1"/>
  <c r="V292" i="1"/>
  <c r="AE291" i="1"/>
  <c r="AE245" i="1" s="1"/>
  <c r="AF291" i="1"/>
  <c r="AF290" i="1" s="1"/>
  <c r="AF28" i="29" s="1"/>
  <c r="X292" i="1"/>
  <c r="X245" i="1"/>
  <c r="Q245" i="1"/>
  <c r="Q292" i="1"/>
  <c r="W52" i="4"/>
  <c r="W245" i="1"/>
  <c r="W292" i="1"/>
  <c r="AI291" i="1"/>
  <c r="T245" i="1"/>
  <c r="T292" i="1"/>
  <c r="AK291" i="1"/>
  <c r="AK290" i="1" s="1"/>
  <c r="AK28" i="29" s="1"/>
  <c r="AB241" i="1"/>
  <c r="AB291" i="1"/>
  <c r="Z241" i="1"/>
  <c r="Z245" i="1"/>
  <c r="Z292" i="1"/>
  <c r="M245" i="1"/>
  <c r="M292" i="1"/>
  <c r="AG291" i="1"/>
  <c r="AG290" i="1" s="1"/>
  <c r="AG28" i="29" s="1"/>
  <c r="AD243" i="1"/>
  <c r="AD291" i="1"/>
  <c r="AD290" i="1" s="1"/>
  <c r="AD28" i="29" s="1"/>
  <c r="O245" i="1"/>
  <c r="O292" i="1"/>
  <c r="AL291" i="1"/>
  <c r="AL290" i="1" s="1"/>
  <c r="AL28" i="29" s="1"/>
  <c r="J241" i="1"/>
  <c r="J245" i="1"/>
  <c r="J292" i="1"/>
  <c r="F245" i="1"/>
  <c r="F292" i="1"/>
  <c r="K245" i="1"/>
  <c r="K292" i="1"/>
  <c r="P292" i="1"/>
  <c r="P245" i="1"/>
  <c r="U52" i="4"/>
  <c r="U245" i="1"/>
  <c r="U292" i="1"/>
  <c r="D245" i="1"/>
  <c r="D292" i="1"/>
  <c r="H201" i="1"/>
  <c r="H203" i="1"/>
  <c r="H205" i="1"/>
  <c r="N243" i="1"/>
  <c r="AF243" i="1"/>
  <c r="BR240" i="1"/>
  <c r="AR74" i="29"/>
  <c r="AM74" i="29"/>
  <c r="Z242" i="1"/>
  <c r="K243" i="1"/>
  <c r="H242" i="1"/>
  <c r="BW220" i="1"/>
  <c r="BW56" i="29" s="1"/>
  <c r="R52" i="4"/>
  <c r="BP196" i="1"/>
  <c r="AC242" i="1"/>
  <c r="X242" i="1"/>
  <c r="AA243" i="1"/>
  <c r="W241" i="1"/>
  <c r="BX240" i="1"/>
  <c r="R241" i="1"/>
  <c r="V243" i="1"/>
  <c r="AJ241" i="1"/>
  <c r="AK242" i="1"/>
  <c r="N242" i="1"/>
  <c r="Q243" i="1"/>
  <c r="M241" i="1"/>
  <c r="B241" i="1"/>
  <c r="C242" i="1"/>
  <c r="F243" i="1"/>
  <c r="AA241" i="1"/>
  <c r="AB242" i="1"/>
  <c r="AE243" i="1"/>
  <c r="S238" i="1"/>
  <c r="S240" i="1"/>
  <c r="AT223" i="1"/>
  <c r="K241" i="1"/>
  <c r="L242" i="1"/>
  <c r="O243" i="1"/>
  <c r="I241" i="1"/>
  <c r="J242" i="1"/>
  <c r="M243" i="1"/>
  <c r="AG241" i="1"/>
  <c r="AH242" i="1"/>
  <c r="AK243" i="1"/>
  <c r="P241" i="1"/>
  <c r="Q242" i="1"/>
  <c r="T243" i="1"/>
  <c r="AL242" i="1"/>
  <c r="AK241" i="1"/>
  <c r="BQ240" i="1"/>
  <c r="H241" i="1"/>
  <c r="I242" i="1"/>
  <c r="L243" i="1"/>
  <c r="AF241" i="1"/>
  <c r="AG242" i="1"/>
  <c r="AJ243" i="1"/>
  <c r="P242" i="1"/>
  <c r="O241" i="1"/>
  <c r="BW240" i="1"/>
  <c r="BW52" i="4" s="1"/>
  <c r="AA242" i="1"/>
  <c r="AS223" i="1"/>
  <c r="G242" i="1"/>
  <c r="J243" i="1"/>
  <c r="F241" i="1"/>
  <c r="AI241" i="1"/>
  <c r="AJ242" i="1"/>
  <c r="X241" i="1"/>
  <c r="Y242" i="1"/>
  <c r="AB243" i="1"/>
  <c r="K242" i="1"/>
  <c r="BV240" i="1"/>
  <c r="AC241" i="1"/>
  <c r="AD242" i="1"/>
  <c r="AG243" i="1"/>
  <c r="AE242" i="1"/>
  <c r="AH243" i="1"/>
  <c r="AD241" i="1"/>
  <c r="T241" i="1"/>
  <c r="U242" i="1"/>
  <c r="X243" i="1"/>
  <c r="AL241" i="1"/>
  <c r="P243" i="1"/>
  <c r="BY240" i="1"/>
  <c r="AH241" i="1"/>
  <c r="AI242" i="1"/>
  <c r="AL243" i="1"/>
  <c r="U241" i="1"/>
  <c r="V242" i="1"/>
  <c r="Y243" i="1"/>
  <c r="O242" i="1"/>
  <c r="R243" i="1"/>
  <c r="N241" i="1"/>
  <c r="D241" i="1"/>
  <c r="E242" i="1"/>
  <c r="H243" i="1"/>
  <c r="BS240" i="1"/>
  <c r="BS52" i="4" s="1"/>
  <c r="U243" i="1"/>
  <c r="M242" i="1"/>
  <c r="W242" i="1"/>
  <c r="Z243" i="1"/>
  <c r="V241" i="1"/>
  <c r="F242" i="1"/>
  <c r="I243" i="1"/>
  <c r="E241" i="1"/>
  <c r="BT240" i="1"/>
  <c r="AF242" i="1"/>
  <c r="AI243" i="1"/>
  <c r="AE241" i="1"/>
  <c r="C241" i="1"/>
  <c r="D242" i="1"/>
  <c r="G243" i="1"/>
  <c r="R242" i="1"/>
  <c r="BS220" i="1"/>
  <c r="BS56" i="29" s="1"/>
  <c r="BX220" i="1"/>
  <c r="BX56" i="29" s="1"/>
  <c r="BV220" i="1"/>
  <c r="BV56" i="29" s="1"/>
  <c r="BU220" i="1"/>
  <c r="BU56" i="29" s="1"/>
  <c r="BT220" i="1"/>
  <c r="BT56" i="29" s="1"/>
  <c r="BR220" i="1"/>
  <c r="BR56" i="29" s="1"/>
  <c r="BY220" i="1"/>
  <c r="BY56" i="29" s="1"/>
  <c r="BA78" i="1"/>
  <c r="BE78" i="1" s="1"/>
  <c r="BZ8" i="1"/>
  <c r="AW32" i="1"/>
  <c r="AW31" i="1"/>
  <c r="AZ78" i="1"/>
  <c r="AX30" i="1"/>
  <c r="AX8" i="1" s="1"/>
  <c r="BB78" i="1"/>
  <c r="BB30" i="1" s="1"/>
  <c r="AY30" i="1"/>
  <c r="BC78" i="1"/>
  <c r="BC30" i="1" s="1"/>
  <c r="AW7" i="29"/>
  <c r="BE39" i="1"/>
  <c r="CD72" i="1"/>
  <c r="AT54" i="1"/>
  <c r="BH76" i="1"/>
  <c r="BG72" i="1"/>
  <c r="BG39" i="1" s="1"/>
  <c r="AU55" i="1"/>
  <c r="AU53" i="1"/>
  <c r="AU54" i="1"/>
  <c r="AR55" i="1"/>
  <c r="AS55" i="1"/>
  <c r="BC58" i="1"/>
  <c r="BC23" i="1" s="1"/>
  <c r="AY59" i="1"/>
  <c r="CC58" i="1"/>
  <c r="AZ59" i="1"/>
  <c r="D64" i="3"/>
  <c r="CA52" i="1"/>
  <c r="AR56" i="1" s="1"/>
  <c r="AN226" i="1"/>
  <c r="AR224" i="1"/>
  <c r="AQ224" i="1"/>
  <c r="AM10" i="1"/>
  <c r="AS53" i="1"/>
  <c r="AS54" i="1"/>
  <c r="AT53" i="1"/>
  <c r="AR53" i="1"/>
  <c r="AR54" i="1"/>
  <c r="AR225" i="1"/>
  <c r="AR218" i="1"/>
  <c r="AR240" i="1" s="1"/>
  <c r="E52" i="4"/>
  <c r="BQ40" i="29"/>
  <c r="AR101" i="1"/>
  <c r="AR104" i="1" s="1"/>
  <c r="W14" i="9"/>
  <c r="BV14" i="9" s="1"/>
  <c r="V17" i="9"/>
  <c r="V19" i="9" s="1"/>
  <c r="BU19" i="9" s="1"/>
  <c r="BU18" i="9" s="1"/>
  <c r="AS64" i="3"/>
  <c r="AR49" i="1"/>
  <c r="AR131" i="1"/>
  <c r="AZ131" i="1" s="1"/>
  <c r="BD131" i="1" s="1"/>
  <c r="BH131" i="1" s="1"/>
  <c r="BL131" i="1" s="1"/>
  <c r="AR226" i="1"/>
  <c r="AR33" i="1"/>
  <c r="T238" i="1"/>
  <c r="R190" i="1"/>
  <c r="AU226" i="1"/>
  <c r="AU218" i="1"/>
  <c r="AU240" i="1" s="1"/>
  <c r="N190" i="1"/>
  <c r="AU33" i="1"/>
  <c r="BT40" i="29"/>
  <c r="BS40" i="29"/>
  <c r="AA52" i="4"/>
  <c r="C64" i="3"/>
  <c r="BU15" i="29"/>
  <c r="CA17" i="29"/>
  <c r="BU264" i="1"/>
  <c r="M64" i="3"/>
  <c r="BU215" i="1"/>
  <c r="BU193" i="1" s="1"/>
  <c r="AD64" i="3"/>
  <c r="S232" i="1"/>
  <c r="W232" i="1"/>
  <c r="Q190" i="1"/>
  <c r="CA7" i="29"/>
  <c r="AG64" i="3"/>
  <c r="B52" i="4"/>
  <c r="AG52" i="4"/>
  <c r="AP226" i="1"/>
  <c r="BT25" i="9"/>
  <c r="BT27" i="9"/>
  <c r="BW189" i="1"/>
  <c r="CA39" i="29"/>
  <c r="BR17" i="29"/>
  <c r="C195" i="1"/>
  <c r="C200" i="1" s="1"/>
  <c r="M190" i="1"/>
  <c r="E195" i="1"/>
  <c r="E200" i="1" s="1"/>
  <c r="M195" i="1"/>
  <c r="M200" i="1" s="1"/>
  <c r="AO33" i="1"/>
  <c r="AC52" i="4"/>
  <c r="AO195" i="1"/>
  <c r="AO200" i="1" s="1"/>
  <c r="G52" i="4"/>
  <c r="AF52" i="4"/>
  <c r="AL52" i="4"/>
  <c r="AM9" i="1"/>
  <c r="AO49" i="1"/>
  <c r="AR195" i="1"/>
  <c r="AR200" i="1" s="1"/>
  <c r="AO226" i="1"/>
  <c r="BZ7" i="29"/>
  <c r="AO131" i="1"/>
  <c r="AO101" i="1"/>
  <c r="AP64" i="3"/>
  <c r="AT33" i="1"/>
  <c r="J74" i="29"/>
  <c r="AJ74" i="29"/>
  <c r="I74" i="29"/>
  <c r="H74" i="29"/>
  <c r="S17" i="29"/>
  <c r="AC74" i="29"/>
  <c r="Q74" i="29"/>
  <c r="R74" i="29"/>
  <c r="AL74" i="29"/>
  <c r="AA74" i="29"/>
  <c r="B74" i="29"/>
  <c r="T74" i="29"/>
  <c r="Z195" i="1"/>
  <c r="Z200" i="1" s="1"/>
  <c r="Z74" i="29"/>
  <c r="AQ195" i="1"/>
  <c r="AQ200" i="1" s="1"/>
  <c r="AQ74" i="29"/>
  <c r="AH74" i="29"/>
  <c r="Y74" i="29"/>
  <c r="X74" i="29"/>
  <c r="D74" i="29"/>
  <c r="P195" i="1"/>
  <c r="P200" i="1" s="1"/>
  <c r="P74" i="29"/>
  <c r="AS74" i="29"/>
  <c r="AP74" i="29"/>
  <c r="N74" i="29"/>
  <c r="AG195" i="1"/>
  <c r="AG200" i="1" s="1"/>
  <c r="AG74" i="29"/>
  <c r="AF74" i="29"/>
  <c r="AD74" i="29"/>
  <c r="BZ66" i="29"/>
  <c r="AT101" i="29"/>
  <c r="U24" i="29"/>
  <c r="K24" i="29"/>
  <c r="J24" i="29"/>
  <c r="N24" i="29"/>
  <c r="V24" i="29"/>
  <c r="L24" i="29"/>
  <c r="O24" i="29"/>
  <c r="I24" i="29"/>
  <c r="H30" i="29"/>
  <c r="H24" i="29"/>
  <c r="Y24" i="29"/>
  <c r="T24" i="29"/>
  <c r="AI57" i="29"/>
  <c r="AI24" i="29"/>
  <c r="X57" i="29"/>
  <c r="X24" i="29"/>
  <c r="AK57" i="29"/>
  <c r="AK24" i="29"/>
  <c r="Z57" i="29"/>
  <c r="Z24" i="29"/>
  <c r="BR40" i="29"/>
  <c r="AR108" i="29"/>
  <c r="BX17" i="29"/>
  <c r="AA21" i="29"/>
  <c r="C78" i="29"/>
  <c r="C21" i="29"/>
  <c r="AQ108" i="29"/>
  <c r="BQ17" i="29"/>
  <c r="BS17" i="29"/>
  <c r="O78" i="29"/>
  <c r="AU101" i="29"/>
  <c r="BW17" i="29"/>
  <c r="X30" i="29"/>
  <c r="X42" i="29"/>
  <c r="BR55" i="29"/>
  <c r="AU92" i="29"/>
  <c r="O30" i="29"/>
  <c r="O57" i="29"/>
  <c r="AS108" i="29"/>
  <c r="BW66" i="29"/>
  <c r="AJ57" i="29"/>
  <c r="BV17" i="29"/>
  <c r="J30" i="29"/>
  <c r="BW40" i="29"/>
  <c r="K50" i="29"/>
  <c r="J57" i="29"/>
  <c r="BX91" i="29"/>
  <c r="BW91" i="29"/>
  <c r="BY17" i="29"/>
  <c r="AP92" i="29"/>
  <c r="BZ17" i="29"/>
  <c r="AR101" i="29"/>
  <c r="AH21" i="29"/>
  <c r="AO101" i="29"/>
  <c r="AS92" i="29"/>
  <c r="AO92" i="29"/>
  <c r="BX40" i="29"/>
  <c r="BT17" i="29"/>
  <c r="BY40" i="29"/>
  <c r="BU40" i="29"/>
  <c r="BT55" i="29"/>
  <c r="AK50" i="29"/>
  <c r="H57" i="29"/>
  <c r="AT92" i="29"/>
  <c r="AQ101" i="29"/>
  <c r="BV40" i="29"/>
  <c r="T30" i="29"/>
  <c r="AG109" i="29"/>
  <c r="AG92" i="29"/>
  <c r="AP109" i="29"/>
  <c r="AF109" i="29"/>
  <c r="AC92" i="29"/>
  <c r="AS101" i="29"/>
  <c r="AC101" i="29"/>
  <c r="AP101" i="29"/>
  <c r="AD101" i="29"/>
  <c r="CA90" i="29"/>
  <c r="AN92" i="29"/>
  <c r="AN101" i="29"/>
  <c r="AR92" i="29"/>
  <c r="BU92" i="29"/>
  <c r="CA66" i="29"/>
  <c r="T57" i="29"/>
  <c r="BQ92" i="29"/>
  <c r="AT12" i="29"/>
  <c r="BR108" i="29"/>
  <c r="O109" i="29"/>
  <c r="U109" i="29"/>
  <c r="AT47" i="29"/>
  <c r="AS12" i="29"/>
  <c r="Y57" i="29"/>
  <c r="AU47" i="29"/>
  <c r="Z30" i="29"/>
  <c r="AQ12" i="29"/>
  <c r="AU12" i="29"/>
  <c r="Y50" i="29"/>
  <c r="Z50" i="29"/>
  <c r="Y30" i="29"/>
  <c r="AU38" i="29"/>
  <c r="BP110" i="29"/>
  <c r="BP81" i="29"/>
  <c r="AK78" i="29"/>
  <c r="AQ38" i="29"/>
  <c r="AH109" i="29"/>
  <c r="AJ50" i="29"/>
  <c r="AK52" i="4"/>
  <c r="BZ29" i="9"/>
  <c r="K109" i="29"/>
  <c r="AO225" i="1"/>
  <c r="AA195" i="1"/>
  <c r="AA200" i="1" s="1"/>
  <c r="O64" i="3"/>
  <c r="P64" i="3"/>
  <c r="AO218" i="1"/>
  <c r="AO240" i="1" s="1"/>
  <c r="AO224" i="1"/>
  <c r="AA64" i="3"/>
  <c r="H52" i="4"/>
  <c r="Q64" i="3"/>
  <c r="BS19" i="9"/>
  <c r="BS18" i="9" s="1"/>
  <c r="BU29" i="9"/>
  <c r="AH195" i="1"/>
  <c r="AH200" i="1" s="1"/>
  <c r="AO10" i="1"/>
  <c r="BX232" i="1"/>
  <c r="AO64" i="3"/>
  <c r="I190" i="1"/>
  <c r="V64" i="3"/>
  <c r="AT131" i="1"/>
  <c r="BB131" i="1" s="1"/>
  <c r="BF131" i="1" s="1"/>
  <c r="BJ131" i="1" s="1"/>
  <c r="BN131" i="1" s="1"/>
  <c r="AT101" i="1"/>
  <c r="AQ131" i="1"/>
  <c r="AQ101" i="1"/>
  <c r="AQ226" i="1"/>
  <c r="AN9" i="1"/>
  <c r="AE52" i="4"/>
  <c r="AK195" i="1"/>
  <c r="AK200" i="1" s="1"/>
  <c r="R195" i="1"/>
  <c r="R200" i="1" s="1"/>
  <c r="AT10" i="1"/>
  <c r="AU101" i="1"/>
  <c r="AU131" i="1"/>
  <c r="AY131" i="1" s="1"/>
  <c r="BC131" i="1" s="1"/>
  <c r="BG131" i="1" s="1"/>
  <c r="BK131" i="1" s="1"/>
  <c r="AU224" i="1"/>
  <c r="AP33" i="1"/>
  <c r="AR9" i="1"/>
  <c r="AQ218" i="1"/>
  <c r="AQ240" i="1" s="1"/>
  <c r="AJ195" i="1"/>
  <c r="AJ200" i="1" s="1"/>
  <c r="AM33" i="1"/>
  <c r="AP10" i="1"/>
  <c r="AQ10" i="1"/>
  <c r="AT49" i="1"/>
  <c r="AM49" i="1"/>
  <c r="AI52" i="4"/>
  <c r="AQ225" i="1"/>
  <c r="J195" i="1"/>
  <c r="J200" i="1" s="1"/>
  <c r="AD195" i="1"/>
  <c r="AD200" i="1" s="1"/>
  <c r="AT225" i="1"/>
  <c r="BZ192" i="1"/>
  <c r="AQ190" i="1"/>
  <c r="AN33" i="1"/>
  <c r="AN101" i="1"/>
  <c r="AN131" i="1"/>
  <c r="AU10" i="1"/>
  <c r="AM101" i="1"/>
  <c r="AM131" i="1"/>
  <c r="AP101" i="1"/>
  <c r="AP131" i="1"/>
  <c r="AQ49" i="1"/>
  <c r="AT226" i="1"/>
  <c r="AM224" i="1"/>
  <c r="AU49" i="1"/>
  <c r="AP9" i="1"/>
  <c r="AS10" i="1"/>
  <c r="AS131" i="1"/>
  <c r="BA131" i="1" s="1"/>
  <c r="BE131" i="1" s="1"/>
  <c r="BI131" i="1" s="1"/>
  <c r="BM131" i="1" s="1"/>
  <c r="AS101" i="1"/>
  <c r="AP224" i="1"/>
  <c r="AU9" i="1"/>
  <c r="AQ9" i="1"/>
  <c r="AP225" i="1"/>
  <c r="AQ33" i="1"/>
  <c r="B195" i="1"/>
  <c r="B200" i="1" s="1"/>
  <c r="AU225" i="1"/>
  <c r="AY225" i="1" s="1"/>
  <c r="AP49" i="1"/>
  <c r="AP218" i="1"/>
  <c r="AP240" i="1" s="1"/>
  <c r="AN225" i="1"/>
  <c r="AH52" i="4"/>
  <c r="AM225" i="1"/>
  <c r="AO190" i="1"/>
  <c r="AS195" i="1"/>
  <c r="AS200" i="1" s="1"/>
  <c r="AM218" i="1"/>
  <c r="AM240" i="1" s="1"/>
  <c r="AM226" i="1"/>
  <c r="AN218" i="1"/>
  <c r="AN240" i="1" s="1"/>
  <c r="BZ32" i="1"/>
  <c r="X195" i="1"/>
  <c r="X200" i="1" s="1"/>
  <c r="BV230" i="1"/>
  <c r="BT30" i="9"/>
  <c r="BS22" i="9"/>
  <c r="BU230" i="1"/>
  <c r="D195" i="1"/>
  <c r="D200" i="1" s="1"/>
  <c r="BT232" i="1"/>
  <c r="BU225" i="1"/>
  <c r="AT224" i="1"/>
  <c r="AX224" i="1" s="1"/>
  <c r="AT218" i="1"/>
  <c r="AT240" i="1" s="1"/>
  <c r="M110" i="29"/>
  <c r="N30" i="29"/>
  <c r="O50" i="29"/>
  <c r="N57" i="29"/>
  <c r="V78" i="29"/>
  <c r="AT78" i="29"/>
  <c r="AI109" i="29"/>
  <c r="AM109" i="29"/>
  <c r="X109" i="29"/>
  <c r="AB109" i="29"/>
  <c r="BQ39" i="9"/>
  <c r="BQ38" i="9" s="1"/>
  <c r="BS108" i="29"/>
  <c r="BT92" i="29"/>
  <c r="S109" i="29"/>
  <c r="W109" i="29"/>
  <c r="AR47" i="29"/>
  <c r="N195" i="1"/>
  <c r="N200" i="1" s="1"/>
  <c r="BR190" i="1"/>
  <c r="V30" i="29"/>
  <c r="V57" i="29"/>
  <c r="Z42" i="29"/>
  <c r="I30" i="29"/>
  <c r="I57" i="29"/>
  <c r="J50" i="29"/>
  <c r="L50" i="29"/>
  <c r="K30" i="29"/>
  <c r="K57" i="29"/>
  <c r="O42" i="29"/>
  <c r="N42" i="29"/>
  <c r="BX192" i="1"/>
  <c r="K30" i="9"/>
  <c r="K39" i="9" s="1"/>
  <c r="BS39" i="9" s="1"/>
  <c r="CB38" i="3"/>
  <c r="AN78" i="29"/>
  <c r="AY9" i="3"/>
  <c r="CB9" i="3"/>
  <c r="I50" i="29"/>
  <c r="AM38" i="29"/>
  <c r="AM47" i="29"/>
  <c r="AM12" i="29"/>
  <c r="N52" i="4"/>
  <c r="AK190" i="1"/>
  <c r="AO78" i="29"/>
  <c r="AG50" i="29"/>
  <c r="AF57" i="29"/>
  <c r="AJ42" i="29"/>
  <c r="L30" i="29"/>
  <c r="L57" i="29"/>
  <c r="F78" i="29"/>
  <c r="Q52" i="4"/>
  <c r="BY232" i="1"/>
  <c r="O52" i="4"/>
  <c r="AF195" i="1"/>
  <c r="AF200" i="1" s="1"/>
  <c r="J52" i="4"/>
  <c r="Q109" i="29"/>
  <c r="L78" i="29"/>
  <c r="AG57" i="29"/>
  <c r="AK42" i="29"/>
  <c r="BY92" i="29"/>
  <c r="BX108" i="29"/>
  <c r="R109" i="29"/>
  <c r="V109" i="29"/>
  <c r="W78" i="29"/>
  <c r="BS92" i="29"/>
  <c r="C52" i="4"/>
  <c r="E78" i="29"/>
  <c r="U57" i="29"/>
  <c r="U30" i="29"/>
  <c r="Y42" i="29"/>
  <c r="V50" i="29"/>
  <c r="H109" i="29"/>
  <c r="L109" i="29"/>
  <c r="AD109" i="29"/>
  <c r="U50" i="29"/>
  <c r="AA109" i="29"/>
  <c r="AE109" i="29"/>
  <c r="K64" i="3"/>
  <c r="K52" i="4"/>
  <c r="U78" i="29"/>
  <c r="BV92" i="29"/>
  <c r="BU108" i="29"/>
  <c r="BY108" i="29"/>
  <c r="E57" i="29"/>
  <c r="BY192" i="1"/>
  <c r="K78" i="29"/>
  <c r="K190" i="1"/>
  <c r="AU78" i="29"/>
  <c r="L42" i="29"/>
  <c r="BW27" i="9"/>
  <c r="BW28" i="9" s="1"/>
  <c r="BW25" i="9"/>
  <c r="AE78" i="29"/>
  <c r="D52" i="4"/>
  <c r="BV108" i="29"/>
  <c r="BS25" i="9"/>
  <c r="BS27" i="9"/>
  <c r="AL109" i="29"/>
  <c r="U190" i="1"/>
  <c r="U195" i="1"/>
  <c r="U200" i="1" s="1"/>
  <c r="AM195" i="1"/>
  <c r="AM200" i="1" s="1"/>
  <c r="AM64" i="3"/>
  <c r="AT190" i="1"/>
  <c r="AS190" i="1"/>
  <c r="BZ189" i="1"/>
  <c r="AX38" i="4"/>
  <c r="Z64" i="3"/>
  <c r="AQ64" i="3"/>
  <c r="CA192" i="1"/>
  <c r="AL195" i="1"/>
  <c r="AL200" i="1" s="1"/>
  <c r="AO9" i="1"/>
  <c r="AN224" i="1"/>
  <c r="AR10" i="1"/>
  <c r="X190" i="1"/>
  <c r="T190" i="1"/>
  <c r="T52" i="4"/>
  <c r="L64" i="3"/>
  <c r="AP190" i="1"/>
  <c r="V52" i="4"/>
  <c r="AU195" i="1"/>
  <c r="AU200" i="1" s="1"/>
  <c r="CA45" i="3"/>
  <c r="BS232" i="1"/>
  <c r="AR64" i="3"/>
  <c r="K195" i="1"/>
  <c r="K200" i="1" s="1"/>
  <c r="L52" i="4"/>
  <c r="AB190" i="1"/>
  <c r="AF190" i="1"/>
  <c r="BT39" i="9"/>
  <c r="R64" i="3"/>
  <c r="AN10" i="1"/>
  <c r="BP73" i="4"/>
  <c r="AY30" i="3"/>
  <c r="CB30" i="3"/>
  <c r="U64" i="3"/>
  <c r="AS218" i="1"/>
  <c r="AS240" i="1" s="1"/>
  <c r="AS225" i="1"/>
  <c r="AS226" i="1"/>
  <c r="AS224" i="1"/>
  <c r="AS49" i="1"/>
  <c r="AS9" i="1"/>
  <c r="BX28" i="9"/>
  <c r="AU190" i="1"/>
  <c r="BR27" i="9"/>
  <c r="BR25" i="9"/>
  <c r="BU189" i="1"/>
  <c r="W190" i="1"/>
  <c r="AA190" i="1"/>
  <c r="X52" i="4"/>
  <c r="AN64" i="3"/>
  <c r="W195" i="1"/>
  <c r="W200" i="1" s="1"/>
  <c r="AS33" i="1"/>
  <c r="CA32" i="1"/>
  <c r="AT195" i="1"/>
  <c r="AT200" i="1" s="1"/>
  <c r="G30" i="9"/>
  <c r="G39" i="9" s="1"/>
  <c r="BR29" i="9"/>
  <c r="AZ40" i="3"/>
  <c r="BS189" i="1"/>
  <c r="AE190" i="1"/>
  <c r="AZ12" i="3"/>
  <c r="Z190" i="1"/>
  <c r="AD190" i="1"/>
  <c r="T195" i="1"/>
  <c r="T200" i="1" s="1"/>
  <c r="E64" i="3"/>
  <c r="Z52" i="4"/>
  <c r="AY26" i="3"/>
  <c r="CB26" i="3"/>
  <c r="AM190" i="1"/>
  <c r="AI190" i="1"/>
  <c r="J190" i="1"/>
  <c r="CA28" i="9"/>
  <c r="AY38" i="4"/>
  <c r="S190" i="1"/>
  <c r="AN190" i="1"/>
  <c r="AJ190" i="1"/>
  <c r="AZ11" i="3"/>
  <c r="AL190" i="1"/>
  <c r="AH190" i="1"/>
  <c r="AT9" i="1"/>
  <c r="AW57" i="3"/>
  <c r="AY31" i="3"/>
  <c r="CB31" i="3"/>
  <c r="BZ25" i="9"/>
  <c r="BZ27" i="9"/>
  <c r="V195" i="1"/>
  <c r="V200" i="1" s="1"/>
  <c r="M52" i="4"/>
  <c r="AY63" i="3"/>
  <c r="AX19" i="3"/>
  <c r="I52" i="4"/>
  <c r="P52" i="4"/>
  <c r="AF64" i="3"/>
  <c r="I195" i="1"/>
  <c r="I200" i="1" s="1"/>
  <c r="O195" i="1"/>
  <c r="O200" i="1" s="1"/>
  <c r="Y195" i="1"/>
  <c r="Y200" i="1" s="1"/>
  <c r="Q195" i="1"/>
  <c r="Q200" i="1" s="1"/>
  <c r="AJ58" i="4"/>
  <c r="AW27" i="9"/>
  <c r="AW29" i="9" s="1"/>
  <c r="AX26" i="9"/>
  <c r="AX27" i="9" s="1"/>
  <c r="AX29" i="9" s="1"/>
  <c r="J22" i="9"/>
  <c r="BR19" i="9"/>
  <c r="S30" i="9"/>
  <c r="S39" i="9" s="1"/>
  <c r="B46" i="3"/>
  <c r="AY58" i="3"/>
  <c r="AY33" i="3"/>
  <c r="CB33" i="3"/>
  <c r="AZ17" i="3"/>
  <c r="BZ45" i="3"/>
  <c r="BU27" i="9"/>
  <c r="BU25" i="9"/>
  <c r="BA36" i="3"/>
  <c r="BY45" i="3"/>
  <c r="AW26" i="4"/>
  <c r="AW25" i="4"/>
  <c r="AR16" i="9"/>
  <c r="AS14" i="9" s="1"/>
  <c r="AE14" i="9"/>
  <c r="BW16" i="9"/>
  <c r="L195" i="1"/>
  <c r="L200" i="1" s="1"/>
  <c r="AB195" i="1"/>
  <c r="AB200" i="1" s="1"/>
  <c r="G195" i="1"/>
  <c r="G200" i="1" s="1"/>
  <c r="AE195" i="1"/>
  <c r="AE200" i="1" s="1"/>
  <c r="BY190" i="1"/>
  <c r="BT189" i="1"/>
  <c r="BT192" i="1"/>
  <c r="BU192" i="1"/>
  <c r="F52" i="4"/>
  <c r="Y52" i="4"/>
  <c r="AN195" i="1"/>
  <c r="AN200" i="1" s="1"/>
  <c r="BW232" i="1"/>
  <c r="Y190" i="1"/>
  <c r="AC190" i="1"/>
  <c r="BR232" i="1"/>
  <c r="BQ232" i="1"/>
  <c r="BD52" i="3"/>
  <c r="AR190" i="1"/>
  <c r="BV189" i="1"/>
  <c r="BW192" i="1"/>
  <c r="BV192" i="1"/>
  <c r="AB52" i="4"/>
  <c r="F195" i="1"/>
  <c r="F200" i="1" s="1"/>
  <c r="BZ74" i="29"/>
  <c r="CA232" i="1"/>
  <c r="AI64" i="3"/>
  <c r="AP195" i="1"/>
  <c r="AP200" i="1" s="1"/>
  <c r="AC195" i="1"/>
  <c r="AC200" i="1" s="1"/>
  <c r="AI195" i="1"/>
  <c r="AI200" i="1" s="1"/>
  <c r="BZ232" i="1"/>
  <c r="H63" i="4"/>
  <c r="H196" i="1"/>
  <c r="F30" i="29" l="1"/>
  <c r="I42" i="29"/>
  <c r="M57" i="29"/>
  <c r="E30" i="29"/>
  <c r="M50" i="29"/>
  <c r="AD42" i="29"/>
  <c r="E24" i="29"/>
  <c r="F24" i="29"/>
  <c r="F42" i="29"/>
  <c r="AI42" i="29"/>
  <c r="AC42" i="29"/>
  <c r="F57" i="29"/>
  <c r="N50" i="29"/>
  <c r="AT109" i="29"/>
  <c r="M24" i="29"/>
  <c r="J42" i="29"/>
  <c r="F50" i="29"/>
  <c r="M30" i="29"/>
  <c r="M42" i="29"/>
  <c r="P57" i="29"/>
  <c r="AE57" i="29"/>
  <c r="R50" i="29"/>
  <c r="AB42" i="29"/>
  <c r="AL50" i="29"/>
  <c r="AP38" i="29"/>
  <c r="V42" i="29"/>
  <c r="AN12" i="29"/>
  <c r="AF42" i="29"/>
  <c r="AB57" i="29"/>
  <c r="B57" i="29"/>
  <c r="AL57" i="29"/>
  <c r="AO109" i="29"/>
  <c r="AN47" i="29"/>
  <c r="AN38" i="29"/>
  <c r="BG94" i="3"/>
  <c r="G58" i="4"/>
  <c r="BV114" i="3"/>
  <c r="O58" i="4"/>
  <c r="O60" i="4" s="1"/>
  <c r="BF225" i="1"/>
  <c r="BJ225" i="1" s="1"/>
  <c r="BN225" i="1" s="1"/>
  <c r="BP19" i="29"/>
  <c r="BJ224" i="1"/>
  <c r="BN224" i="1" s="1"/>
  <c r="AC58" i="4"/>
  <c r="BP65" i="4"/>
  <c r="BS114" i="3"/>
  <c r="BW114" i="3"/>
  <c r="BX114" i="3"/>
  <c r="BB226" i="1"/>
  <c r="BF226" i="1" s="1"/>
  <c r="BJ226" i="1" s="1"/>
  <c r="BN226" i="1" s="1"/>
  <c r="AG58" i="4"/>
  <c r="E58" i="4"/>
  <c r="BR114" i="3"/>
  <c r="AX92" i="3"/>
  <c r="AY310" i="1"/>
  <c r="N58" i="4"/>
  <c r="H58" i="4"/>
  <c r="BQ114" i="3"/>
  <c r="R58" i="4"/>
  <c r="BU114" i="3"/>
  <c r="BT114" i="3"/>
  <c r="BE270" i="1"/>
  <c r="BI270" i="1" s="1"/>
  <c r="BM270" i="1" s="1"/>
  <c r="D58" i="4"/>
  <c r="E60" i="4" s="1"/>
  <c r="W58" i="4"/>
  <c r="AD58" i="4"/>
  <c r="BZ114" i="3"/>
  <c r="BY114" i="3"/>
  <c r="CA114" i="3"/>
  <c r="AX57" i="3"/>
  <c r="AZ38" i="3"/>
  <c r="AZ29" i="3"/>
  <c r="AY72" i="3"/>
  <c r="AW32" i="3"/>
  <c r="BG224" i="1"/>
  <c r="BK224" i="1" s="1"/>
  <c r="AY226" i="1"/>
  <c r="BC226" i="1" s="1"/>
  <c r="BG226" i="1" s="1"/>
  <c r="BK226" i="1" s="1"/>
  <c r="BG225" i="1"/>
  <c r="BK225" i="1" s="1"/>
  <c r="AK58" i="4"/>
  <c r="AJ19" i="29"/>
  <c r="U42" i="29"/>
  <c r="AF50" i="29"/>
  <c r="L81" i="29"/>
  <c r="AN81" i="29"/>
  <c r="W50" i="29"/>
  <c r="R42" i="29"/>
  <c r="P50" i="29"/>
  <c r="AT21" i="29"/>
  <c r="AR109" i="29"/>
  <c r="W24" i="29"/>
  <c r="N78" i="29"/>
  <c r="Y78" i="29"/>
  <c r="B78" i="29"/>
  <c r="H78" i="29"/>
  <c r="X78" i="29"/>
  <c r="Q57" i="29"/>
  <c r="BU109" i="29"/>
  <c r="W81" i="29"/>
  <c r="W57" i="29"/>
  <c r="D57" i="29"/>
  <c r="K42" i="29"/>
  <c r="AP12" i="29"/>
  <c r="T42" i="29"/>
  <c r="AC57" i="29"/>
  <c r="J32" i="29"/>
  <c r="AP78" i="29"/>
  <c r="AA78" i="29"/>
  <c r="I78" i="29"/>
  <c r="BZ9" i="29"/>
  <c r="BZ12" i="29" s="1"/>
  <c r="CA36" i="29"/>
  <c r="BZ36" i="29"/>
  <c r="AG24" i="29"/>
  <c r="Q30" i="29"/>
  <c r="AU81" i="29"/>
  <c r="X50" i="29"/>
  <c r="F81" i="29"/>
  <c r="AO81" i="29"/>
  <c r="E50" i="29"/>
  <c r="Q42" i="29"/>
  <c r="AT38" i="29"/>
  <c r="G30" i="29"/>
  <c r="K43" i="29" s="1"/>
  <c r="BY21" i="29"/>
  <c r="H32" i="29"/>
  <c r="BZ92" i="29"/>
  <c r="AS78" i="29"/>
  <c r="AH78" i="29"/>
  <c r="AL78" i="29"/>
  <c r="AJ78" i="29"/>
  <c r="AM78" i="29"/>
  <c r="AM110" i="29" s="1"/>
  <c r="AI81" i="29"/>
  <c r="AJ24" i="29"/>
  <c r="AN109" i="29"/>
  <c r="G81" i="29"/>
  <c r="AC24" i="29"/>
  <c r="AS38" i="29"/>
  <c r="AO12" i="29"/>
  <c r="W30" i="29"/>
  <c r="H42" i="29"/>
  <c r="AS21" i="29"/>
  <c r="AD50" i="29"/>
  <c r="R57" i="29"/>
  <c r="AQ109" i="29"/>
  <c r="AI25" i="29"/>
  <c r="G24" i="29"/>
  <c r="AD78" i="29"/>
  <c r="AD110" i="29" s="1"/>
  <c r="AQ78" i="29"/>
  <c r="AQ102" i="29" s="1"/>
  <c r="J78" i="29"/>
  <c r="AR78" i="29"/>
  <c r="M81" i="29"/>
  <c r="AF24" i="29"/>
  <c r="T78" i="29"/>
  <c r="AO47" i="29"/>
  <c r="D30" i="29"/>
  <c r="AT81" i="29"/>
  <c r="G57" i="29"/>
  <c r="BW108" i="29"/>
  <c r="X32" i="29"/>
  <c r="AK25" i="29"/>
  <c r="P24" i="29"/>
  <c r="AF78" i="29"/>
  <c r="P78" i="29"/>
  <c r="Q78" i="29"/>
  <c r="BQ109" i="29"/>
  <c r="AD24" i="29"/>
  <c r="AP47" i="29"/>
  <c r="G50" i="29"/>
  <c r="AO38" i="29"/>
  <c r="E81" i="29"/>
  <c r="AR12" i="29"/>
  <c r="V81" i="29"/>
  <c r="P30" i="29"/>
  <c r="H50" i="29"/>
  <c r="BT21" i="29"/>
  <c r="AS109" i="29"/>
  <c r="R24" i="29"/>
  <c r="Q24" i="29"/>
  <c r="AG78" i="29"/>
  <c r="AC78" i="29"/>
  <c r="B24" i="29"/>
  <c r="AB24" i="29"/>
  <c r="AL24" i="29"/>
  <c r="O58" i="29"/>
  <c r="AE24" i="29"/>
  <c r="AE81" i="29"/>
  <c r="AS47" i="29"/>
  <c r="P42" i="29"/>
  <c r="AR38" i="29"/>
  <c r="Q50" i="29"/>
  <c r="AQ47" i="29"/>
  <c r="AU21" i="29"/>
  <c r="AE50" i="29"/>
  <c r="T58" i="29"/>
  <c r="AC50" i="29"/>
  <c r="AG42" i="29"/>
  <c r="D24" i="29"/>
  <c r="R30" i="29"/>
  <c r="D78" i="29"/>
  <c r="D102" i="29" s="1"/>
  <c r="S21" i="29"/>
  <c r="CA9" i="29"/>
  <c r="AW36" i="29"/>
  <c r="AV36" i="29"/>
  <c r="AG81" i="29"/>
  <c r="AK93" i="29"/>
  <c r="AT56" i="1"/>
  <c r="CA223" i="1"/>
  <c r="U26" i="29"/>
  <c r="W26" i="29"/>
  <c r="E26" i="29"/>
  <c r="Q26" i="29"/>
  <c r="AA26" i="29"/>
  <c r="I26" i="29"/>
  <c r="P26" i="29"/>
  <c r="M26" i="29"/>
  <c r="T26" i="29"/>
  <c r="L26" i="29"/>
  <c r="K26" i="29"/>
  <c r="B26" i="29"/>
  <c r="G26" i="29"/>
  <c r="J26" i="29"/>
  <c r="N26" i="29"/>
  <c r="V26" i="29"/>
  <c r="D26" i="29"/>
  <c r="O26" i="29"/>
  <c r="Z26" i="29"/>
  <c r="X26" i="29"/>
  <c r="H26" i="29"/>
  <c r="C26" i="29"/>
  <c r="Y26" i="29"/>
  <c r="F26" i="29"/>
  <c r="R26" i="29"/>
  <c r="U58" i="4"/>
  <c r="BC24" i="1"/>
  <c r="BC25" i="1"/>
  <c r="CD23" i="1"/>
  <c r="CD25" i="1" s="1"/>
  <c r="BD24" i="1"/>
  <c r="CC25" i="1"/>
  <c r="BP203" i="1"/>
  <c r="BR109" i="29"/>
  <c r="BP114" i="3"/>
  <c r="BK94" i="3"/>
  <c r="CB38" i="4"/>
  <c r="AX310" i="1"/>
  <c r="BS30" i="9"/>
  <c r="BP205" i="1"/>
  <c r="BP206" i="1" s="1"/>
  <c r="BZ54" i="1"/>
  <c r="AN56" i="1"/>
  <c r="AQ56" i="1"/>
  <c r="AP56" i="1"/>
  <c r="AS56" i="1"/>
  <c r="CB30" i="1"/>
  <c r="AO56" i="1"/>
  <c r="AH245" i="1"/>
  <c r="AF245" i="1"/>
  <c r="AE246" i="1"/>
  <c r="AE250" i="1"/>
  <c r="AR291" i="1"/>
  <c r="AR290" i="1" s="1"/>
  <c r="AR28" i="29" s="1"/>
  <c r="L250" i="1"/>
  <c r="L246" i="1"/>
  <c r="M247" i="1"/>
  <c r="P248" i="1"/>
  <c r="C250" i="1"/>
  <c r="C246" i="1"/>
  <c r="D247" i="1"/>
  <c r="G248" i="1"/>
  <c r="G247" i="1"/>
  <c r="J248" i="1"/>
  <c r="F246" i="1"/>
  <c r="F250" i="1"/>
  <c r="W246" i="1"/>
  <c r="X247" i="1"/>
  <c r="AA248" i="1"/>
  <c r="W250" i="1"/>
  <c r="AA250" i="1"/>
  <c r="AA246" i="1"/>
  <c r="AE248" i="1"/>
  <c r="BT245" i="1"/>
  <c r="BT292" i="1"/>
  <c r="BR241" i="1"/>
  <c r="BR245" i="1"/>
  <c r="BR292" i="1"/>
  <c r="U250" i="1"/>
  <c r="V247" i="1"/>
  <c r="Y248" i="1"/>
  <c r="U246" i="1"/>
  <c r="O246" i="1"/>
  <c r="P247" i="1"/>
  <c r="O250" i="1"/>
  <c r="M250" i="1"/>
  <c r="N247" i="1"/>
  <c r="Q248" i="1"/>
  <c r="M246" i="1"/>
  <c r="B250" i="1"/>
  <c r="B246" i="1"/>
  <c r="C247" i="1"/>
  <c r="F248" i="1"/>
  <c r="I250" i="1"/>
  <c r="I246" i="1"/>
  <c r="J247" i="1"/>
  <c r="M248" i="1"/>
  <c r="AT291" i="1"/>
  <c r="AT290" i="1" s="1"/>
  <c r="AT28" i="29" s="1"/>
  <c r="AU291" i="1"/>
  <c r="BX291" i="1"/>
  <c r="BX292" i="1" s="1"/>
  <c r="AE290" i="1"/>
  <c r="G246" i="1"/>
  <c r="H247" i="1"/>
  <c r="K248" i="1"/>
  <c r="G250" i="1"/>
  <c r="H246" i="1"/>
  <c r="I247" i="1"/>
  <c r="L248" i="1"/>
  <c r="H250" i="1"/>
  <c r="AQ291" i="1"/>
  <c r="P246" i="1"/>
  <c r="Q247" i="1"/>
  <c r="T248" i="1"/>
  <c r="P250" i="1"/>
  <c r="J250" i="1"/>
  <c r="J246" i="1"/>
  <c r="K247" i="1"/>
  <c r="N248" i="1"/>
  <c r="AD245" i="1"/>
  <c r="Z250" i="1"/>
  <c r="Z246" i="1"/>
  <c r="AA247" i="1"/>
  <c r="T250" i="1"/>
  <c r="T246" i="1"/>
  <c r="U247" i="1"/>
  <c r="X248" i="1"/>
  <c r="Q250" i="1"/>
  <c r="Q246" i="1"/>
  <c r="R247" i="1"/>
  <c r="U248" i="1"/>
  <c r="AC245" i="1"/>
  <c r="AP243" i="1"/>
  <c r="AP291" i="1"/>
  <c r="AP290" i="1" s="1"/>
  <c r="AP28" i="29" s="1"/>
  <c r="BS245" i="1"/>
  <c r="BS292" i="1"/>
  <c r="BQ245" i="1"/>
  <c r="BQ292" i="1"/>
  <c r="AI290" i="1"/>
  <c r="BY291" i="1"/>
  <c r="BY292" i="1" s="1"/>
  <c r="X246" i="1"/>
  <c r="Y247" i="1"/>
  <c r="X250" i="1"/>
  <c r="W247" i="1"/>
  <c r="Z248" i="1"/>
  <c r="V246" i="1"/>
  <c r="V250" i="1"/>
  <c r="E250" i="1"/>
  <c r="F247" i="1"/>
  <c r="I248" i="1"/>
  <c r="E246" i="1"/>
  <c r="AS291" i="1"/>
  <c r="AS290" i="1" s="1"/>
  <c r="AS28" i="29" s="1"/>
  <c r="AM243" i="1"/>
  <c r="AM291" i="1"/>
  <c r="AO243" i="1"/>
  <c r="AO291" i="1"/>
  <c r="AO290" i="1" s="1"/>
  <c r="AO28" i="29" s="1"/>
  <c r="BV245" i="1"/>
  <c r="BV292" i="1"/>
  <c r="S245" i="1"/>
  <c r="S292" i="1"/>
  <c r="BX52" i="4"/>
  <c r="BW291" i="1"/>
  <c r="BW292" i="1" s="1"/>
  <c r="AB290" i="1"/>
  <c r="R250" i="1"/>
  <c r="R246" i="1"/>
  <c r="V248" i="1"/>
  <c r="AN243" i="1"/>
  <c r="AN291" i="1"/>
  <c r="AN290" i="1" s="1"/>
  <c r="AN28" i="29" s="1"/>
  <c r="D250" i="1"/>
  <c r="E247" i="1"/>
  <c r="H248" i="1"/>
  <c r="D246" i="1"/>
  <c r="K250" i="1"/>
  <c r="K246" i="1"/>
  <c r="L247" i="1"/>
  <c r="O248" i="1"/>
  <c r="AG245" i="1"/>
  <c r="AB245" i="1"/>
  <c r="Y250" i="1"/>
  <c r="Y246" i="1"/>
  <c r="Z247" i="1"/>
  <c r="O247" i="1"/>
  <c r="R248" i="1"/>
  <c r="N246" i="1"/>
  <c r="N250" i="1"/>
  <c r="G203" i="1"/>
  <c r="G205" i="1"/>
  <c r="G201" i="1"/>
  <c r="M201" i="1"/>
  <c r="M203" i="1"/>
  <c r="M205" i="1"/>
  <c r="AP201" i="1"/>
  <c r="AP205" i="1"/>
  <c r="AP203" i="1"/>
  <c r="U201" i="1"/>
  <c r="U203" i="1"/>
  <c r="U205" i="1"/>
  <c r="AS203" i="1"/>
  <c r="AS205" i="1"/>
  <c r="AS201" i="1"/>
  <c r="AA203" i="1"/>
  <c r="AA205" i="1"/>
  <c r="AA201" i="1"/>
  <c r="AO201" i="1"/>
  <c r="AO203" i="1"/>
  <c r="AO205" i="1"/>
  <c r="E201" i="1"/>
  <c r="E205" i="1"/>
  <c r="E203" i="1"/>
  <c r="F205" i="1"/>
  <c r="F203" i="1"/>
  <c r="F201" i="1"/>
  <c r="AB203" i="1"/>
  <c r="AB205" i="1"/>
  <c r="AB201" i="1"/>
  <c r="Y201" i="1"/>
  <c r="Y205" i="1"/>
  <c r="Y203" i="1"/>
  <c r="T201" i="1"/>
  <c r="T203" i="1"/>
  <c r="T205" i="1"/>
  <c r="AT203" i="1"/>
  <c r="AT205" i="1"/>
  <c r="AT201" i="1"/>
  <c r="N201" i="1"/>
  <c r="N203" i="1"/>
  <c r="N205" i="1"/>
  <c r="H208" i="1"/>
  <c r="H206" i="1"/>
  <c r="AI203" i="1"/>
  <c r="AI205" i="1"/>
  <c r="AI201" i="1"/>
  <c r="X201" i="1"/>
  <c r="X203" i="1"/>
  <c r="X205" i="1"/>
  <c r="AD201" i="1"/>
  <c r="AD203" i="1"/>
  <c r="AD205" i="1"/>
  <c r="AG201" i="1"/>
  <c r="AG205" i="1"/>
  <c r="AG203" i="1"/>
  <c r="Q201" i="1"/>
  <c r="Q203" i="1"/>
  <c r="Q205" i="1"/>
  <c r="I201" i="1"/>
  <c r="I203" i="1"/>
  <c r="I205" i="1"/>
  <c r="AM201" i="1"/>
  <c r="AM203" i="1"/>
  <c r="AM205" i="1"/>
  <c r="B201" i="1"/>
  <c r="B203" i="1"/>
  <c r="B205" i="1"/>
  <c r="J201" i="1"/>
  <c r="J203" i="1"/>
  <c r="J205" i="1"/>
  <c r="AH205" i="1"/>
  <c r="AH201" i="1"/>
  <c r="AH203" i="1"/>
  <c r="P201" i="1"/>
  <c r="P203" i="1"/>
  <c r="P205" i="1"/>
  <c r="AQ205" i="1"/>
  <c r="AQ201" i="1"/>
  <c r="AQ203" i="1"/>
  <c r="AR203" i="1"/>
  <c r="AR205" i="1"/>
  <c r="AR201" i="1"/>
  <c r="C201" i="1"/>
  <c r="C203" i="1"/>
  <c r="C205" i="1"/>
  <c r="AE201" i="1"/>
  <c r="AE203" i="1"/>
  <c r="AE205" i="1"/>
  <c r="L201" i="1"/>
  <c r="L203" i="1"/>
  <c r="L205" i="1"/>
  <c r="O205" i="1"/>
  <c r="O201" i="1"/>
  <c r="O203" i="1"/>
  <c r="AU203" i="1"/>
  <c r="AU205" i="1"/>
  <c r="AU201" i="1"/>
  <c r="AL203" i="1"/>
  <c r="AL205" i="1"/>
  <c r="AL201" i="1"/>
  <c r="D201" i="1"/>
  <c r="D203" i="1"/>
  <c r="D205" i="1"/>
  <c r="AJ203" i="1"/>
  <c r="AJ205" i="1"/>
  <c r="AJ201" i="1"/>
  <c r="AC203" i="1"/>
  <c r="AC205" i="1"/>
  <c r="AC201" i="1"/>
  <c r="AN201" i="1"/>
  <c r="AN205" i="1"/>
  <c r="AN203" i="1"/>
  <c r="V201" i="1"/>
  <c r="V203" i="1"/>
  <c r="V205" i="1"/>
  <c r="W201" i="1"/>
  <c r="W205" i="1"/>
  <c r="W203" i="1"/>
  <c r="AF201" i="1"/>
  <c r="AF203" i="1"/>
  <c r="AF205" i="1"/>
  <c r="R203" i="1"/>
  <c r="R205" i="1"/>
  <c r="R201" i="1"/>
  <c r="Z203" i="1"/>
  <c r="Z205" i="1"/>
  <c r="Z201" i="1"/>
  <c r="K201" i="1"/>
  <c r="K203" i="1"/>
  <c r="K205" i="1"/>
  <c r="AK203" i="1"/>
  <c r="AK205" i="1"/>
  <c r="AK201" i="1"/>
  <c r="R196" i="1"/>
  <c r="AF196" i="1"/>
  <c r="P196" i="1"/>
  <c r="M196" i="1"/>
  <c r="AS63" i="4"/>
  <c r="J196" i="1"/>
  <c r="AH63" i="4"/>
  <c r="B196" i="1"/>
  <c r="S243" i="1"/>
  <c r="BR243" i="1"/>
  <c r="BQ241" i="1"/>
  <c r="BQ243" i="1"/>
  <c r="BY241" i="1"/>
  <c r="AU242" i="1"/>
  <c r="AT241" i="1"/>
  <c r="AN241" i="1"/>
  <c r="AO242" i="1"/>
  <c r="AR243" i="1"/>
  <c r="BU232" i="1"/>
  <c r="BU240" i="1"/>
  <c r="BZ223" i="1"/>
  <c r="S241" i="1"/>
  <c r="T242" i="1"/>
  <c r="W243" i="1"/>
  <c r="AO241" i="1"/>
  <c r="AP242" i="1"/>
  <c r="AS243" i="1"/>
  <c r="AU241" i="1"/>
  <c r="AR241" i="1"/>
  <c r="AS242" i="1"/>
  <c r="BT243" i="1"/>
  <c r="BS241" i="1"/>
  <c r="S242" i="1"/>
  <c r="AM242" i="1"/>
  <c r="AT242" i="1"/>
  <c r="AS241" i="1"/>
  <c r="AN242" i="1"/>
  <c r="AQ243" i="1"/>
  <c r="AM241" i="1"/>
  <c r="AQ241" i="1"/>
  <c r="AR242" i="1"/>
  <c r="AU243" i="1"/>
  <c r="BW241" i="1"/>
  <c r="BX243" i="1"/>
  <c r="BY243" i="1"/>
  <c r="BX241" i="1"/>
  <c r="AP241" i="1"/>
  <c r="AQ242" i="1"/>
  <c r="AT243" i="1"/>
  <c r="BT241" i="1"/>
  <c r="BV241" i="1"/>
  <c r="BW243" i="1"/>
  <c r="BS243" i="1"/>
  <c r="BA30" i="1"/>
  <c r="BA32" i="1" s="1"/>
  <c r="BZ55" i="1"/>
  <c r="AO219" i="1"/>
  <c r="AO220" i="1" s="1"/>
  <c r="AO56" i="29" s="1"/>
  <c r="AU219" i="1"/>
  <c r="BC32" i="1"/>
  <c r="AX32" i="1"/>
  <c r="AX31" i="1"/>
  <c r="BI78" i="1"/>
  <c r="BE30" i="1"/>
  <c r="AY32" i="1"/>
  <c r="AY31" i="1"/>
  <c r="AX7" i="29"/>
  <c r="AY7" i="29"/>
  <c r="BG78" i="1"/>
  <c r="BF78" i="1"/>
  <c r="AZ30" i="1"/>
  <c r="BD78" i="1"/>
  <c r="BI76" i="1"/>
  <c r="BH72" i="1"/>
  <c r="CC60" i="1"/>
  <c r="BG58" i="1"/>
  <c r="BG23" i="1" s="1"/>
  <c r="BC59" i="1"/>
  <c r="CD58" i="1"/>
  <c r="BD59" i="1"/>
  <c r="CA55" i="1"/>
  <c r="CA61" i="1"/>
  <c r="CA21" i="1"/>
  <c r="CA26" i="1"/>
  <c r="CA16" i="1"/>
  <c r="CA38" i="1"/>
  <c r="CA44" i="1"/>
  <c r="BZ21" i="1"/>
  <c r="BZ26" i="1"/>
  <c r="BZ16" i="1"/>
  <c r="BZ61" i="1"/>
  <c r="BZ38" i="1"/>
  <c r="BZ44" i="1"/>
  <c r="CA54" i="1"/>
  <c r="AR219" i="1"/>
  <c r="AR105" i="1"/>
  <c r="AR103" i="1"/>
  <c r="W16" i="9"/>
  <c r="X14" i="9" s="1"/>
  <c r="X16" i="9" s="1"/>
  <c r="Y14" i="9" s="1"/>
  <c r="AJ63" i="4"/>
  <c r="AR196" i="1"/>
  <c r="S195" i="1"/>
  <c r="S200" i="1" s="1"/>
  <c r="V22" i="9"/>
  <c r="V30" i="9" s="1"/>
  <c r="V39" i="9" s="1"/>
  <c r="BU39" i="9" s="1"/>
  <c r="D196" i="1"/>
  <c r="M63" i="4"/>
  <c r="C63" i="4"/>
  <c r="B63" i="4"/>
  <c r="AG63" i="4"/>
  <c r="S74" i="29"/>
  <c r="E196" i="1"/>
  <c r="AQ196" i="1"/>
  <c r="E63" i="4"/>
  <c r="BX190" i="1"/>
  <c r="B58" i="4"/>
  <c r="S52" i="4"/>
  <c r="BV232" i="1"/>
  <c r="AA58" i="4"/>
  <c r="AG196" i="1"/>
  <c r="AO63" i="4"/>
  <c r="Z63" i="4"/>
  <c r="C196" i="1"/>
  <c r="Z196" i="1"/>
  <c r="BV78" i="29"/>
  <c r="BX78" i="29"/>
  <c r="BY195" i="1"/>
  <c r="BT195" i="1"/>
  <c r="BT78" i="29"/>
  <c r="BW78" i="29"/>
  <c r="CA74" i="29"/>
  <c r="BR78" i="29"/>
  <c r="BQ78" i="29"/>
  <c r="BS195" i="1"/>
  <c r="BU17" i="29"/>
  <c r="BR21" i="29"/>
  <c r="BZ108" i="29"/>
  <c r="H58" i="29"/>
  <c r="CA92" i="29"/>
  <c r="L43" i="29"/>
  <c r="I51" i="29"/>
  <c r="AA196" i="1"/>
  <c r="P110" i="29"/>
  <c r="AD63" i="4"/>
  <c r="AD196" i="1"/>
  <c r="AR63" i="4"/>
  <c r="AO196" i="1"/>
  <c r="J63" i="4"/>
  <c r="AO103" i="1"/>
  <c r="T110" i="29"/>
  <c r="AT63" i="4"/>
  <c r="AI58" i="4"/>
  <c r="P63" i="4"/>
  <c r="AQ63" i="4"/>
  <c r="AF58" i="4"/>
  <c r="AO105" i="1"/>
  <c r="AR110" i="29"/>
  <c r="AL58" i="4"/>
  <c r="AO104" i="1"/>
  <c r="T93" i="29"/>
  <c r="AR102" i="1"/>
  <c r="T50" i="29"/>
  <c r="S42" i="29"/>
  <c r="S50" i="29"/>
  <c r="S57" i="29"/>
  <c r="W42" i="29"/>
  <c r="S30" i="29"/>
  <c r="AJ110" i="29"/>
  <c r="S24" i="29"/>
  <c r="AK19" i="29"/>
  <c r="BC7" i="29"/>
  <c r="AH42" i="29"/>
  <c r="AH24" i="29"/>
  <c r="AA42" i="29"/>
  <c r="AA24" i="29"/>
  <c r="BY57" i="29"/>
  <c r="BY24" i="29"/>
  <c r="C57" i="29"/>
  <c r="C24" i="29"/>
  <c r="AU109" i="29"/>
  <c r="P102" i="29"/>
  <c r="O81" i="29"/>
  <c r="K93" i="29"/>
  <c r="K81" i="29"/>
  <c r="AK102" i="29"/>
  <c r="AK81" i="29"/>
  <c r="G93" i="29"/>
  <c r="C81" i="29"/>
  <c r="AC81" i="29"/>
  <c r="AS102" i="29"/>
  <c r="AS81" i="29"/>
  <c r="U102" i="29"/>
  <c r="U81" i="29"/>
  <c r="Y81" i="29"/>
  <c r="AA110" i="29"/>
  <c r="AA81" i="29"/>
  <c r="BX21" i="29"/>
  <c r="AA30" i="29"/>
  <c r="AE42" i="29"/>
  <c r="AA50" i="29"/>
  <c r="AB50" i="29"/>
  <c r="AA57" i="29"/>
  <c r="BQ21" i="29"/>
  <c r="BZ78" i="29"/>
  <c r="AB78" i="29"/>
  <c r="C50" i="29"/>
  <c r="G42" i="29"/>
  <c r="AJ102" i="29"/>
  <c r="BS21" i="29"/>
  <c r="C30" i="29"/>
  <c r="AE93" i="29"/>
  <c r="D50" i="29"/>
  <c r="O32" i="29"/>
  <c r="O110" i="29"/>
  <c r="BW21" i="29"/>
  <c r="Y51" i="29"/>
  <c r="BX92" i="29"/>
  <c r="BT57" i="29"/>
  <c r="BW92" i="29"/>
  <c r="BX109" i="29"/>
  <c r="J58" i="29"/>
  <c r="X58" i="29"/>
  <c r="Z78" i="29"/>
  <c r="N43" i="29"/>
  <c r="AH50" i="29"/>
  <c r="AS110" i="29"/>
  <c r="BV21" i="29"/>
  <c r="AL42" i="29"/>
  <c r="AH57" i="29"/>
  <c r="AI50" i="29"/>
  <c r="T32" i="29"/>
  <c r="X43" i="29"/>
  <c r="AC110" i="29"/>
  <c r="U51" i="29"/>
  <c r="R78" i="29"/>
  <c r="BS109" i="29"/>
  <c r="CA108" i="29"/>
  <c r="C110" i="29"/>
  <c r="AT57" i="29"/>
  <c r="AT40" i="29"/>
  <c r="AT55" i="29"/>
  <c r="AU49" i="29"/>
  <c r="AC93" i="29"/>
  <c r="AS55" i="29"/>
  <c r="AU55" i="29"/>
  <c r="AT49" i="29"/>
  <c r="Z51" i="29"/>
  <c r="Y58" i="29"/>
  <c r="AK110" i="29"/>
  <c r="AO93" i="29"/>
  <c r="Y32" i="29"/>
  <c r="AU40" i="29"/>
  <c r="Y110" i="29"/>
  <c r="Z32" i="29"/>
  <c r="AR49" i="29"/>
  <c r="AP40" i="29"/>
  <c r="AP55" i="29"/>
  <c r="AQ55" i="29"/>
  <c r="Z58" i="29"/>
  <c r="AQ21" i="29"/>
  <c r="AQ49" i="29"/>
  <c r="AP21" i="29"/>
  <c r="BP84" i="29"/>
  <c r="BP111" i="29"/>
  <c r="BP83" i="29"/>
  <c r="BT109" i="29"/>
  <c r="BV109" i="29"/>
  <c r="T43" i="29"/>
  <c r="P51" i="29"/>
  <c r="P58" i="29"/>
  <c r="Q51" i="29"/>
  <c r="AE58" i="4"/>
  <c r="V58" i="4"/>
  <c r="N63" i="4"/>
  <c r="AH196" i="1"/>
  <c r="AQ219" i="1"/>
  <c r="BZ28" i="9"/>
  <c r="AO102" i="1"/>
  <c r="AA63" i="4"/>
  <c r="AJ196" i="1"/>
  <c r="BY109" i="29"/>
  <c r="AT105" i="1"/>
  <c r="AT104" i="1"/>
  <c r="AT103" i="1"/>
  <c r="AT102" i="1"/>
  <c r="R63" i="4"/>
  <c r="AK196" i="1"/>
  <c r="AP219" i="1"/>
  <c r="AP220" i="1" s="1"/>
  <c r="AP56" i="29" s="1"/>
  <c r="CA33" i="1"/>
  <c r="CA101" i="1"/>
  <c r="CA131" i="1"/>
  <c r="AU102" i="1"/>
  <c r="AU104" i="1"/>
  <c r="AU105" i="1"/>
  <c r="AU103" i="1"/>
  <c r="AM102" i="1"/>
  <c r="AM105" i="1"/>
  <c r="AM104" i="1"/>
  <c r="AM103" i="1"/>
  <c r="BZ224" i="1"/>
  <c r="BZ101" i="1"/>
  <c r="BZ131" i="1"/>
  <c r="AP52" i="4"/>
  <c r="AN219" i="1"/>
  <c r="AN220" i="1" s="1"/>
  <c r="AN56" i="29" s="1"/>
  <c r="AF63" i="4"/>
  <c r="AK63" i="4"/>
  <c r="AN102" i="1"/>
  <c r="AN104" i="1"/>
  <c r="AN105" i="1"/>
  <c r="AN103" i="1"/>
  <c r="T63" i="4"/>
  <c r="AS105" i="1"/>
  <c r="AS104" i="1"/>
  <c r="AS103" i="1"/>
  <c r="AS102" i="1"/>
  <c r="AQ103" i="1"/>
  <c r="AQ102" i="1"/>
  <c r="AQ104" i="1"/>
  <c r="AQ105" i="1"/>
  <c r="AH58" i="4"/>
  <c r="AP103" i="1"/>
  <c r="AP104" i="1"/>
  <c r="AP102" i="1"/>
  <c r="AP105" i="1"/>
  <c r="BZ33" i="1"/>
  <c r="AU196" i="1"/>
  <c r="D63" i="4"/>
  <c r="X196" i="1"/>
  <c r="BZ226" i="1"/>
  <c r="AS196" i="1"/>
  <c r="BZ10" i="1"/>
  <c r="BR52" i="4"/>
  <c r="BW195" i="1"/>
  <c r="X63" i="4"/>
  <c r="T196" i="1"/>
  <c r="BZ49" i="1"/>
  <c r="BZ218" i="1"/>
  <c r="BZ225" i="1"/>
  <c r="AT219" i="1"/>
  <c r="AM219" i="1"/>
  <c r="AM220" i="1" s="1"/>
  <c r="AM56" i="29" s="1"/>
  <c r="AU57" i="29"/>
  <c r="AN55" i="29"/>
  <c r="AO49" i="29"/>
  <c r="AN21" i="29"/>
  <c r="AR40" i="29"/>
  <c r="AN40" i="29"/>
  <c r="W110" i="29"/>
  <c r="AA93" i="29"/>
  <c r="AU50" i="29"/>
  <c r="AH102" i="29"/>
  <c r="AG110" i="29"/>
  <c r="V110" i="29"/>
  <c r="W102" i="29"/>
  <c r="J43" i="29"/>
  <c r="F58" i="29"/>
  <c r="F32" i="29"/>
  <c r="G102" i="29"/>
  <c r="F110" i="29"/>
  <c r="J93" i="29"/>
  <c r="AM21" i="29"/>
  <c r="AM55" i="29"/>
  <c r="AN49" i="29"/>
  <c r="AM49" i="29"/>
  <c r="AQ40" i="29"/>
  <c r="AM40" i="29"/>
  <c r="BY52" i="4"/>
  <c r="B110" i="29"/>
  <c r="F93" i="29"/>
  <c r="C102" i="29"/>
  <c r="AO40" i="29"/>
  <c r="AP49" i="29"/>
  <c r="AO55" i="29"/>
  <c r="AO21" i="29"/>
  <c r="AS40" i="29"/>
  <c r="E58" i="29"/>
  <c r="F51" i="29"/>
  <c r="E32" i="29"/>
  <c r="I43" i="29"/>
  <c r="O43" i="29"/>
  <c r="L51" i="29"/>
  <c r="K58" i="29"/>
  <c r="K32" i="29"/>
  <c r="R43" i="29"/>
  <c r="O51" i="29"/>
  <c r="N32" i="29"/>
  <c r="N58" i="29"/>
  <c r="Q58" i="4"/>
  <c r="Q110" i="29"/>
  <c r="U93" i="29"/>
  <c r="Q102" i="29"/>
  <c r="P43" i="29"/>
  <c r="M51" i="29"/>
  <c r="L58" i="29"/>
  <c r="L32" i="29"/>
  <c r="AZ9" i="3"/>
  <c r="Z43" i="29"/>
  <c r="W51" i="29"/>
  <c r="V32" i="29"/>
  <c r="V58" i="29"/>
  <c r="C58" i="4"/>
  <c r="X58" i="4"/>
  <c r="CA10" i="1"/>
  <c r="K58" i="4"/>
  <c r="V43" i="29"/>
  <c r="AS57" i="29"/>
  <c r="AT50" i="29"/>
  <c r="Y93" i="29"/>
  <c r="V102" i="29"/>
  <c r="U110" i="29"/>
  <c r="M93" i="29"/>
  <c r="I110" i="29"/>
  <c r="J102" i="29"/>
  <c r="W58" i="29"/>
  <c r="W32" i="29"/>
  <c r="X51" i="29"/>
  <c r="J58" i="4"/>
  <c r="M32" i="29"/>
  <c r="Q43" i="29"/>
  <c r="M58" i="29"/>
  <c r="N51" i="29"/>
  <c r="F43" i="29"/>
  <c r="B58" i="29"/>
  <c r="B32" i="29"/>
  <c r="AT110" i="29"/>
  <c r="AU102" i="29"/>
  <c r="Q32" i="29"/>
  <c r="U43" i="29"/>
  <c r="R51" i="29"/>
  <c r="Q58" i="29"/>
  <c r="V51" i="29"/>
  <c r="U58" i="29"/>
  <c r="U32" i="29"/>
  <c r="Y43" i="29"/>
  <c r="Y196" i="1"/>
  <c r="AU110" i="29"/>
  <c r="P93" i="29"/>
  <c r="L110" i="29"/>
  <c r="M102" i="29"/>
  <c r="AN110" i="29"/>
  <c r="AO102" i="29"/>
  <c r="AR93" i="29"/>
  <c r="AN102" i="29"/>
  <c r="AN93" i="29"/>
  <c r="I32" i="29"/>
  <c r="J51" i="29"/>
  <c r="I58" i="29"/>
  <c r="M43" i="29"/>
  <c r="O93" i="29"/>
  <c r="L102" i="29"/>
  <c r="K110" i="29"/>
  <c r="G84" i="29"/>
  <c r="G111" i="29"/>
  <c r="AE110" i="29"/>
  <c r="AI93" i="29"/>
  <c r="AS93" i="29"/>
  <c r="AP102" i="29"/>
  <c r="AO110" i="29"/>
  <c r="N196" i="1"/>
  <c r="AG93" i="29"/>
  <c r="CA12" i="29"/>
  <c r="AP93" i="29"/>
  <c r="AL110" i="29"/>
  <c r="AL102" i="29"/>
  <c r="BW109" i="29"/>
  <c r="I93" i="29"/>
  <c r="F102" i="29"/>
  <c r="E110" i="29"/>
  <c r="AT93" i="29"/>
  <c r="AP110" i="29"/>
  <c r="E51" i="29"/>
  <c r="H43" i="29"/>
  <c r="J110" i="29"/>
  <c r="K102" i="29"/>
  <c r="BZ190" i="1"/>
  <c r="CA190" i="1"/>
  <c r="K51" i="29"/>
  <c r="AH110" i="29"/>
  <c r="AS49" i="29"/>
  <c r="AR21" i="29"/>
  <c r="AR55" i="29"/>
  <c r="L93" i="29"/>
  <c r="Q93" i="29"/>
  <c r="K63" i="4"/>
  <c r="K196" i="1"/>
  <c r="CB29" i="9"/>
  <c r="AL63" i="4"/>
  <c r="AL196" i="1"/>
  <c r="AU63" i="4"/>
  <c r="AM196" i="1"/>
  <c r="AM63" i="4"/>
  <c r="CA195" i="1"/>
  <c r="CA200" i="1" s="1"/>
  <c r="L58" i="4"/>
  <c r="U63" i="4"/>
  <c r="U196" i="1"/>
  <c r="BX195" i="1"/>
  <c r="AT196" i="1"/>
  <c r="T58" i="4"/>
  <c r="Z58" i="4"/>
  <c r="AZ26" i="3"/>
  <c r="BA40" i="3"/>
  <c r="AZ31" i="3"/>
  <c r="R59" i="4"/>
  <c r="BA12" i="3"/>
  <c r="BV195" i="1"/>
  <c r="V63" i="4"/>
  <c r="V196" i="1"/>
  <c r="E59" i="4"/>
  <c r="Y63" i="4"/>
  <c r="BA11" i="3"/>
  <c r="AZ38" i="4"/>
  <c r="BS190" i="1"/>
  <c r="W63" i="4"/>
  <c r="W196" i="1"/>
  <c r="AW18" i="4"/>
  <c r="CA225" i="1"/>
  <c r="CA224" i="1"/>
  <c r="CA226" i="1"/>
  <c r="CA49" i="1"/>
  <c r="CA218" i="1"/>
  <c r="CA240" i="1" s="1"/>
  <c r="BR195" i="1"/>
  <c r="AD59" i="4"/>
  <c r="AZ30" i="3"/>
  <c r="AS219" i="1"/>
  <c r="I58" i="4"/>
  <c r="P58" i="4"/>
  <c r="I196" i="1"/>
  <c r="I63" i="4"/>
  <c r="AZ63" i="3"/>
  <c r="AY19" i="3"/>
  <c r="CB19" i="3"/>
  <c r="M58" i="4"/>
  <c r="AJ59" i="4"/>
  <c r="G59" i="4"/>
  <c r="Q196" i="1"/>
  <c r="Q63" i="4"/>
  <c r="O63" i="4"/>
  <c r="O196" i="1"/>
  <c r="AR17" i="9"/>
  <c r="AR19" i="9" s="1"/>
  <c r="AR22" i="9" s="1"/>
  <c r="AR30" i="9" s="1"/>
  <c r="AR39" i="9" s="1"/>
  <c r="J30" i="9"/>
  <c r="J39" i="9" s="1"/>
  <c r="BR39" i="9" s="1"/>
  <c r="BR22" i="9"/>
  <c r="BR30" i="9" s="1"/>
  <c r="AY24" i="9"/>
  <c r="CB26" i="9"/>
  <c r="BB36" i="3"/>
  <c r="AZ58" i="3"/>
  <c r="BA17" i="3"/>
  <c r="AZ33" i="3"/>
  <c r="AX18" i="4"/>
  <c r="AX32" i="3"/>
  <c r="AW8" i="3"/>
  <c r="AS16" i="9"/>
  <c r="AT14" i="9" s="1"/>
  <c r="AE16" i="9"/>
  <c r="BX14" i="9"/>
  <c r="BX18" i="9" s="1"/>
  <c r="G196" i="1"/>
  <c r="G63" i="4"/>
  <c r="U59" i="4"/>
  <c r="F58" i="4"/>
  <c r="O59" i="4"/>
  <c r="AC63" i="4"/>
  <c r="AC196" i="1"/>
  <c r="AB58" i="4"/>
  <c r="BE52" i="3"/>
  <c r="H65" i="4"/>
  <c r="AI196" i="1"/>
  <c r="AI63" i="4"/>
  <c r="BW58" i="4"/>
  <c r="AC59" i="4"/>
  <c r="AD60" i="4"/>
  <c r="AN63" i="4"/>
  <c r="AN196" i="1"/>
  <c r="L63" i="4"/>
  <c r="L196" i="1"/>
  <c r="BQ52" i="4"/>
  <c r="BV52" i="4"/>
  <c r="AE196" i="1"/>
  <c r="AE63" i="4"/>
  <c r="AB63" i="4"/>
  <c r="AB196" i="1"/>
  <c r="BS58" i="4"/>
  <c r="BV190" i="1"/>
  <c r="BW190" i="1"/>
  <c r="AG59" i="4"/>
  <c r="AG61" i="4"/>
  <c r="BT52" i="4"/>
  <c r="H59" i="4"/>
  <c r="H60" i="4"/>
  <c r="BQ195" i="1"/>
  <c r="AK61" i="4"/>
  <c r="AK59" i="4"/>
  <c r="AK60" i="4"/>
  <c r="Y58" i="4"/>
  <c r="AP196" i="1"/>
  <c r="AP63" i="4"/>
  <c r="N59" i="4"/>
  <c r="R61" i="4"/>
  <c r="BZ195" i="1"/>
  <c r="F63" i="4"/>
  <c r="F196" i="1"/>
  <c r="BT190" i="1"/>
  <c r="BU190" i="1"/>
  <c r="G51" i="29" l="1"/>
  <c r="AE102" i="29"/>
  <c r="H51" i="29"/>
  <c r="D32" i="29"/>
  <c r="AM102" i="29"/>
  <c r="M111" i="29"/>
  <c r="G32" i="29"/>
  <c r="AT102" i="29"/>
  <c r="AH93" i="29"/>
  <c r="M84" i="29"/>
  <c r="M83" i="29"/>
  <c r="H102" i="29"/>
  <c r="AD102" i="29"/>
  <c r="H81" i="29"/>
  <c r="H61" i="4"/>
  <c r="D59" i="4"/>
  <c r="BZ38" i="29"/>
  <c r="H110" i="29"/>
  <c r="I102" i="29"/>
  <c r="CA38" i="29"/>
  <c r="D58" i="29"/>
  <c r="G83" i="29"/>
  <c r="AQ93" i="29"/>
  <c r="D110" i="29"/>
  <c r="N93" i="29"/>
  <c r="AR102" i="29"/>
  <c r="E102" i="29"/>
  <c r="X81" i="29"/>
  <c r="AF102" i="29"/>
  <c r="AQ110" i="29"/>
  <c r="H93" i="29"/>
  <c r="X110" i="29"/>
  <c r="AU93" i="29"/>
  <c r="Y102" i="29"/>
  <c r="X93" i="29"/>
  <c r="N81" i="29"/>
  <c r="N110" i="29"/>
  <c r="N102" i="29"/>
  <c r="AF110" i="29"/>
  <c r="O102" i="29"/>
  <c r="X102" i="29"/>
  <c r="AG102" i="29"/>
  <c r="W59" i="4"/>
  <c r="AJ93" i="29"/>
  <c r="BZ200" i="1"/>
  <c r="J19" i="29"/>
  <c r="AQ65" i="4"/>
  <c r="B65" i="4"/>
  <c r="AZ310" i="1"/>
  <c r="T65" i="4"/>
  <c r="AF65" i="4"/>
  <c r="AT65" i="4"/>
  <c r="B19" i="29"/>
  <c r="AD19" i="29"/>
  <c r="AY92" i="3"/>
  <c r="BP76" i="29"/>
  <c r="F19" i="29"/>
  <c r="X65" i="4"/>
  <c r="AO65" i="4"/>
  <c r="AS65" i="4"/>
  <c r="W19" i="29"/>
  <c r="H19" i="29"/>
  <c r="AC19" i="29"/>
  <c r="O19" i="29"/>
  <c r="H76" i="29"/>
  <c r="M19" i="29"/>
  <c r="BZ240" i="1"/>
  <c r="AH19" i="29"/>
  <c r="R65" i="4"/>
  <c r="Z65" i="4"/>
  <c r="E65" i="4"/>
  <c r="E67" i="4" s="1"/>
  <c r="BW19" i="29"/>
  <c r="Y65" i="4"/>
  <c r="AJ61" i="4"/>
  <c r="AJ65" i="4"/>
  <c r="AH65" i="4"/>
  <c r="U19" i="29"/>
  <c r="AF81" i="29"/>
  <c r="D19" i="29"/>
  <c r="R19" i="29"/>
  <c r="N19" i="29"/>
  <c r="E19" i="29"/>
  <c r="BS19" i="29"/>
  <c r="T19" i="29"/>
  <c r="D65" i="4"/>
  <c r="V60" i="4"/>
  <c r="J65" i="4"/>
  <c r="AD65" i="4"/>
  <c r="M65" i="4"/>
  <c r="BX58" i="4"/>
  <c r="S58" i="4"/>
  <c r="AG19" i="29"/>
  <c r="G19" i="29"/>
  <c r="BA38" i="3"/>
  <c r="BA29" i="3"/>
  <c r="AZ72" i="3"/>
  <c r="BY58" i="4"/>
  <c r="BY59" i="4" s="1"/>
  <c r="AI19" i="29"/>
  <c r="AK41" i="29"/>
  <c r="AN24" i="29"/>
  <c r="BV81" i="29"/>
  <c r="R32" i="29"/>
  <c r="AU24" i="29"/>
  <c r="AC25" i="29"/>
  <c r="AP81" i="29"/>
  <c r="BV24" i="29"/>
  <c r="AA84" i="29"/>
  <c r="R58" i="29"/>
  <c r="AL93" i="29"/>
  <c r="AE25" i="29"/>
  <c r="AD81" i="29"/>
  <c r="AH94" i="29" s="1"/>
  <c r="G58" i="29"/>
  <c r="I52" i="29"/>
  <c r="N44" i="29"/>
  <c r="AQ24" i="29"/>
  <c r="C32" i="29"/>
  <c r="C83" i="29"/>
  <c r="O111" i="29"/>
  <c r="BC36" i="29"/>
  <c r="CA78" i="29"/>
  <c r="S78" i="29"/>
  <c r="AH81" i="29"/>
  <c r="AS24" i="29"/>
  <c r="AM81" i="29"/>
  <c r="D8" i="2"/>
  <c r="AR24" i="29"/>
  <c r="AM24" i="29"/>
  <c r="Y111" i="29"/>
  <c r="BT24" i="29"/>
  <c r="Q81" i="29"/>
  <c r="AR81" i="29"/>
  <c r="B81" i="29"/>
  <c r="AK83" i="29"/>
  <c r="X111" i="29"/>
  <c r="BZ109" i="29"/>
  <c r="AY36" i="29"/>
  <c r="AJ81" i="29"/>
  <c r="I81" i="29"/>
  <c r="AT24" i="29"/>
  <c r="Y52" i="29"/>
  <c r="BW24" i="29"/>
  <c r="BR24" i="29"/>
  <c r="E8" i="2"/>
  <c r="AL25" i="29"/>
  <c r="P32" i="29"/>
  <c r="P81" i="29"/>
  <c r="T81" i="29"/>
  <c r="U103" i="29" s="1"/>
  <c r="J81" i="29"/>
  <c r="Q52" i="29"/>
  <c r="AO24" i="29"/>
  <c r="AA43" i="29"/>
  <c r="AS83" i="29"/>
  <c r="H84" i="29"/>
  <c r="S58" i="29"/>
  <c r="BU21" i="29"/>
  <c r="BV42" i="29" s="1"/>
  <c r="AJ25" i="29"/>
  <c r="AL81" i="29"/>
  <c r="AG25" i="29"/>
  <c r="BX24" i="29"/>
  <c r="AH25" i="29"/>
  <c r="D81" i="29"/>
  <c r="AB25" i="29"/>
  <c r="AD25" i="29"/>
  <c r="AF25" i="29"/>
  <c r="AQ81" i="29"/>
  <c r="CB7" i="29"/>
  <c r="AX36" i="29"/>
  <c r="AK94" i="29"/>
  <c r="BW290" i="1"/>
  <c r="BW28" i="29" s="1"/>
  <c r="AB28" i="29"/>
  <c r="BY290" i="1"/>
  <c r="BY28" i="29" s="1"/>
  <c r="AI28" i="29"/>
  <c r="BX290" i="1"/>
  <c r="BX28" i="29" s="1"/>
  <c r="AE28" i="29"/>
  <c r="S26" i="29"/>
  <c r="BX245" i="1"/>
  <c r="BX250" i="1" s="1"/>
  <c r="BG24" i="1"/>
  <c r="BG25" i="1"/>
  <c r="CE23" i="1"/>
  <c r="CE25" i="1" s="1"/>
  <c r="BH24" i="1"/>
  <c r="AY8" i="1"/>
  <c r="AH250" i="1"/>
  <c r="BC8" i="1"/>
  <c r="BC213" i="1" s="1"/>
  <c r="AH246" i="1"/>
  <c r="BP208" i="1"/>
  <c r="AH66" i="4"/>
  <c r="AD248" i="1"/>
  <c r="AB248" i="1"/>
  <c r="AF246" i="1"/>
  <c r="AY61" i="1"/>
  <c r="AY8" i="29"/>
  <c r="BC61" i="1"/>
  <c r="BC8" i="29"/>
  <c r="AC248" i="1"/>
  <c r="BR93" i="29"/>
  <c r="BY200" i="1"/>
  <c r="BY63" i="4"/>
  <c r="BW200" i="1"/>
  <c r="BW205" i="1" s="1"/>
  <c r="BW63" i="4"/>
  <c r="BQ200" i="1"/>
  <c r="BQ201" i="1" s="1"/>
  <c r="BQ63" i="4"/>
  <c r="BV200" i="1"/>
  <c r="BV201" i="1" s="1"/>
  <c r="BV63" i="4"/>
  <c r="BT200" i="1"/>
  <c r="BT203" i="1" s="1"/>
  <c r="BT63" i="4"/>
  <c r="BX200" i="1"/>
  <c r="BX201" i="1" s="1"/>
  <c r="BX63" i="4"/>
  <c r="BS200" i="1"/>
  <c r="BS201" i="1" s="1"/>
  <c r="BS63" i="4"/>
  <c r="BR200" i="1"/>
  <c r="BR201" i="1" s="1"/>
  <c r="BR63" i="4"/>
  <c r="CB32" i="1"/>
  <c r="AF247" i="1"/>
  <c r="AF250" i="1"/>
  <c r="AU246" i="1"/>
  <c r="AU250" i="1"/>
  <c r="AG250" i="1"/>
  <c r="AG246" i="1"/>
  <c r="AH247" i="1"/>
  <c r="AK248" i="1"/>
  <c r="V252" i="1"/>
  <c r="S250" i="1"/>
  <c r="S252" i="1" s="1"/>
  <c r="S246" i="1"/>
  <c r="T247" i="1"/>
  <c r="W248" i="1"/>
  <c r="BZ291" i="1"/>
  <c r="AM290" i="1"/>
  <c r="W251" i="1"/>
  <c r="Z252" i="1"/>
  <c r="AQ290" i="1"/>
  <c r="CA291" i="1"/>
  <c r="CA292" i="1" s="1"/>
  <c r="J251" i="1"/>
  <c r="M252" i="1"/>
  <c r="BT246" i="1"/>
  <c r="BT250" i="1"/>
  <c r="AG247" i="1"/>
  <c r="AL246" i="1"/>
  <c r="AL250" i="1"/>
  <c r="E251" i="1"/>
  <c r="H252" i="1"/>
  <c r="AJ250" i="1"/>
  <c r="AK247" i="1"/>
  <c r="AJ246" i="1"/>
  <c r="AC250" i="1"/>
  <c r="AC252" i="1" s="1"/>
  <c r="AD247" i="1"/>
  <c r="AG248" i="1"/>
  <c r="AC246" i="1"/>
  <c r="U251" i="1"/>
  <c r="X252" i="1"/>
  <c r="N251" i="1"/>
  <c r="Q252" i="1"/>
  <c r="V251" i="1"/>
  <c r="Y252" i="1"/>
  <c r="D251" i="1"/>
  <c r="G252" i="1"/>
  <c r="AI250" i="1"/>
  <c r="AI246" i="1"/>
  <c r="AJ247" i="1"/>
  <c r="K251" i="1"/>
  <c r="N252" i="1"/>
  <c r="I251" i="1"/>
  <c r="L252" i="1"/>
  <c r="AL248" i="1"/>
  <c r="AU290" i="1"/>
  <c r="AU28" i="29" s="1"/>
  <c r="P251" i="1"/>
  <c r="G251" i="1"/>
  <c r="J252" i="1"/>
  <c r="BV250" i="1"/>
  <c r="BV246" i="1"/>
  <c r="BR248" i="1"/>
  <c r="BQ250" i="1"/>
  <c r="BQ246" i="1"/>
  <c r="BQ248" i="1"/>
  <c r="Q251" i="1"/>
  <c r="T252" i="1"/>
  <c r="AI247" i="1"/>
  <c r="S248" i="1"/>
  <c r="BS248" i="1"/>
  <c r="BR250" i="1"/>
  <c r="BR246" i="1"/>
  <c r="AB247" i="1"/>
  <c r="BU245" i="1"/>
  <c r="BU292" i="1"/>
  <c r="Y251" i="1"/>
  <c r="C251" i="1"/>
  <c r="F252" i="1"/>
  <c r="L251" i="1"/>
  <c r="O252" i="1"/>
  <c r="BT248" i="1"/>
  <c r="BS246" i="1"/>
  <c r="BS250" i="1"/>
  <c r="R251" i="1"/>
  <c r="U252" i="1"/>
  <c r="AA251" i="1"/>
  <c r="AK250" i="1"/>
  <c r="AL247" i="1"/>
  <c r="AK246" i="1"/>
  <c r="BY245" i="1"/>
  <c r="AE252" i="1"/>
  <c r="M251" i="1"/>
  <c r="P252" i="1"/>
  <c r="AI248" i="1"/>
  <c r="Z251" i="1"/>
  <c r="S247" i="1"/>
  <c r="AE247" i="1"/>
  <c r="AH248" i="1"/>
  <c r="AD246" i="1"/>
  <c r="AD250" i="1"/>
  <c r="AD252" i="1" s="1"/>
  <c r="H251" i="1"/>
  <c r="K252" i="1"/>
  <c r="X251" i="1"/>
  <c r="AA252" i="1"/>
  <c r="O251" i="1"/>
  <c r="R252" i="1"/>
  <c r="AB250" i="1"/>
  <c r="AB251" i="1" s="1"/>
  <c r="AC247" i="1"/>
  <c r="AF248" i="1"/>
  <c r="AB246" i="1"/>
  <c r="F251" i="1"/>
  <c r="I252" i="1"/>
  <c r="BW245" i="1"/>
  <c r="AJ248" i="1"/>
  <c r="AN208" i="1"/>
  <c r="AN206" i="1"/>
  <c r="D206" i="1"/>
  <c r="D208" i="1"/>
  <c r="AH208" i="1"/>
  <c r="AH206" i="1"/>
  <c r="Y208" i="1"/>
  <c r="Y206" i="1"/>
  <c r="AP208" i="1"/>
  <c r="AP206" i="1"/>
  <c r="AK206" i="1"/>
  <c r="AK208" i="1"/>
  <c r="Z206" i="1"/>
  <c r="Z208" i="1"/>
  <c r="J206" i="1"/>
  <c r="J208" i="1"/>
  <c r="AG208" i="1"/>
  <c r="AG206" i="1"/>
  <c r="E206" i="1"/>
  <c r="E208" i="1"/>
  <c r="CA203" i="1"/>
  <c r="CA201" i="1"/>
  <c r="CA205" i="1"/>
  <c r="W206" i="1"/>
  <c r="W208" i="1"/>
  <c r="C208" i="1"/>
  <c r="C206" i="1"/>
  <c r="AQ208" i="1"/>
  <c r="AQ206" i="1"/>
  <c r="I206" i="1"/>
  <c r="I208" i="1"/>
  <c r="AI208" i="1"/>
  <c r="AI206" i="1"/>
  <c r="AT206" i="1"/>
  <c r="AT208" i="1"/>
  <c r="AS208" i="1"/>
  <c r="AS206" i="1"/>
  <c r="M208" i="1"/>
  <c r="M206" i="1"/>
  <c r="K208" i="1"/>
  <c r="K206" i="1"/>
  <c r="AC206" i="1"/>
  <c r="AC208" i="1"/>
  <c r="O206" i="1"/>
  <c r="O208" i="1"/>
  <c r="P208" i="1"/>
  <c r="P206" i="1"/>
  <c r="AD206" i="1"/>
  <c r="AD208" i="1"/>
  <c r="AB206" i="1"/>
  <c r="AB208" i="1"/>
  <c r="AO206" i="1"/>
  <c r="AO208" i="1"/>
  <c r="R206" i="1"/>
  <c r="R208" i="1"/>
  <c r="V208" i="1"/>
  <c r="V206" i="1"/>
  <c r="AL206" i="1"/>
  <c r="AL208" i="1"/>
  <c r="L208" i="1"/>
  <c r="L206" i="1"/>
  <c r="B208" i="1"/>
  <c r="B206" i="1"/>
  <c r="T208" i="1"/>
  <c r="T206" i="1"/>
  <c r="U208" i="1"/>
  <c r="U206" i="1"/>
  <c r="Q206" i="1"/>
  <c r="Q208" i="1"/>
  <c r="AF208" i="1"/>
  <c r="AF206" i="1"/>
  <c r="AJ206" i="1"/>
  <c r="AJ208" i="1"/>
  <c r="AR208" i="1"/>
  <c r="AR206" i="1"/>
  <c r="X208" i="1"/>
  <c r="X206" i="1"/>
  <c r="N206" i="1"/>
  <c r="N208" i="1"/>
  <c r="G206" i="1"/>
  <c r="G208" i="1"/>
  <c r="S201" i="1"/>
  <c r="S203" i="1"/>
  <c r="S205" i="1"/>
  <c r="AU208" i="1"/>
  <c r="AU206" i="1"/>
  <c r="AE206" i="1"/>
  <c r="AE208" i="1"/>
  <c r="AM206" i="1"/>
  <c r="AM208" i="1"/>
  <c r="F206" i="1"/>
  <c r="F208" i="1"/>
  <c r="AA206" i="1"/>
  <c r="AA208" i="1"/>
  <c r="AY219" i="1"/>
  <c r="BC219" i="1" s="1"/>
  <c r="AX61" i="1"/>
  <c r="AS220" i="1"/>
  <c r="AS56" i="29" s="1"/>
  <c r="AS66" i="4"/>
  <c r="BA7" i="29"/>
  <c r="BX196" i="1"/>
  <c r="CA241" i="1"/>
  <c r="BU241" i="1"/>
  <c r="BV243" i="1"/>
  <c r="BU243" i="1"/>
  <c r="AR52" i="4"/>
  <c r="AT220" i="1"/>
  <c r="AT56" i="29" s="1"/>
  <c r="AT52" i="4"/>
  <c r="AU220" i="1"/>
  <c r="AU56" i="29" s="1"/>
  <c r="AR220" i="1"/>
  <c r="AR56" i="29" s="1"/>
  <c r="AQ220" i="1"/>
  <c r="AQ56" i="29" s="1"/>
  <c r="AX8" i="29"/>
  <c r="AY47" i="1"/>
  <c r="BA31" i="1"/>
  <c r="BC31" i="1"/>
  <c r="BB8" i="1"/>
  <c r="BE32" i="1"/>
  <c r="BM78" i="1"/>
  <c r="BM30" i="1" s="1"/>
  <c r="BI30" i="1"/>
  <c r="AZ31" i="1"/>
  <c r="AZ32" i="1"/>
  <c r="BB31" i="1"/>
  <c r="BB32" i="1"/>
  <c r="BB7" i="29"/>
  <c r="AZ7" i="29"/>
  <c r="CC30" i="1"/>
  <c r="BH78" i="1"/>
  <c r="BD30" i="1"/>
  <c r="BJ78" i="1"/>
  <c r="BF30" i="1"/>
  <c r="BK78" i="1"/>
  <c r="BK30" i="1" s="1"/>
  <c r="BG30" i="1"/>
  <c r="BG8" i="1" s="1"/>
  <c r="BE7" i="29"/>
  <c r="BH39" i="1"/>
  <c r="AY10" i="1"/>
  <c r="BJ76" i="1"/>
  <c r="CE76" i="1" s="1"/>
  <c r="BI72" i="1"/>
  <c r="BC47" i="1"/>
  <c r="B59" i="4"/>
  <c r="AW61" i="1"/>
  <c r="AW8" i="29"/>
  <c r="CD60" i="1"/>
  <c r="AX47" i="1"/>
  <c r="BK58" i="1"/>
  <c r="BK23" i="1" s="1"/>
  <c r="BG61" i="1"/>
  <c r="BG59" i="1"/>
  <c r="CE58" i="1"/>
  <c r="BH59" i="1"/>
  <c r="BB61" i="1"/>
  <c r="BB8" i="29"/>
  <c r="BG8" i="29"/>
  <c r="W17" i="9"/>
  <c r="W19" i="9" s="1"/>
  <c r="W22" i="9" s="1"/>
  <c r="W30" i="9" s="1"/>
  <c r="W39" i="9" s="1"/>
  <c r="CA109" i="29"/>
  <c r="BU195" i="1"/>
  <c r="BT196" i="1"/>
  <c r="AU52" i="4"/>
  <c r="BP66" i="4"/>
  <c r="AG65" i="4"/>
  <c r="BU22" i="9"/>
  <c r="BU30" i="9" s="1"/>
  <c r="C65" i="4"/>
  <c r="AR65" i="4"/>
  <c r="BS196" i="1"/>
  <c r="S59" i="4"/>
  <c r="S19" i="29"/>
  <c r="W61" i="4"/>
  <c r="S60" i="4"/>
  <c r="S63" i="4"/>
  <c r="S196" i="1"/>
  <c r="BY196" i="1"/>
  <c r="P65" i="4"/>
  <c r="AA19" i="29"/>
  <c r="AA59" i="4"/>
  <c r="P6" i="4"/>
  <c r="AA61" i="4"/>
  <c r="BR58" i="4"/>
  <c r="BX110" i="29"/>
  <c r="BX81" i="29"/>
  <c r="Z6" i="4"/>
  <c r="BU52" i="4"/>
  <c r="BR57" i="29"/>
  <c r="BU78" i="29"/>
  <c r="K59" i="4"/>
  <c r="S51" i="29"/>
  <c r="S43" i="29"/>
  <c r="W43" i="29"/>
  <c r="AJ60" i="4"/>
  <c r="AI59" i="4"/>
  <c r="T51" i="29"/>
  <c r="AF19" i="29"/>
  <c r="V59" i="4"/>
  <c r="V61" i="4"/>
  <c r="AG60" i="4"/>
  <c r="AF59" i="4"/>
  <c r="AF60" i="4"/>
  <c r="AL19" i="29"/>
  <c r="AL59" i="4"/>
  <c r="AO52" i="4"/>
  <c r="S32" i="29"/>
  <c r="AL60" i="4"/>
  <c r="AI60" i="4"/>
  <c r="AH60" i="4"/>
  <c r="AH61" i="4"/>
  <c r="AC61" i="4"/>
  <c r="Y19" i="29"/>
  <c r="I60" i="4"/>
  <c r="I19" i="29"/>
  <c r="Q19" i="29"/>
  <c r="W60" i="4"/>
  <c r="V19" i="29"/>
  <c r="AS68" i="4"/>
  <c r="AO76" i="29"/>
  <c r="AA60" i="4"/>
  <c r="Z19" i="29"/>
  <c r="AC60" i="4"/>
  <c r="AB19" i="29"/>
  <c r="X60" i="4"/>
  <c r="X19" i="29"/>
  <c r="G61" i="4"/>
  <c r="C19" i="29"/>
  <c r="L61" i="4"/>
  <c r="L19" i="29"/>
  <c r="K61" i="4"/>
  <c r="K19" i="29"/>
  <c r="AE61" i="4"/>
  <c r="AE19" i="29"/>
  <c r="P60" i="4"/>
  <c r="P19" i="29"/>
  <c r="AA32" i="29"/>
  <c r="AA58" i="29"/>
  <c r="AA51" i="29"/>
  <c r="BX25" i="29"/>
  <c r="BX57" i="29"/>
  <c r="BY42" i="29"/>
  <c r="AP42" i="29"/>
  <c r="AP24" i="29"/>
  <c r="BS57" i="29"/>
  <c r="BS24" i="29"/>
  <c r="BQ57" i="29"/>
  <c r="BQ24" i="29"/>
  <c r="Y84" i="29"/>
  <c r="Y83" i="29"/>
  <c r="AC94" i="29"/>
  <c r="W93" i="29"/>
  <c r="S81" i="29"/>
  <c r="AA102" i="29"/>
  <c r="Z81" i="29"/>
  <c r="AB93" i="29"/>
  <c r="AB81" i="29"/>
  <c r="R110" i="29"/>
  <c r="R81" i="29"/>
  <c r="AS111" i="29"/>
  <c r="AS84" i="29"/>
  <c r="Z102" i="29"/>
  <c r="AF93" i="29"/>
  <c r="BR42" i="29"/>
  <c r="AM93" i="29"/>
  <c r="BY78" i="29"/>
  <c r="AA83" i="29"/>
  <c r="BQ42" i="29"/>
  <c r="AC102" i="29"/>
  <c r="AB110" i="29"/>
  <c r="AA111" i="29"/>
  <c r="AB102" i="29"/>
  <c r="BS42" i="29"/>
  <c r="AI111" i="29"/>
  <c r="AI102" i="29"/>
  <c r="C51" i="29"/>
  <c r="AI110" i="29"/>
  <c r="C58" i="29"/>
  <c r="D51" i="29"/>
  <c r="BS78" i="29"/>
  <c r="G43" i="29"/>
  <c r="G44" i="29"/>
  <c r="O83" i="29"/>
  <c r="P103" i="29"/>
  <c r="O84" i="29"/>
  <c r="BX42" i="29"/>
  <c r="BT42" i="29"/>
  <c r="BW57" i="29"/>
  <c r="BV57" i="29"/>
  <c r="Z110" i="29"/>
  <c r="AC111" i="29"/>
  <c r="AD93" i="29"/>
  <c r="X44" i="29"/>
  <c r="AC84" i="29"/>
  <c r="Z93" i="29"/>
  <c r="AD103" i="29"/>
  <c r="BW42" i="29"/>
  <c r="U52" i="29"/>
  <c r="AC83" i="29"/>
  <c r="H52" i="29"/>
  <c r="R102" i="29"/>
  <c r="C84" i="29"/>
  <c r="C111" i="29"/>
  <c r="V93" i="29"/>
  <c r="G94" i="29"/>
  <c r="R93" i="29"/>
  <c r="D103" i="29"/>
  <c r="CA110" i="29"/>
  <c r="S93" i="29"/>
  <c r="X94" i="29"/>
  <c r="X83" i="29"/>
  <c r="X84" i="29"/>
  <c r="Y103" i="29"/>
  <c r="AO94" i="29"/>
  <c r="AK84" i="29"/>
  <c r="AK111" i="29"/>
  <c r="Z52" i="29"/>
  <c r="AL103" i="29"/>
  <c r="AT42" i="29"/>
  <c r="S110" i="29"/>
  <c r="AQ50" i="29"/>
  <c r="H111" i="29"/>
  <c r="AR50" i="29"/>
  <c r="AQ57" i="29"/>
  <c r="AU42" i="29"/>
  <c r="AP57" i="29"/>
  <c r="BP86" i="29"/>
  <c r="BP112" i="29"/>
  <c r="T102" i="29"/>
  <c r="S102" i="29"/>
  <c r="BV110" i="29"/>
  <c r="BW93" i="29"/>
  <c r="H103" i="29"/>
  <c r="H83" i="29"/>
  <c r="N65" i="4"/>
  <c r="AI61" i="4"/>
  <c r="AQ52" i="4"/>
  <c r="AN52" i="4"/>
  <c r="AK6" i="4"/>
  <c r="AK65" i="4"/>
  <c r="AE60" i="4"/>
  <c r="AA65" i="4"/>
  <c r="AE59" i="4"/>
  <c r="Q59" i="4"/>
  <c r="CA104" i="1"/>
  <c r="CA103" i="1"/>
  <c r="CA105" i="1"/>
  <c r="BZ219" i="1"/>
  <c r="BZ220" i="1" s="1"/>
  <c r="X59" i="4"/>
  <c r="O61" i="4"/>
  <c r="AH59" i="4"/>
  <c r="AL61" i="4"/>
  <c r="BZ103" i="1"/>
  <c r="BZ104" i="1"/>
  <c r="BZ105" i="1"/>
  <c r="Q61" i="4"/>
  <c r="U61" i="4"/>
  <c r="AX219" i="1"/>
  <c r="BB219" i="1" s="1"/>
  <c r="AM52" i="4"/>
  <c r="C60" i="4"/>
  <c r="R60" i="4"/>
  <c r="BW196" i="1"/>
  <c r="CA63" i="4"/>
  <c r="D60" i="4"/>
  <c r="CA196" i="1"/>
  <c r="AH84" i="29"/>
  <c r="AH83" i="29"/>
  <c r="AH111" i="29"/>
  <c r="J84" i="29"/>
  <c r="N94" i="29"/>
  <c r="K103" i="29"/>
  <c r="J111" i="29"/>
  <c r="J83" i="29"/>
  <c r="L103" i="29"/>
  <c r="O94" i="29"/>
  <c r="K111" i="29"/>
  <c r="K83" i="29"/>
  <c r="K84" i="29"/>
  <c r="L83" i="29"/>
  <c r="P94" i="29"/>
  <c r="L111" i="29"/>
  <c r="M103" i="29"/>
  <c r="L84" i="29"/>
  <c r="J59" i="4"/>
  <c r="I84" i="29"/>
  <c r="BA9" i="3"/>
  <c r="O52" i="29"/>
  <c r="O44" i="29"/>
  <c r="L52" i="29"/>
  <c r="BR81" i="29"/>
  <c r="BR110" i="29"/>
  <c r="J44" i="29"/>
  <c r="G52" i="29"/>
  <c r="N84" i="29"/>
  <c r="O103" i="29"/>
  <c r="N83" i="29"/>
  <c r="N111" i="29"/>
  <c r="F44" i="29"/>
  <c r="C52" i="29"/>
  <c r="K52" i="29"/>
  <c r="AS94" i="29"/>
  <c r="AO84" i="29"/>
  <c r="AO111" i="29"/>
  <c r="AO83" i="29"/>
  <c r="AP103" i="29"/>
  <c r="AG83" i="29"/>
  <c r="AG111" i="29"/>
  <c r="AH103" i="29"/>
  <c r="AG84" i="29"/>
  <c r="AP84" i="29"/>
  <c r="AT94" i="29"/>
  <c r="AP111" i="29"/>
  <c r="AP83" i="29"/>
  <c r="AQ103" i="29"/>
  <c r="CA55" i="29"/>
  <c r="CA21" i="29"/>
  <c r="AF83" i="29"/>
  <c r="AF111" i="29"/>
  <c r="AF84" i="29"/>
  <c r="AG103" i="29"/>
  <c r="AQ83" i="29"/>
  <c r="AU94" i="29"/>
  <c r="AQ111" i="29"/>
  <c r="AQ84" i="29"/>
  <c r="X52" i="29"/>
  <c r="U83" i="29"/>
  <c r="Y94" i="29"/>
  <c r="V103" i="29"/>
  <c r="U111" i="29"/>
  <c r="U84" i="29"/>
  <c r="Z44" i="29"/>
  <c r="W52" i="29"/>
  <c r="AS42" i="29"/>
  <c r="AP50" i="29"/>
  <c r="AO57" i="29"/>
  <c r="AO42" i="29"/>
  <c r="BV84" i="29"/>
  <c r="BV111" i="29"/>
  <c r="BV83" i="29"/>
  <c r="AN57" i="29"/>
  <c r="AR42" i="29"/>
  <c r="AO50" i="29"/>
  <c r="AN42" i="29"/>
  <c r="BZ110" i="29"/>
  <c r="CA93" i="29"/>
  <c r="BZ81" i="29"/>
  <c r="N61" i="4"/>
  <c r="AS50" i="29"/>
  <c r="AR57" i="29"/>
  <c r="AP94" i="29"/>
  <c r="AL84" i="29"/>
  <c r="AL83" i="29"/>
  <c r="AL111" i="29"/>
  <c r="L94" i="29"/>
  <c r="AG94" i="29"/>
  <c r="K44" i="29"/>
  <c r="K60" i="4"/>
  <c r="C59" i="4"/>
  <c r="AA112" i="29"/>
  <c r="AA86" i="29"/>
  <c r="W111" i="29"/>
  <c r="W83" i="29"/>
  <c r="AA94" i="29"/>
  <c r="X103" i="29"/>
  <c r="W84" i="29"/>
  <c r="CA40" i="29"/>
  <c r="BZ21" i="29"/>
  <c r="BZ55" i="29"/>
  <c r="BZ40" i="29"/>
  <c r="H44" i="29"/>
  <c r="E52" i="29"/>
  <c r="AU111" i="29"/>
  <c r="AU83" i="29"/>
  <c r="AU84" i="29"/>
  <c r="U44" i="29"/>
  <c r="BT110" i="29"/>
  <c r="BT81" i="29"/>
  <c r="D52" i="29"/>
  <c r="B84" i="29"/>
  <c r="B83" i="29"/>
  <c r="F94" i="29"/>
  <c r="B111" i="29"/>
  <c r="C103" i="29"/>
  <c r="AM57" i="29"/>
  <c r="AQ42" i="29"/>
  <c r="AN50" i="29"/>
  <c r="AM42" i="29"/>
  <c r="AM50" i="29"/>
  <c r="V111" i="29"/>
  <c r="V83" i="29"/>
  <c r="W103" i="29"/>
  <c r="V84" i="29"/>
  <c r="BW81" i="29"/>
  <c r="BW110" i="29"/>
  <c r="BX93" i="29"/>
  <c r="AE111" i="29"/>
  <c r="AE84" i="29"/>
  <c r="AF103" i="29"/>
  <c r="AE83" i="29"/>
  <c r="AT111" i="29"/>
  <c r="AT83" i="29"/>
  <c r="AU103" i="29"/>
  <c r="AT84" i="29"/>
  <c r="Q44" i="29"/>
  <c r="N52" i="29"/>
  <c r="M86" i="29"/>
  <c r="M112" i="29"/>
  <c r="M52" i="29"/>
  <c r="P44" i="29"/>
  <c r="E83" i="29"/>
  <c r="F103" i="29"/>
  <c r="E111" i="29"/>
  <c r="E84" i="29"/>
  <c r="AN84" i="29"/>
  <c r="AN111" i="29"/>
  <c r="AO103" i="29"/>
  <c r="AN83" i="29"/>
  <c r="L44" i="29"/>
  <c r="J94" i="29"/>
  <c r="F84" i="29"/>
  <c r="F83" i="29"/>
  <c r="G103" i="29"/>
  <c r="F111" i="29"/>
  <c r="K94" i="29"/>
  <c r="N103" i="29"/>
  <c r="BQ110" i="29"/>
  <c r="BQ81" i="29"/>
  <c r="BQ93" i="29"/>
  <c r="AE94" i="29"/>
  <c r="H112" i="29"/>
  <c r="H86" i="29"/>
  <c r="G112" i="29"/>
  <c r="G86" i="29"/>
  <c r="H104" i="29"/>
  <c r="J52" i="29"/>
  <c r="M44" i="29"/>
  <c r="AT103" i="29"/>
  <c r="V52" i="29"/>
  <c r="Y44" i="29"/>
  <c r="Q84" i="29"/>
  <c r="U94" i="29"/>
  <c r="Q111" i="29"/>
  <c r="Q83" i="29"/>
  <c r="Q103" i="29"/>
  <c r="F52" i="29"/>
  <c r="I44" i="29"/>
  <c r="AE103" i="29"/>
  <c r="D84" i="29"/>
  <c r="D83" i="29"/>
  <c r="H94" i="29"/>
  <c r="D111" i="29"/>
  <c r="E103" i="29"/>
  <c r="AL65" i="4"/>
  <c r="U65" i="4"/>
  <c r="Q60" i="4"/>
  <c r="T59" i="4"/>
  <c r="BR196" i="1"/>
  <c r="U60" i="4"/>
  <c r="T60" i="4"/>
  <c r="L59" i="4"/>
  <c r="AU65" i="4"/>
  <c r="L60" i="4"/>
  <c r="AM65" i="4"/>
  <c r="X61" i="4"/>
  <c r="K65" i="4"/>
  <c r="CA219" i="1"/>
  <c r="BV196" i="1"/>
  <c r="BA31" i="3"/>
  <c r="BA38" i="4"/>
  <c r="AD61" i="4"/>
  <c r="BB11" i="3"/>
  <c r="V65" i="4"/>
  <c r="BA26" i="3"/>
  <c r="Z59" i="4"/>
  <c r="AW219" i="1"/>
  <c r="BA30" i="3"/>
  <c r="W65" i="4"/>
  <c r="Z61" i="4"/>
  <c r="BB12" i="3"/>
  <c r="BB40" i="3"/>
  <c r="AY57" i="3"/>
  <c r="AS52" i="4"/>
  <c r="N60" i="4"/>
  <c r="BA63" i="3"/>
  <c r="AZ19" i="3"/>
  <c r="I65" i="4"/>
  <c r="P61" i="4"/>
  <c r="P59" i="4"/>
  <c r="T61" i="4"/>
  <c r="I59" i="4"/>
  <c r="I61" i="4"/>
  <c r="J60" i="4"/>
  <c r="J66" i="4"/>
  <c r="M59" i="4"/>
  <c r="M61" i="4"/>
  <c r="M60" i="4"/>
  <c r="AQ66" i="4"/>
  <c r="C41" i="3"/>
  <c r="C6" i="4"/>
  <c r="Q65" i="4"/>
  <c r="O65" i="4"/>
  <c r="AS17" i="9"/>
  <c r="AS19" i="9" s="1"/>
  <c r="AS22" i="9" s="1"/>
  <c r="CB25" i="9"/>
  <c r="CB27" i="9"/>
  <c r="CB28" i="9" s="1"/>
  <c r="CC24" i="9"/>
  <c r="AY26" i="9"/>
  <c r="AZ24" i="9" s="1"/>
  <c r="BA33" i="3"/>
  <c r="BA58" i="3"/>
  <c r="CB32" i="3"/>
  <c r="BB17" i="3"/>
  <c r="CC36" i="3"/>
  <c r="BC36" i="3"/>
  <c r="CB18" i="4"/>
  <c r="AX25" i="4"/>
  <c r="AX26" i="4"/>
  <c r="AF14" i="9"/>
  <c r="AE17" i="9"/>
  <c r="AE19" i="9" s="1"/>
  <c r="AE22" i="9" s="1"/>
  <c r="AE30" i="9" s="1"/>
  <c r="AE39" i="9" s="1"/>
  <c r="X17" i="9"/>
  <c r="X19" i="9" s="1"/>
  <c r="X22" i="9" s="1"/>
  <c r="X30" i="9" s="1"/>
  <c r="X39" i="9" s="1"/>
  <c r="Y16" i="9"/>
  <c r="Z14" i="9" s="1"/>
  <c r="Z16" i="9" s="1"/>
  <c r="Z17" i="9" s="1"/>
  <c r="Z19" i="9" s="1"/>
  <c r="Z22" i="9" s="1"/>
  <c r="Z30" i="9" s="1"/>
  <c r="Z39" i="9" s="1"/>
  <c r="AT16" i="9"/>
  <c r="AT17" i="9" s="1"/>
  <c r="AT19" i="9" s="1"/>
  <c r="AT22" i="9" s="1"/>
  <c r="AT30" i="9" s="1"/>
  <c r="AT39" i="9" s="1"/>
  <c r="BF52" i="3"/>
  <c r="D66" i="4"/>
  <c r="BQ58" i="4"/>
  <c r="R66" i="4"/>
  <c r="T66" i="4"/>
  <c r="BX59" i="4"/>
  <c r="BX61" i="4"/>
  <c r="Z66" i="4"/>
  <c r="X66" i="4"/>
  <c r="X68" i="4"/>
  <c r="BZ63" i="4"/>
  <c r="BZ196" i="1"/>
  <c r="AO66" i="4"/>
  <c r="BV58" i="4"/>
  <c r="G60" i="4"/>
  <c r="F59" i="4"/>
  <c r="F61" i="4"/>
  <c r="F60" i="4"/>
  <c r="J61" i="4"/>
  <c r="AE65" i="4"/>
  <c r="AN65" i="4"/>
  <c r="M66" i="4"/>
  <c r="B66" i="4"/>
  <c r="H6" i="4"/>
  <c r="AB65" i="4"/>
  <c r="L65" i="4"/>
  <c r="AB61" i="4"/>
  <c r="AB60" i="4"/>
  <c r="AB59" i="4"/>
  <c r="AF61" i="4"/>
  <c r="G65" i="4"/>
  <c r="BW59" i="4"/>
  <c r="Y66" i="4"/>
  <c r="Y67" i="4"/>
  <c r="AP65" i="4"/>
  <c r="BQ196" i="1"/>
  <c r="AT67" i="4"/>
  <c r="AI65" i="4"/>
  <c r="H68" i="4"/>
  <c r="H66" i="4"/>
  <c r="AT6" i="4"/>
  <c r="F65" i="4"/>
  <c r="D6" i="4"/>
  <c r="Y59" i="4"/>
  <c r="Z60" i="4"/>
  <c r="Y60" i="4"/>
  <c r="Y61" i="4"/>
  <c r="BT58" i="4"/>
  <c r="AF66" i="4"/>
  <c r="BS59" i="4"/>
  <c r="AP58" i="4"/>
  <c r="AF6" i="4"/>
  <c r="AC65" i="4"/>
  <c r="P52" i="29" l="1"/>
  <c r="AT66" i="4"/>
  <c r="BZ241" i="1"/>
  <c r="R44" i="29"/>
  <c r="CA243" i="1"/>
  <c r="AJ68" i="4"/>
  <c r="AJ66" i="4"/>
  <c r="M94" i="29"/>
  <c r="E66" i="4"/>
  <c r="R52" i="29"/>
  <c r="J103" i="29"/>
  <c r="BZ243" i="1"/>
  <c r="BZ201" i="1"/>
  <c r="I83" i="29"/>
  <c r="BZ205" i="1"/>
  <c r="I94" i="29"/>
  <c r="I103" i="29"/>
  <c r="I111" i="29"/>
  <c r="BZ203" i="1"/>
  <c r="BZ292" i="1"/>
  <c r="BY61" i="4"/>
  <c r="AD68" i="4"/>
  <c r="AD66" i="4"/>
  <c r="AD76" i="29"/>
  <c r="AH68" i="4"/>
  <c r="BU42" i="29"/>
  <c r="BU57" i="29"/>
  <c r="T44" i="29"/>
  <c r="CA81" i="29"/>
  <c r="BR19" i="29"/>
  <c r="BA310" i="1"/>
  <c r="AR76" i="29"/>
  <c r="BX65" i="4"/>
  <c r="BW65" i="4"/>
  <c r="AJ41" i="29"/>
  <c r="M76" i="29"/>
  <c r="D76" i="29"/>
  <c r="Z76" i="29"/>
  <c r="AZ92" i="3"/>
  <c r="AF76" i="29"/>
  <c r="B76" i="29"/>
  <c r="AU76" i="29"/>
  <c r="U76" i="29"/>
  <c r="AN58" i="4"/>
  <c r="BU58" i="4"/>
  <c r="BV61" i="4" s="1"/>
  <c r="P76" i="29"/>
  <c r="BC33" i="1"/>
  <c r="AR58" i="4"/>
  <c r="AR59" i="4" s="1"/>
  <c r="BC10" i="1"/>
  <c r="Y76" i="29"/>
  <c r="BT19" i="29"/>
  <c r="F76" i="29"/>
  <c r="AI76" i="29"/>
  <c r="AO58" i="4"/>
  <c r="AO59" i="4" s="1"/>
  <c r="S65" i="4"/>
  <c r="BT65" i="4"/>
  <c r="BY65" i="4"/>
  <c r="V44" i="29"/>
  <c r="R76" i="29"/>
  <c r="X76" i="29"/>
  <c r="T76" i="29"/>
  <c r="AQ76" i="29"/>
  <c r="AP19" i="29"/>
  <c r="G76" i="29"/>
  <c r="AL76" i="29"/>
  <c r="AH76" i="29"/>
  <c r="AP76" i="29"/>
  <c r="CA65" i="4"/>
  <c r="AQ58" i="4"/>
  <c r="BC212" i="1"/>
  <c r="BC14" i="29" s="1"/>
  <c r="C76" i="29"/>
  <c r="AG76" i="29"/>
  <c r="BR65" i="4"/>
  <c r="BV65" i="4"/>
  <c r="BV66" i="4" s="1"/>
  <c r="CB36" i="29"/>
  <c r="S61" i="4"/>
  <c r="J76" i="29"/>
  <c r="AS76" i="29"/>
  <c r="AN76" i="29"/>
  <c r="AM76" i="29"/>
  <c r="AA76" i="29"/>
  <c r="AJ76" i="29"/>
  <c r="AC76" i="29"/>
  <c r="K76" i="29"/>
  <c r="BC49" i="1"/>
  <c r="AT58" i="4"/>
  <c r="AT59" i="4" s="1"/>
  <c r="BS65" i="4"/>
  <c r="BQ65" i="4"/>
  <c r="AJ94" i="29"/>
  <c r="BX19" i="29"/>
  <c r="E76" i="29"/>
  <c r="AT76" i="29"/>
  <c r="BB38" i="3"/>
  <c r="BB29" i="3"/>
  <c r="AY32" i="3"/>
  <c r="BC11" i="3"/>
  <c r="BA72" i="3"/>
  <c r="BC12" i="3"/>
  <c r="AU58" i="4"/>
  <c r="AI41" i="29"/>
  <c r="AL41" i="29"/>
  <c r="BY19" i="29"/>
  <c r="AR84" i="29"/>
  <c r="AS104" i="29" s="1"/>
  <c r="AR83" i="29"/>
  <c r="AR111" i="29"/>
  <c r="L95" i="29"/>
  <c r="BS93" i="29"/>
  <c r="AB103" i="29"/>
  <c r="Y86" i="29"/>
  <c r="AW9" i="29"/>
  <c r="AW37" i="29"/>
  <c r="BU24" i="29"/>
  <c r="T84" i="29"/>
  <c r="U104" i="29" s="1"/>
  <c r="T83" i="29"/>
  <c r="T111" i="29"/>
  <c r="AQ25" i="29"/>
  <c r="AD84" i="29"/>
  <c r="AH95" i="29" s="1"/>
  <c r="AD111" i="29"/>
  <c r="AD83" i="29"/>
  <c r="C112" i="29"/>
  <c r="BU81" i="29"/>
  <c r="Q94" i="29"/>
  <c r="AM25" i="29"/>
  <c r="AS25" i="29"/>
  <c r="AR94" i="29"/>
  <c r="AK103" i="29"/>
  <c r="Z111" i="29"/>
  <c r="AO25" i="29"/>
  <c r="P83" i="29"/>
  <c r="T94" i="29"/>
  <c r="P111" i="29"/>
  <c r="P84" i="29"/>
  <c r="AL94" i="29"/>
  <c r="AM84" i="29"/>
  <c r="AN104" i="29" s="1"/>
  <c r="AM111" i="29"/>
  <c r="AM83" i="29"/>
  <c r="BZ24" i="29"/>
  <c r="O112" i="29"/>
  <c r="AT25" i="29"/>
  <c r="AR25" i="29"/>
  <c r="AJ84" i="29"/>
  <c r="AJ111" i="29"/>
  <c r="AJ83" i="29"/>
  <c r="Q95" i="29"/>
  <c r="AM103" i="29"/>
  <c r="AQ94" i="29"/>
  <c r="AK104" i="29"/>
  <c r="AS103" i="29"/>
  <c r="AN94" i="29"/>
  <c r="AR103" i="29"/>
  <c r="AP25" i="29"/>
  <c r="AA52" i="29"/>
  <c r="AN103" i="29"/>
  <c r="N104" i="29"/>
  <c r="BY93" i="29"/>
  <c r="R84" i="29"/>
  <c r="S52" i="29"/>
  <c r="BW25" i="29"/>
  <c r="BY25" i="29"/>
  <c r="AU25" i="29"/>
  <c r="AN25" i="29"/>
  <c r="BG37" i="29"/>
  <c r="BC9" i="29"/>
  <c r="BC37" i="29"/>
  <c r="AY212" i="1"/>
  <c r="AY214" i="1"/>
  <c r="AY16" i="29" s="1"/>
  <c r="AY9" i="29"/>
  <c r="AY37" i="29"/>
  <c r="BB37" i="29"/>
  <c r="AX9" i="29"/>
  <c r="AX38" i="29" s="1"/>
  <c r="AX37" i="29"/>
  <c r="BB36" i="29"/>
  <c r="BE36" i="29"/>
  <c r="BA36" i="29"/>
  <c r="AZ36" i="29"/>
  <c r="CA24" i="29"/>
  <c r="AY213" i="1"/>
  <c r="AK95" i="29"/>
  <c r="AI251" i="1"/>
  <c r="AL95" i="29"/>
  <c r="AY49" i="1"/>
  <c r="BX246" i="1"/>
  <c r="AL252" i="1"/>
  <c r="BZ290" i="1"/>
  <c r="BZ28" i="29" s="1"/>
  <c r="AM28" i="29"/>
  <c r="CA290" i="1"/>
  <c r="CA28" i="29" s="1"/>
  <c r="AQ28" i="29"/>
  <c r="BK24" i="1"/>
  <c r="BK25" i="1"/>
  <c r="CF23" i="1"/>
  <c r="CF25" i="1" s="1"/>
  <c r="BL24" i="1"/>
  <c r="BC214" i="1"/>
  <c r="AY33" i="1"/>
  <c r="AP248" i="1"/>
  <c r="AN248" i="1"/>
  <c r="AM248" i="1"/>
  <c r="AX212" i="1"/>
  <c r="BW203" i="1"/>
  <c r="BW201" i="1"/>
  <c r="BX205" i="1"/>
  <c r="BX208" i="1" s="1"/>
  <c r="AX213" i="1"/>
  <c r="AX33" i="1"/>
  <c r="AY9" i="1"/>
  <c r="BR205" i="1"/>
  <c r="BR206" i="1" s="1"/>
  <c r="BQ205" i="1"/>
  <c r="BQ208" i="1" s="1"/>
  <c r="BR203" i="1"/>
  <c r="AY218" i="1"/>
  <c r="AY211" i="1" s="1"/>
  <c r="AY67" i="3" s="1"/>
  <c r="BQ203" i="1"/>
  <c r="AX49" i="1"/>
  <c r="AX214" i="1"/>
  <c r="AX16" i="29" s="1"/>
  <c r="AX10" i="1"/>
  <c r="BT252" i="1"/>
  <c r="AF251" i="1"/>
  <c r="BY201" i="1"/>
  <c r="AJ252" i="1"/>
  <c r="BY205" i="1"/>
  <c r="BT201" i="1"/>
  <c r="BY203" i="1"/>
  <c r="BT205" i="1"/>
  <c r="AG251" i="1"/>
  <c r="BX203" i="1"/>
  <c r="BV203" i="1"/>
  <c r="BS205" i="1"/>
  <c r="BS206" i="1" s="1"/>
  <c r="BV205" i="1"/>
  <c r="BV208" i="1" s="1"/>
  <c r="BS203" i="1"/>
  <c r="CA245" i="1"/>
  <c r="CA246" i="1" s="1"/>
  <c r="BR94" i="29"/>
  <c r="BU200" i="1"/>
  <c r="BU205" i="1" s="1"/>
  <c r="BU63" i="4"/>
  <c r="BX84" i="29"/>
  <c r="AI252" i="1"/>
  <c r="AR248" i="1"/>
  <c r="AN246" i="1"/>
  <c r="AN250" i="1"/>
  <c r="AN252" i="1" s="1"/>
  <c r="BZ245" i="1"/>
  <c r="AO250" i="1"/>
  <c r="AO246" i="1"/>
  <c r="AP247" i="1"/>
  <c r="AS248" i="1"/>
  <c r="AD251" i="1"/>
  <c r="AG252" i="1"/>
  <c r="BX248" i="1"/>
  <c r="BW250" i="1"/>
  <c r="BX252" i="1" s="1"/>
  <c r="BW246" i="1"/>
  <c r="BY250" i="1"/>
  <c r="BY246" i="1"/>
  <c r="AP250" i="1"/>
  <c r="AP246" i="1"/>
  <c r="AQ247" i="1"/>
  <c r="AT248" i="1"/>
  <c r="AF252" i="1"/>
  <c r="AC251" i="1"/>
  <c r="AB252" i="1"/>
  <c r="BS252" i="1"/>
  <c r="AO247" i="1"/>
  <c r="AQ250" i="1"/>
  <c r="AQ246" i="1"/>
  <c r="AR247" i="1"/>
  <c r="AU248" i="1"/>
  <c r="AM247" i="1"/>
  <c r="T251" i="1"/>
  <c r="W252" i="1"/>
  <c r="BY248" i="1"/>
  <c r="BR252" i="1"/>
  <c r="BQ252" i="1"/>
  <c r="AH251" i="1"/>
  <c r="AK252" i="1"/>
  <c r="AE251" i="1"/>
  <c r="AH252" i="1"/>
  <c r="AO248" i="1"/>
  <c r="AK251" i="1"/>
  <c r="BU246" i="1"/>
  <c r="BU250" i="1"/>
  <c r="BV252" i="1" s="1"/>
  <c r="BV248" i="1"/>
  <c r="AU247" i="1"/>
  <c r="AT246" i="1"/>
  <c r="AS250" i="1"/>
  <c r="AT247" i="1"/>
  <c r="AS246" i="1"/>
  <c r="BU248" i="1"/>
  <c r="AM246" i="1"/>
  <c r="AN247" i="1"/>
  <c r="AQ248" i="1"/>
  <c r="AM250" i="1"/>
  <c r="AM251" i="1" s="1"/>
  <c r="AL251" i="1"/>
  <c r="BW248" i="1"/>
  <c r="S251" i="1"/>
  <c r="AR250" i="1"/>
  <c r="AR246" i="1"/>
  <c r="AS247" i="1"/>
  <c r="AJ251" i="1"/>
  <c r="S206" i="1"/>
  <c r="S208" i="1"/>
  <c r="CA206" i="1"/>
  <c r="CA208" i="1"/>
  <c r="BW208" i="1"/>
  <c r="BW206" i="1"/>
  <c r="AW218" i="1"/>
  <c r="BZ206" i="1"/>
  <c r="BZ208" i="1"/>
  <c r="E6" i="4"/>
  <c r="AQ6" i="4"/>
  <c r="AU6" i="4"/>
  <c r="CA220" i="1"/>
  <c r="CA56" i="29" s="1"/>
  <c r="CC32" i="1"/>
  <c r="BZ56" i="29"/>
  <c r="BK8" i="1"/>
  <c r="BF8" i="1"/>
  <c r="BA8" i="1"/>
  <c r="CC7" i="29"/>
  <c r="BC38" i="29"/>
  <c r="BD32" i="1"/>
  <c r="BD31" i="1"/>
  <c r="BB33" i="1"/>
  <c r="AW49" i="1"/>
  <c r="AW33" i="1"/>
  <c r="BI32" i="1"/>
  <c r="BG32" i="1"/>
  <c r="BG31" i="1"/>
  <c r="BM32" i="1"/>
  <c r="BK7" i="29"/>
  <c r="BK32" i="1"/>
  <c r="BF7" i="29"/>
  <c r="BF32" i="1"/>
  <c r="BF31" i="1"/>
  <c r="BE31" i="1"/>
  <c r="BG49" i="1"/>
  <c r="AY261" i="1"/>
  <c r="AY229" i="1"/>
  <c r="BD7" i="29"/>
  <c r="AY230" i="1"/>
  <c r="CD30" i="1"/>
  <c r="AY14" i="29"/>
  <c r="BG7" i="29"/>
  <c r="AY263" i="1"/>
  <c r="BN78" i="1"/>
  <c r="BN30" i="1" s="1"/>
  <c r="BJ30" i="1"/>
  <c r="BL78" i="1"/>
  <c r="BL30" i="1" s="1"/>
  <c r="BH30" i="1"/>
  <c r="BI39" i="1"/>
  <c r="BK76" i="1"/>
  <c r="BJ72" i="1"/>
  <c r="BJ39" i="1" s="1"/>
  <c r="BG213" i="1"/>
  <c r="BG230" i="1" s="1"/>
  <c r="BC9" i="1"/>
  <c r="BB49" i="1"/>
  <c r="BB214" i="1"/>
  <c r="BB213" i="1"/>
  <c r="BB269" i="1" s="1"/>
  <c r="B6" i="4"/>
  <c r="BG47" i="1"/>
  <c r="BB212" i="1"/>
  <c r="BB261" i="1" s="1"/>
  <c r="BB10" i="1"/>
  <c r="AO6" i="4"/>
  <c r="BA61" i="1"/>
  <c r="BA8" i="29"/>
  <c r="BB9" i="29"/>
  <c r="BB47" i="1"/>
  <c r="BK8" i="29"/>
  <c r="CF58" i="1"/>
  <c r="CF60" i="1" s="1"/>
  <c r="BK59" i="1"/>
  <c r="BK61" i="1"/>
  <c r="BL59" i="1"/>
  <c r="CE60" i="1"/>
  <c r="BF61" i="1"/>
  <c r="BF8" i="29"/>
  <c r="AX9" i="1"/>
  <c r="AW10" i="1"/>
  <c r="AW212" i="1"/>
  <c r="AW213" i="1"/>
  <c r="AW269" i="1" s="1"/>
  <c r="AW214" i="1"/>
  <c r="T67" i="4"/>
  <c r="AR6" i="4"/>
  <c r="BU196" i="1"/>
  <c r="S67" i="4"/>
  <c r="BR59" i="4"/>
  <c r="BS61" i="4"/>
  <c r="S66" i="4"/>
  <c r="C67" i="4"/>
  <c r="D67" i="4"/>
  <c r="C66" i="4"/>
  <c r="AG6" i="4"/>
  <c r="BX83" i="29"/>
  <c r="AG67" i="4"/>
  <c r="AH67" i="4"/>
  <c r="AG66" i="4"/>
  <c r="T68" i="4"/>
  <c r="BV94" i="29"/>
  <c r="AR67" i="4"/>
  <c r="J6" i="4"/>
  <c r="M6" i="4"/>
  <c r="BV93" i="29"/>
  <c r="AD6" i="4"/>
  <c r="AS67" i="4"/>
  <c r="AR66" i="4"/>
  <c r="P66" i="4"/>
  <c r="BX111" i="29"/>
  <c r="BU83" i="29"/>
  <c r="BU110" i="29"/>
  <c r="BC229" i="1"/>
  <c r="BU111" i="29"/>
  <c r="AA44" i="29"/>
  <c r="BU93" i="29"/>
  <c r="BC263" i="1"/>
  <c r="BC269" i="1"/>
  <c r="BC280" i="1" s="1"/>
  <c r="BC215" i="1"/>
  <c r="BC15" i="29"/>
  <c r="R6" i="4"/>
  <c r="S44" i="29"/>
  <c r="BC261" i="1"/>
  <c r="W44" i="29"/>
  <c r="AH6" i="4"/>
  <c r="T52" i="29"/>
  <c r="AA67" i="4"/>
  <c r="Q68" i="4"/>
  <c r="Q76" i="29"/>
  <c r="M68" i="4"/>
  <c r="I76" i="29"/>
  <c r="BW61" i="4"/>
  <c r="BV19" i="29"/>
  <c r="AF67" i="4"/>
  <c r="AE76" i="29"/>
  <c r="BI7" i="29"/>
  <c r="V68" i="4"/>
  <c r="V76" i="29"/>
  <c r="BR61" i="4"/>
  <c r="BQ19" i="29"/>
  <c r="M67" i="4"/>
  <c r="L76" i="29"/>
  <c r="P67" i="4"/>
  <c r="O76" i="29"/>
  <c r="AQ19" i="29"/>
  <c r="N67" i="4"/>
  <c r="N76" i="29"/>
  <c r="AF68" i="4"/>
  <c r="AB76" i="29"/>
  <c r="X67" i="4"/>
  <c r="W76" i="29"/>
  <c r="AK66" i="4"/>
  <c r="AK76" i="29"/>
  <c r="AN19" i="29"/>
  <c r="Y112" i="29"/>
  <c r="Y104" i="29"/>
  <c r="O86" i="29"/>
  <c r="AS112" i="29"/>
  <c r="AS86" i="29"/>
  <c r="AB94" i="29"/>
  <c r="AB111" i="29"/>
  <c r="AC103" i="29"/>
  <c r="Z83" i="29"/>
  <c r="AF94" i="29"/>
  <c r="BZ93" i="29"/>
  <c r="Z94" i="29"/>
  <c r="BY110" i="29"/>
  <c r="BY81" i="29"/>
  <c r="AB83" i="29"/>
  <c r="AB84" i="29"/>
  <c r="P104" i="29"/>
  <c r="AI94" i="29"/>
  <c r="AD94" i="29"/>
  <c r="AA103" i="29"/>
  <c r="AM94" i="29"/>
  <c r="BS81" i="29"/>
  <c r="AI103" i="29"/>
  <c r="BS110" i="29"/>
  <c r="AI84" i="29"/>
  <c r="BT93" i="29"/>
  <c r="AI83" i="29"/>
  <c r="Z103" i="29"/>
  <c r="Z84" i="29"/>
  <c r="AJ103" i="29"/>
  <c r="AC95" i="29"/>
  <c r="AC112" i="29"/>
  <c r="AG95" i="29"/>
  <c r="AC86" i="29"/>
  <c r="D104" i="29"/>
  <c r="G95" i="29"/>
  <c r="C86" i="29"/>
  <c r="V95" i="29"/>
  <c r="R111" i="29"/>
  <c r="R103" i="29"/>
  <c r="R112" i="29"/>
  <c r="R83" i="29"/>
  <c r="R94" i="29"/>
  <c r="V94" i="29"/>
  <c r="X95" i="29"/>
  <c r="X112" i="29"/>
  <c r="AK112" i="29"/>
  <c r="AK86" i="29"/>
  <c r="X86" i="29"/>
  <c r="AO95" i="29"/>
  <c r="S83" i="29"/>
  <c r="S103" i="29"/>
  <c r="S84" i="29"/>
  <c r="S94" i="29"/>
  <c r="T103" i="29"/>
  <c r="S111" i="29"/>
  <c r="W94" i="29"/>
  <c r="AO68" i="4"/>
  <c r="AA66" i="4"/>
  <c r="N66" i="4"/>
  <c r="Y6" i="4"/>
  <c r="N68" i="4"/>
  <c r="AK68" i="4"/>
  <c r="BZ52" i="4"/>
  <c r="X6" i="4"/>
  <c r="AK67" i="4"/>
  <c r="R68" i="4"/>
  <c r="AM58" i="4"/>
  <c r="AA6" i="4"/>
  <c r="AX218" i="1"/>
  <c r="Q67" i="4"/>
  <c r="AJ6" i="4"/>
  <c r="T6" i="4"/>
  <c r="AS6" i="4"/>
  <c r="F104" i="29"/>
  <c r="I95" i="29"/>
  <c r="E112" i="29"/>
  <c r="E86" i="29"/>
  <c r="AF112" i="29"/>
  <c r="AF86" i="29"/>
  <c r="AG104" i="29"/>
  <c r="I86" i="29"/>
  <c r="J104" i="29"/>
  <c r="I112" i="29"/>
  <c r="M95" i="29"/>
  <c r="AH86" i="29"/>
  <c r="AH112" i="29"/>
  <c r="I104" i="29"/>
  <c r="BW84" i="29"/>
  <c r="BW111" i="29"/>
  <c r="BX94" i="29"/>
  <c r="BW83" i="29"/>
  <c r="BB9" i="3"/>
  <c r="BT84" i="29"/>
  <c r="BT111" i="29"/>
  <c r="BU94" i="29"/>
  <c r="BT83" i="29"/>
  <c r="BV86" i="29"/>
  <c r="BV112" i="29"/>
  <c r="O95" i="29"/>
  <c r="K112" i="29"/>
  <c r="K86" i="29"/>
  <c r="L104" i="29"/>
  <c r="BQ111" i="29"/>
  <c r="BQ84" i="29"/>
  <c r="BQ83" i="29"/>
  <c r="BQ94" i="29"/>
  <c r="AN112" i="29"/>
  <c r="AN86" i="29"/>
  <c r="AO104" i="29"/>
  <c r="AN95" i="29"/>
  <c r="AP95" i="29"/>
  <c r="AL86" i="29"/>
  <c r="AL112" i="29"/>
  <c r="BZ84" i="29"/>
  <c r="CA94" i="29"/>
  <c r="BZ111" i="29"/>
  <c r="BZ83" i="29"/>
  <c r="BW94" i="29"/>
  <c r="AQ112" i="29"/>
  <c r="AQ86" i="29"/>
  <c r="AU95" i="29"/>
  <c r="AQ95" i="29"/>
  <c r="AT95" i="29"/>
  <c r="AP112" i="29"/>
  <c r="AQ104" i="29"/>
  <c r="AP86" i="29"/>
  <c r="J86" i="29"/>
  <c r="K104" i="29"/>
  <c r="N95" i="29"/>
  <c r="J112" i="29"/>
  <c r="J95" i="29"/>
  <c r="G104" i="29"/>
  <c r="F86" i="29"/>
  <c r="F112" i="29"/>
  <c r="AU104" i="29"/>
  <c r="AT86" i="29"/>
  <c r="AT112" i="29"/>
  <c r="BZ57" i="29"/>
  <c r="CA42" i="29"/>
  <c r="BZ42" i="29"/>
  <c r="AT104" i="29"/>
  <c r="R95" i="29"/>
  <c r="O104" i="29"/>
  <c r="N86" i="29"/>
  <c r="N112" i="29"/>
  <c r="R67" i="4"/>
  <c r="K95" i="29"/>
  <c r="AE86" i="29"/>
  <c r="AE112" i="29"/>
  <c r="AF104" i="29"/>
  <c r="AL104" i="29"/>
  <c r="CA57" i="29"/>
  <c r="AO86" i="29"/>
  <c r="AP104" i="29"/>
  <c r="AS95" i="29"/>
  <c r="AO112" i="29"/>
  <c r="BR111" i="29"/>
  <c r="BR84" i="29"/>
  <c r="BR83" i="29"/>
  <c r="M104" i="29"/>
  <c r="L86" i="29"/>
  <c r="P95" i="29"/>
  <c r="L112" i="29"/>
  <c r="N6" i="4"/>
  <c r="AY18" i="4"/>
  <c r="H105" i="29"/>
  <c r="X104" i="29"/>
  <c r="AA95" i="29"/>
  <c r="W86" i="29"/>
  <c r="W112" i="29"/>
  <c r="AG86" i="29"/>
  <c r="AH104" i="29"/>
  <c r="AG112" i="29"/>
  <c r="D86" i="29"/>
  <c r="D112" i="29"/>
  <c r="E104" i="29"/>
  <c r="H95" i="29"/>
  <c r="Q86" i="29"/>
  <c r="U95" i="29"/>
  <c r="R104" i="29"/>
  <c r="Q112" i="29"/>
  <c r="Q104" i="29"/>
  <c r="AE104" i="29"/>
  <c r="W104" i="29"/>
  <c r="V86" i="29"/>
  <c r="V112" i="29"/>
  <c r="C104" i="29"/>
  <c r="F95" i="29"/>
  <c r="B112" i="29"/>
  <c r="B86" i="29"/>
  <c r="AU86" i="29"/>
  <c r="AU112" i="29"/>
  <c r="AE95" i="29"/>
  <c r="Y95" i="29"/>
  <c r="U112" i="29"/>
  <c r="U86" i="29"/>
  <c r="V104" i="29"/>
  <c r="AU66" i="4"/>
  <c r="AU68" i="4"/>
  <c r="U66" i="4"/>
  <c r="BB218" i="1"/>
  <c r="BF219" i="1"/>
  <c r="AL6" i="4"/>
  <c r="U67" i="4"/>
  <c r="U6" i="4"/>
  <c r="AL66" i="4"/>
  <c r="AL68" i="4"/>
  <c r="AU67" i="4"/>
  <c r="I67" i="4"/>
  <c r="AL67" i="4"/>
  <c r="Z68" i="4"/>
  <c r="AM66" i="4"/>
  <c r="AM67" i="4"/>
  <c r="K6" i="4"/>
  <c r="AM6" i="4"/>
  <c r="AQ68" i="4"/>
  <c r="K66" i="4"/>
  <c r="K67" i="4"/>
  <c r="Y68" i="4"/>
  <c r="J67" i="4"/>
  <c r="CA52" i="4"/>
  <c r="BV16" i="9"/>
  <c r="BV17" i="9" s="1"/>
  <c r="W6" i="4"/>
  <c r="AZ57" i="3"/>
  <c r="CC12" i="3"/>
  <c r="BB30" i="3"/>
  <c r="CC11" i="3"/>
  <c r="BA219" i="1"/>
  <c r="BB31" i="3"/>
  <c r="AS58" i="4"/>
  <c r="BB26" i="3"/>
  <c r="AA14" i="9"/>
  <c r="AA16" i="9" s="1"/>
  <c r="AB14" i="9" s="1"/>
  <c r="AB17" i="9" s="1"/>
  <c r="AB19" i="9" s="1"/>
  <c r="AB22" i="9" s="1"/>
  <c r="AB30" i="9" s="1"/>
  <c r="AB39" i="9" s="1"/>
  <c r="BC40" i="3"/>
  <c r="CC40" i="3"/>
  <c r="AA68" i="4"/>
  <c r="W68" i="4"/>
  <c r="W67" i="4"/>
  <c r="W66" i="4"/>
  <c r="V66" i="4"/>
  <c r="V67" i="4"/>
  <c r="V6" i="4"/>
  <c r="BB38" i="4"/>
  <c r="I6" i="4"/>
  <c r="AN59" i="4"/>
  <c r="AN61" i="4"/>
  <c r="I68" i="4"/>
  <c r="I66" i="4"/>
  <c r="BB63" i="3"/>
  <c r="BA19" i="3"/>
  <c r="Q6" i="4"/>
  <c r="C43" i="3"/>
  <c r="D41" i="3"/>
  <c r="Q66" i="4"/>
  <c r="U68" i="4"/>
  <c r="CA66" i="4"/>
  <c r="AY27" i="9"/>
  <c r="AY29" i="9" s="1"/>
  <c r="O67" i="4"/>
  <c r="O68" i="4"/>
  <c r="S68" i="4"/>
  <c r="O66" i="4"/>
  <c r="O6" i="4"/>
  <c r="C20" i="4"/>
  <c r="AZ26" i="9"/>
  <c r="BA24" i="9" s="1"/>
  <c r="BA26" i="9" s="1"/>
  <c r="BB24" i="9" s="1"/>
  <c r="BB26" i="9" s="1"/>
  <c r="BB27" i="9" s="1"/>
  <c r="BB29" i="9" s="1"/>
  <c r="BB33" i="3"/>
  <c r="BC17" i="3"/>
  <c r="CC17" i="3"/>
  <c r="BD36" i="3"/>
  <c r="BB58" i="3"/>
  <c r="CB26" i="4"/>
  <c r="Y17" i="9"/>
  <c r="Y19" i="9" s="1"/>
  <c r="Y22" i="9" s="1"/>
  <c r="CB25" i="4"/>
  <c r="AX8" i="3"/>
  <c r="CA19" i="9"/>
  <c r="CA18" i="9" s="1"/>
  <c r="P68" i="4"/>
  <c r="AS30" i="9"/>
  <c r="AS39" i="9" s="1"/>
  <c r="CA39" i="9" s="1"/>
  <c r="CA22" i="9"/>
  <c r="CA30" i="9" s="1"/>
  <c r="AF16" i="9"/>
  <c r="AG14" i="9" s="1"/>
  <c r="AU14" i="9"/>
  <c r="CA16" i="9"/>
  <c r="CA17" i="9" s="1"/>
  <c r="BX66" i="4"/>
  <c r="BX68" i="4"/>
  <c r="AP6" i="4"/>
  <c r="P20" i="4"/>
  <c r="AJ67" i="4"/>
  <c r="AI68" i="4"/>
  <c r="AI67" i="4"/>
  <c r="AI66" i="4"/>
  <c r="AM68" i="4"/>
  <c r="AN66" i="4"/>
  <c r="AN67" i="4"/>
  <c r="AN68" i="4"/>
  <c r="AO67" i="4"/>
  <c r="Z20" i="4"/>
  <c r="AR68" i="4"/>
  <c r="BY68" i="4"/>
  <c r="BY66" i="4"/>
  <c r="AN6" i="4"/>
  <c r="G68" i="4"/>
  <c r="G67" i="4"/>
  <c r="G66" i="4"/>
  <c r="K68" i="4"/>
  <c r="AI6" i="4"/>
  <c r="BG52" i="3"/>
  <c r="AE6" i="4"/>
  <c r="BR66" i="4"/>
  <c r="BS68" i="4"/>
  <c r="BS66" i="4"/>
  <c r="H20" i="4"/>
  <c r="F6" i="4"/>
  <c r="AC6" i="4"/>
  <c r="AK20" i="4"/>
  <c r="F66" i="4"/>
  <c r="F68" i="4"/>
  <c r="F67" i="4"/>
  <c r="J68" i="4"/>
  <c r="G6" i="4"/>
  <c r="BV59" i="4"/>
  <c r="AE68" i="4"/>
  <c r="AE67" i="4"/>
  <c r="AE66" i="4"/>
  <c r="BG219" i="1"/>
  <c r="BC218" i="1"/>
  <c r="AU59" i="4"/>
  <c r="AF20" i="4"/>
  <c r="AB6" i="4"/>
  <c r="AP66" i="4"/>
  <c r="AQ67" i="4"/>
  <c r="AP68" i="4"/>
  <c r="AP67" i="4"/>
  <c r="AC67" i="4"/>
  <c r="AC66" i="4"/>
  <c r="AD67" i="4"/>
  <c r="AP59" i="4"/>
  <c r="AP61" i="4"/>
  <c r="AT61" i="4"/>
  <c r="AQ60" i="4"/>
  <c r="AT20" i="4"/>
  <c r="L6" i="4"/>
  <c r="AG68" i="4"/>
  <c r="BZ65" i="4"/>
  <c r="BQ59" i="4"/>
  <c r="BQ61" i="4"/>
  <c r="BT59" i="4"/>
  <c r="BT61" i="4"/>
  <c r="D20" i="4"/>
  <c r="H67" i="4"/>
  <c r="AT68" i="4"/>
  <c r="L68" i="4"/>
  <c r="L66" i="4"/>
  <c r="L67" i="4"/>
  <c r="AB66" i="4"/>
  <c r="AB67" i="4"/>
  <c r="AB68" i="4"/>
  <c r="BW66" i="4"/>
  <c r="AX229" i="1" l="1"/>
  <c r="AY47" i="29"/>
  <c r="AX47" i="29"/>
  <c r="BU59" i="4"/>
  <c r="BW68" i="4"/>
  <c r="AP60" i="4"/>
  <c r="AU60" i="4"/>
  <c r="AM104" i="29"/>
  <c r="AW38" i="29"/>
  <c r="AO60" i="4"/>
  <c r="AQ59" i="4"/>
  <c r="AO61" i="4"/>
  <c r="AU61" i="4"/>
  <c r="BU61" i="4"/>
  <c r="AR60" i="4"/>
  <c r="AR95" i="29"/>
  <c r="BZ25" i="29"/>
  <c r="AR104" i="29"/>
  <c r="AR61" i="4"/>
  <c r="CA83" i="29"/>
  <c r="CA84" i="29"/>
  <c r="CA111" i="29"/>
  <c r="AJ20" i="4"/>
  <c r="BS76" i="29"/>
  <c r="S76" i="29"/>
  <c r="D43" i="3"/>
  <c r="BB310" i="1"/>
  <c r="BV76" i="29"/>
  <c r="BX76" i="29"/>
  <c r="AD20" i="4"/>
  <c r="AO20" i="4"/>
  <c r="AT19" i="29"/>
  <c r="AO19" i="29"/>
  <c r="BU19" i="29"/>
  <c r="AR20" i="4"/>
  <c r="AD104" i="29"/>
  <c r="B9" i="2"/>
  <c r="BR76" i="29"/>
  <c r="BY76" i="29"/>
  <c r="BU65" i="4"/>
  <c r="AR19" i="29"/>
  <c r="N20" i="4"/>
  <c r="AH20" i="4"/>
  <c r="M20" i="4"/>
  <c r="B20" i="4"/>
  <c r="BC230" i="1"/>
  <c r="AY269" i="1"/>
  <c r="AY280" i="1" s="1"/>
  <c r="AP41" i="29"/>
  <c r="BQ76" i="29"/>
  <c r="CA76" i="29"/>
  <c r="BT76" i="29"/>
  <c r="BA92" i="3"/>
  <c r="BZ76" i="29"/>
  <c r="T20" i="4"/>
  <c r="X20" i="4"/>
  <c r="AN41" i="29"/>
  <c r="R20" i="4"/>
  <c r="AX15" i="29"/>
  <c r="AX269" i="1"/>
  <c r="AX280" i="1" s="1"/>
  <c r="BW76" i="29"/>
  <c r="CC38" i="3"/>
  <c r="BC38" i="3"/>
  <c r="BC29" i="3"/>
  <c r="CC29" i="3"/>
  <c r="AZ32" i="3"/>
  <c r="BD12" i="3"/>
  <c r="BD11" i="3"/>
  <c r="AU19" i="29"/>
  <c r="BY41" i="29"/>
  <c r="C9" i="2"/>
  <c r="AM19" i="29"/>
  <c r="BZ250" i="1"/>
  <c r="BW95" i="29"/>
  <c r="AJ112" i="29"/>
  <c r="AJ86" i="29"/>
  <c r="N105" i="29"/>
  <c r="BS83" i="29"/>
  <c r="BY94" i="29"/>
  <c r="BG9" i="29"/>
  <c r="BG38" i="29" s="1"/>
  <c r="BG36" i="29"/>
  <c r="BK36" i="29"/>
  <c r="BU84" i="29"/>
  <c r="BU95" i="29" s="1"/>
  <c r="CA25" i="29"/>
  <c r="K96" i="29"/>
  <c r="I105" i="29"/>
  <c r="W95" i="29"/>
  <c r="G96" i="29"/>
  <c r="Z95" i="29"/>
  <c r="AM112" i="29"/>
  <c r="AM86" i="29"/>
  <c r="AB104" i="29"/>
  <c r="AJ95" i="29"/>
  <c r="T112" i="29"/>
  <c r="T86" i="29"/>
  <c r="AC96" i="29"/>
  <c r="P112" i="29"/>
  <c r="T95" i="29"/>
  <c r="P86" i="29"/>
  <c r="P105" i="29" s="1"/>
  <c r="AR112" i="29"/>
  <c r="AR86" i="29"/>
  <c r="L96" i="29"/>
  <c r="Y105" i="29"/>
  <c r="AM95" i="29"/>
  <c r="BX86" i="29"/>
  <c r="R86" i="29"/>
  <c r="AD112" i="29"/>
  <c r="AD86" i="29"/>
  <c r="BA9" i="29"/>
  <c r="BA38" i="29" s="1"/>
  <c r="BA37" i="29"/>
  <c r="BK37" i="29"/>
  <c r="AY231" i="1"/>
  <c r="AY15" i="29"/>
  <c r="AY176" i="1"/>
  <c r="AY69" i="29" s="1"/>
  <c r="AY265" i="1"/>
  <c r="AY177" i="1" s="1"/>
  <c r="AY70" i="29" s="1"/>
  <c r="BC231" i="1"/>
  <c r="AY215" i="1"/>
  <c r="AY17" i="29" s="1"/>
  <c r="AY38" i="29"/>
  <c r="BF37" i="29"/>
  <c r="BF36" i="29"/>
  <c r="BI36" i="29"/>
  <c r="BD36" i="29"/>
  <c r="CC36" i="29"/>
  <c r="AK96" i="29"/>
  <c r="AL96" i="29"/>
  <c r="AY235" i="1"/>
  <c r="AX14" i="29"/>
  <c r="BF33" i="1"/>
  <c r="BK33" i="1"/>
  <c r="BB230" i="1"/>
  <c r="BC16" i="29"/>
  <c r="BC265" i="1"/>
  <c r="BA33" i="1"/>
  <c r="AY236" i="1"/>
  <c r="AX261" i="1"/>
  <c r="AX230" i="1"/>
  <c r="AX263" i="1"/>
  <c r="BT206" i="1"/>
  <c r="AY74" i="3"/>
  <c r="AY79" i="3"/>
  <c r="BC9" i="3"/>
  <c r="BB72" i="3"/>
  <c r="AX265" i="1"/>
  <c r="AX215" i="1"/>
  <c r="AX240" i="1" s="1"/>
  <c r="AX231" i="1"/>
  <c r="BX112" i="29"/>
  <c r="BQ206" i="1"/>
  <c r="AY237" i="1"/>
  <c r="BY208" i="1"/>
  <c r="BY206" i="1"/>
  <c r="BR208" i="1"/>
  <c r="BY252" i="1"/>
  <c r="BX206" i="1"/>
  <c r="BV206" i="1"/>
  <c r="BT208" i="1"/>
  <c r="BS208" i="1"/>
  <c r="AR252" i="1"/>
  <c r="BU203" i="1"/>
  <c r="CA250" i="1"/>
  <c r="BU201" i="1"/>
  <c r="BI8" i="1"/>
  <c r="BR95" i="29"/>
  <c r="BQ95" i="29"/>
  <c r="CA248" i="1"/>
  <c r="E20" i="4"/>
  <c r="AO251" i="1"/>
  <c r="BZ248" i="1"/>
  <c r="AO252" i="1"/>
  <c r="BZ246" i="1"/>
  <c r="BQ6" i="4"/>
  <c r="BU252" i="1"/>
  <c r="AQ251" i="1"/>
  <c r="AT252" i="1"/>
  <c r="AT251" i="1"/>
  <c r="AU251" i="1"/>
  <c r="BZ252" i="1"/>
  <c r="AP252" i="1"/>
  <c r="AS251" i="1"/>
  <c r="BW252" i="1"/>
  <c r="AN251" i="1"/>
  <c r="AQ252" i="1"/>
  <c r="AM252" i="1"/>
  <c r="AR251" i="1"/>
  <c r="AU252" i="1"/>
  <c r="AP251" i="1"/>
  <c r="AS252" i="1"/>
  <c r="BU208" i="1"/>
  <c r="BU206" i="1"/>
  <c r="AQ20" i="4"/>
  <c r="AU20" i="4"/>
  <c r="BC240" i="1"/>
  <c r="AY240" i="1"/>
  <c r="AY175" i="1"/>
  <c r="AY11" i="29"/>
  <c r="AY223" i="1"/>
  <c r="BK9" i="29"/>
  <c r="BF47" i="1"/>
  <c r="BE8" i="1"/>
  <c r="CD32" i="1"/>
  <c r="BF9" i="29"/>
  <c r="BM31" i="1"/>
  <c r="CD7" i="29"/>
  <c r="BJ8" i="1"/>
  <c r="BN8" i="1"/>
  <c r="BN32" i="1"/>
  <c r="BN31" i="1"/>
  <c r="BJ7" i="29"/>
  <c r="BJ31" i="1"/>
  <c r="BJ32" i="1"/>
  <c r="BH31" i="1"/>
  <c r="BH32" i="1"/>
  <c r="BL31" i="1"/>
  <c r="BL32" i="1"/>
  <c r="BK31" i="1"/>
  <c r="BG33" i="1"/>
  <c r="BI31" i="1"/>
  <c r="BG263" i="1"/>
  <c r="BG269" i="1"/>
  <c r="BG280" i="1" s="1"/>
  <c r="BG15" i="29"/>
  <c r="BG214" i="1"/>
  <c r="BG16" i="29" s="1"/>
  <c r="BG10" i="1"/>
  <c r="BG212" i="1"/>
  <c r="BC232" i="1"/>
  <c r="AY232" i="1"/>
  <c r="BH7" i="29"/>
  <c r="CE30" i="1"/>
  <c r="BN7" i="29"/>
  <c r="BM7" i="29"/>
  <c r="BL7" i="29"/>
  <c r="CE72" i="1"/>
  <c r="BL76" i="1"/>
  <c r="BK72" i="1"/>
  <c r="BK39" i="1" s="1"/>
  <c r="BB15" i="29"/>
  <c r="BB231" i="1"/>
  <c r="BB16" i="29"/>
  <c r="BC237" i="1"/>
  <c r="BB265" i="1"/>
  <c r="BB177" i="1" s="1"/>
  <c r="BB70" i="29" s="1"/>
  <c r="BB280" i="1"/>
  <c r="BB263" i="1"/>
  <c r="BC236" i="1"/>
  <c r="BK10" i="1"/>
  <c r="BK212" i="1"/>
  <c r="BK213" i="1"/>
  <c r="BB175" i="1"/>
  <c r="BK214" i="1"/>
  <c r="BC235" i="1"/>
  <c r="BB14" i="29"/>
  <c r="BF213" i="1"/>
  <c r="BF15" i="29" s="1"/>
  <c r="BF10" i="1"/>
  <c r="BF49" i="1"/>
  <c r="BJ47" i="1"/>
  <c r="BK49" i="1"/>
  <c r="BK47" i="1"/>
  <c r="BG9" i="1"/>
  <c r="BF212" i="1"/>
  <c r="BF14" i="29" s="1"/>
  <c r="BB229" i="1"/>
  <c r="BF214" i="1"/>
  <c r="BF16" i="29" s="1"/>
  <c r="BB215" i="1"/>
  <c r="S6" i="4"/>
  <c r="AW15" i="29"/>
  <c r="AW230" i="1"/>
  <c r="AX236" i="1"/>
  <c r="AW263" i="1"/>
  <c r="AW280" i="1"/>
  <c r="BA213" i="1"/>
  <c r="BA269" i="1" s="1"/>
  <c r="BA212" i="1"/>
  <c r="BB9" i="1"/>
  <c r="BA10" i="1"/>
  <c r="BA214" i="1"/>
  <c r="AW261" i="1"/>
  <c r="AW229" i="1"/>
  <c r="AX235" i="1"/>
  <c r="AW14" i="29"/>
  <c r="BA49" i="1"/>
  <c r="BJ61" i="1"/>
  <c r="BJ8" i="29"/>
  <c r="BE61" i="1"/>
  <c r="BE8" i="29"/>
  <c r="BC47" i="29"/>
  <c r="BB38" i="29"/>
  <c r="AW16" i="29"/>
  <c r="AX237" i="1"/>
  <c r="AW215" i="1"/>
  <c r="AW231" i="1"/>
  <c r="AW265" i="1"/>
  <c r="AH44" i="4"/>
  <c r="AG20" i="4"/>
  <c r="BT66" i="4"/>
  <c r="J20" i="4"/>
  <c r="BC17" i="29"/>
  <c r="BT68" i="4"/>
  <c r="BZ58" i="4"/>
  <c r="BC176" i="1"/>
  <c r="BC69" i="29" s="1"/>
  <c r="BC175" i="1"/>
  <c r="AM61" i="4"/>
  <c r="Y20" i="4"/>
  <c r="AM60" i="4"/>
  <c r="AN60" i="4"/>
  <c r="AS61" i="4"/>
  <c r="AS19" i="29"/>
  <c r="BR68" i="4"/>
  <c r="AI86" i="29"/>
  <c r="AT105" i="29"/>
  <c r="AF95" i="29"/>
  <c r="AC104" i="29"/>
  <c r="BS111" i="29"/>
  <c r="Z104" i="29"/>
  <c r="BS84" i="29"/>
  <c r="BS94" i="29"/>
  <c r="BT94" i="29"/>
  <c r="AI95" i="29"/>
  <c r="BY83" i="29"/>
  <c r="AB112" i="29"/>
  <c r="AB95" i="29"/>
  <c r="BY111" i="29"/>
  <c r="AB86" i="29"/>
  <c r="BZ94" i="29"/>
  <c r="AI104" i="29"/>
  <c r="AI112" i="29"/>
  <c r="BY84" i="29"/>
  <c r="Z86" i="29"/>
  <c r="Z112" i="29"/>
  <c r="AA104" i="29"/>
  <c r="AJ104" i="29"/>
  <c r="AD95" i="29"/>
  <c r="AL105" i="29"/>
  <c r="S95" i="29"/>
  <c r="T104" i="29"/>
  <c r="S112" i="29"/>
  <c r="S86" i="29"/>
  <c r="S104" i="29"/>
  <c r="AA20" i="4"/>
  <c r="AE96" i="29"/>
  <c r="AM59" i="4"/>
  <c r="AQ61" i="4"/>
  <c r="AS20" i="4"/>
  <c r="AX211" i="1"/>
  <c r="E41" i="3"/>
  <c r="CA6" i="4"/>
  <c r="U96" i="29"/>
  <c r="R105" i="29"/>
  <c r="Q105" i="29"/>
  <c r="J96" i="29"/>
  <c r="G105" i="29"/>
  <c r="AO105" i="29"/>
  <c r="AN96" i="29"/>
  <c r="AN105" i="29"/>
  <c r="Q96" i="29"/>
  <c r="H96" i="29"/>
  <c r="E105" i="29"/>
  <c r="O105" i="29"/>
  <c r="R96" i="29"/>
  <c r="AU105" i="29"/>
  <c r="I96" i="29"/>
  <c r="F105" i="29"/>
  <c r="V105" i="29"/>
  <c r="Y96" i="29"/>
  <c r="F96" i="29"/>
  <c r="C105" i="29"/>
  <c r="U105" i="29"/>
  <c r="AS96" i="29"/>
  <c r="AP105" i="29"/>
  <c r="AH105" i="29"/>
  <c r="AT96" i="29"/>
  <c r="AQ105" i="29"/>
  <c r="AP96" i="29"/>
  <c r="AM105" i="29"/>
  <c r="BQ86" i="29"/>
  <c r="BQ112" i="29"/>
  <c r="BR86" i="29"/>
  <c r="BR112" i="29"/>
  <c r="K105" i="29"/>
  <c r="N96" i="29"/>
  <c r="CC9" i="3"/>
  <c r="AG105" i="29"/>
  <c r="W105" i="29"/>
  <c r="AG96" i="29"/>
  <c r="AA96" i="29"/>
  <c r="X105" i="29"/>
  <c r="BT112" i="29"/>
  <c r="BT86" i="29"/>
  <c r="J105" i="29"/>
  <c r="M96" i="29"/>
  <c r="AO96" i="29"/>
  <c r="D105" i="29"/>
  <c r="AH96" i="29"/>
  <c r="P96" i="29"/>
  <c r="M105" i="29"/>
  <c r="AF105" i="29"/>
  <c r="AU96" i="29"/>
  <c r="AR105" i="29"/>
  <c r="AQ96" i="29"/>
  <c r="BZ86" i="29"/>
  <c r="CA95" i="29"/>
  <c r="BZ112" i="29"/>
  <c r="L105" i="29"/>
  <c r="O96" i="29"/>
  <c r="BX95" i="29"/>
  <c r="BW112" i="29"/>
  <c r="BW86" i="29"/>
  <c r="U20" i="4"/>
  <c r="AL20" i="4"/>
  <c r="BF218" i="1"/>
  <c r="BJ219" i="1"/>
  <c r="AM20" i="4"/>
  <c r="BA57" i="3"/>
  <c r="K20" i="4"/>
  <c r="BB211" i="1"/>
  <c r="BB67" i="3" s="1"/>
  <c r="BC31" i="3"/>
  <c r="CC31" i="3"/>
  <c r="BA27" i="9"/>
  <c r="BA29" i="9" s="1"/>
  <c r="W20" i="4"/>
  <c r="AZ18" i="4"/>
  <c r="CC30" i="3"/>
  <c r="BC30" i="3"/>
  <c r="CF30" i="1"/>
  <c r="CC38" i="4"/>
  <c r="BW14" i="9"/>
  <c r="BW17" i="9" s="1"/>
  <c r="BT6" i="4"/>
  <c r="AS59" i="4"/>
  <c r="AT60" i="4"/>
  <c r="AS60" i="4"/>
  <c r="BD40" i="3"/>
  <c r="BE219" i="1"/>
  <c r="BA218" i="1"/>
  <c r="V20" i="4"/>
  <c r="AW211" i="1"/>
  <c r="BC38" i="4"/>
  <c r="BV6" i="4"/>
  <c r="CC26" i="3"/>
  <c r="BC26" i="3"/>
  <c r="CA58" i="4"/>
  <c r="AD48" i="4"/>
  <c r="AD44" i="4"/>
  <c r="BC63" i="3"/>
  <c r="BB19" i="3"/>
  <c r="I20" i="4"/>
  <c r="C45" i="3"/>
  <c r="O20" i="4"/>
  <c r="Q20" i="4"/>
  <c r="C48" i="4"/>
  <c r="C44" i="4"/>
  <c r="AJ48" i="4"/>
  <c r="AJ44" i="4"/>
  <c r="AZ27" i="9"/>
  <c r="AZ29" i="9" s="1"/>
  <c r="BE36" i="3"/>
  <c r="BC33" i="3"/>
  <c r="CC33" i="3"/>
  <c r="BD17" i="3"/>
  <c r="BC58" i="3"/>
  <c r="BC24" i="9"/>
  <c r="CC26" i="9"/>
  <c r="AY26" i="4"/>
  <c r="CB8" i="3"/>
  <c r="AY25" i="4"/>
  <c r="Y30" i="9"/>
  <c r="Y39" i="9" s="1"/>
  <c r="BV39" i="9" s="1"/>
  <c r="BV22" i="9"/>
  <c r="BV30" i="9" s="1"/>
  <c r="BV19" i="9"/>
  <c r="BV18" i="9" s="1"/>
  <c r="AG16" i="9"/>
  <c r="AH14" i="9" s="1"/>
  <c r="AH16" i="9" s="1"/>
  <c r="AA17" i="9"/>
  <c r="AA19" i="9" s="1"/>
  <c r="BW19" i="9" s="1"/>
  <c r="CB14" i="9"/>
  <c r="CB18" i="9" s="1"/>
  <c r="AU16" i="9"/>
  <c r="AF17" i="9"/>
  <c r="AF19" i="9" s="1"/>
  <c r="H44" i="4"/>
  <c r="H48" i="4"/>
  <c r="D48" i="4"/>
  <c r="D44" i="4"/>
  <c r="AT44" i="4"/>
  <c r="AT48" i="4"/>
  <c r="AP20" i="4"/>
  <c r="AY273" i="1"/>
  <c r="AY283" i="1"/>
  <c r="AY259" i="1"/>
  <c r="BH52" i="3"/>
  <c r="M44" i="4"/>
  <c r="M48" i="4"/>
  <c r="BZ66" i="4"/>
  <c r="BZ68" i="4"/>
  <c r="CA68" i="4"/>
  <c r="AB20" i="4"/>
  <c r="BW6" i="4"/>
  <c r="BC211" i="1"/>
  <c r="BC67" i="3" s="1"/>
  <c r="AC20" i="4"/>
  <c r="F20" i="4"/>
  <c r="AN20" i="4"/>
  <c r="BZ6" i="4"/>
  <c r="AR44" i="4"/>
  <c r="BQ68" i="4"/>
  <c r="BQ66" i="4"/>
  <c r="AF48" i="4"/>
  <c r="AF44" i="4"/>
  <c r="N48" i="4"/>
  <c r="Z44" i="4"/>
  <c r="Z48" i="4"/>
  <c r="BU68" i="4"/>
  <c r="BU66" i="4"/>
  <c r="D45" i="3"/>
  <c r="BV68" i="4"/>
  <c r="BG218" i="1"/>
  <c r="BK219" i="1"/>
  <c r="R48" i="4"/>
  <c r="R44" i="4"/>
  <c r="P44" i="4"/>
  <c r="P48" i="4"/>
  <c r="BY6" i="4"/>
  <c r="AI20" i="4"/>
  <c r="G20" i="4"/>
  <c r="BR6" i="4"/>
  <c r="L20" i="4"/>
  <c r="BS6" i="4"/>
  <c r="AK48" i="4"/>
  <c r="AK44" i="4"/>
  <c r="AE20" i="4"/>
  <c r="BX6" i="4"/>
  <c r="AW67" i="3" l="1"/>
  <c r="AT41" i="29"/>
  <c r="N44" i="4"/>
  <c r="AD105" i="29"/>
  <c r="AR41" i="29"/>
  <c r="T44" i="4"/>
  <c r="T48" i="4"/>
  <c r="B48" i="4"/>
  <c r="B77" i="4" s="1"/>
  <c r="B44" i="4"/>
  <c r="AR96" i="29"/>
  <c r="X48" i="4"/>
  <c r="AO48" i="4"/>
  <c r="X44" i="4"/>
  <c r="AH48" i="4"/>
  <c r="AK105" i="29"/>
  <c r="BB47" i="29"/>
  <c r="X96" i="29"/>
  <c r="AO44" i="4"/>
  <c r="AR48" i="4"/>
  <c r="CA86" i="29"/>
  <c r="CA112" i="29"/>
  <c r="M77" i="4"/>
  <c r="D77" i="4"/>
  <c r="E43" i="3"/>
  <c r="BZ19" i="29"/>
  <c r="BZ41" i="29" s="1"/>
  <c r="AS41" i="29"/>
  <c r="AO41" i="29"/>
  <c r="Y48" i="4"/>
  <c r="Y72" i="4" s="1"/>
  <c r="AQ48" i="4"/>
  <c r="AQ77" i="4" s="1"/>
  <c r="AR77" i="4"/>
  <c r="BQ20" i="4"/>
  <c r="R77" i="4"/>
  <c r="H77" i="4"/>
  <c r="AD77" i="4"/>
  <c r="BC310" i="1"/>
  <c r="CA20" i="4"/>
  <c r="BU76" i="29"/>
  <c r="Z77" i="4"/>
  <c r="AT77" i="4"/>
  <c r="V96" i="29"/>
  <c r="BB92" i="3"/>
  <c r="X77" i="4"/>
  <c r="T77" i="4"/>
  <c r="AS48" i="4"/>
  <c r="AT50" i="4" s="1"/>
  <c r="AJ96" i="29"/>
  <c r="P77" i="4"/>
  <c r="N77" i="4"/>
  <c r="C77" i="4"/>
  <c r="AH72" i="4"/>
  <c r="S20" i="4"/>
  <c r="BB57" i="3"/>
  <c r="BD38" i="3"/>
  <c r="BD29" i="3"/>
  <c r="BE11" i="3"/>
  <c r="BA18" i="4"/>
  <c r="BE12" i="3"/>
  <c r="AU41" i="29"/>
  <c r="AQ41" i="29"/>
  <c r="AM41" i="29"/>
  <c r="CA252" i="1"/>
  <c r="BX96" i="29"/>
  <c r="AM96" i="29"/>
  <c r="AB96" i="29"/>
  <c r="BS95" i="29"/>
  <c r="BU112" i="29"/>
  <c r="BV95" i="29"/>
  <c r="BU86" i="29"/>
  <c r="AA105" i="29"/>
  <c r="AE105" i="29"/>
  <c r="CA96" i="29"/>
  <c r="BY95" i="29"/>
  <c r="T96" i="29"/>
  <c r="AS105" i="29"/>
  <c r="AY183" i="1"/>
  <c r="BE9" i="29"/>
  <c r="BE37" i="29"/>
  <c r="BK38" i="29"/>
  <c r="BJ37" i="29"/>
  <c r="BN36" i="29"/>
  <c r="BJ36" i="29"/>
  <c r="BG47" i="29"/>
  <c r="BM36" i="29"/>
  <c r="BH36" i="29"/>
  <c r="BL36" i="29"/>
  <c r="CD36" i="29"/>
  <c r="AX232" i="1"/>
  <c r="AX17" i="29"/>
  <c r="AY39" i="29"/>
  <c r="AY65" i="29"/>
  <c r="BN49" i="1"/>
  <c r="BK9" i="1"/>
  <c r="AX175" i="1"/>
  <c r="BC177" i="1"/>
  <c r="AX176" i="1"/>
  <c r="BC74" i="3"/>
  <c r="BC79" i="3"/>
  <c r="BB74" i="3"/>
  <c r="BB79" i="3"/>
  <c r="AW74" i="3"/>
  <c r="AW79" i="3"/>
  <c r="AX223" i="1"/>
  <c r="AX67" i="3"/>
  <c r="AX177" i="1"/>
  <c r="AX70" i="29" s="1"/>
  <c r="CC72" i="3"/>
  <c r="BD9" i="3"/>
  <c r="BC72" i="3"/>
  <c r="CC29" i="9"/>
  <c r="AY238" i="1"/>
  <c r="AY258" i="1"/>
  <c r="AY309" i="1" s="1"/>
  <c r="AY296" i="1" s="1"/>
  <c r="AY68" i="29"/>
  <c r="E44" i="4"/>
  <c r="E48" i="4"/>
  <c r="AQ44" i="4"/>
  <c r="AU44" i="4"/>
  <c r="AU48" i="4"/>
  <c r="BC241" i="1"/>
  <c r="AX241" i="1"/>
  <c r="AX243" i="1"/>
  <c r="BJ9" i="29"/>
  <c r="AX52" i="4"/>
  <c r="CE7" i="29"/>
  <c r="CE36" i="29" s="1"/>
  <c r="AY241" i="1"/>
  <c r="BC243" i="1"/>
  <c r="AY243" i="1"/>
  <c r="AW240" i="1"/>
  <c r="AY242" i="1"/>
  <c r="BB240" i="1"/>
  <c r="AY52" i="4"/>
  <c r="AW11" i="29"/>
  <c r="AW223" i="1"/>
  <c r="BB11" i="29"/>
  <c r="BB223" i="1"/>
  <c r="BC11" i="29"/>
  <c r="BC223" i="1"/>
  <c r="BF38" i="29"/>
  <c r="BG176" i="1"/>
  <c r="BG69" i="29" s="1"/>
  <c r="BG215" i="1"/>
  <c r="BG231" i="1"/>
  <c r="BK229" i="1"/>
  <c r="BN33" i="1"/>
  <c r="BJ33" i="1"/>
  <c r="BE49" i="1"/>
  <c r="BE33" i="1"/>
  <c r="BG265" i="1"/>
  <c r="BG14" i="29"/>
  <c r="BG261" i="1"/>
  <c r="BG229" i="1"/>
  <c r="CE32" i="1"/>
  <c r="CF7" i="29"/>
  <c r="BK230" i="1"/>
  <c r="BM76" i="1"/>
  <c r="BL72" i="1"/>
  <c r="BF263" i="1"/>
  <c r="BK261" i="1"/>
  <c r="BK175" i="1" s="1"/>
  <c r="BK68" i="29" s="1"/>
  <c r="BK14" i="29"/>
  <c r="BB17" i="29"/>
  <c r="BC238" i="1"/>
  <c r="BB232" i="1"/>
  <c r="BK269" i="1"/>
  <c r="BK280" i="1" s="1"/>
  <c r="BK263" i="1"/>
  <c r="BB176" i="1"/>
  <c r="BB69" i="29" s="1"/>
  <c r="BK16" i="29"/>
  <c r="BJ214" i="1"/>
  <c r="BK237" i="1" s="1"/>
  <c r="BF269" i="1"/>
  <c r="BF280" i="1" s="1"/>
  <c r="BK15" i="29"/>
  <c r="BG236" i="1"/>
  <c r="BF230" i="1"/>
  <c r="BB68" i="29"/>
  <c r="BK231" i="1"/>
  <c r="BK215" i="1"/>
  <c r="BK265" i="1"/>
  <c r="BJ213" i="1"/>
  <c r="BJ15" i="29" s="1"/>
  <c r="BJ49" i="1"/>
  <c r="BJ212" i="1"/>
  <c r="BJ14" i="29" s="1"/>
  <c r="BF231" i="1"/>
  <c r="BF229" i="1"/>
  <c r="BJ10" i="1"/>
  <c r="BF261" i="1"/>
  <c r="BF215" i="1"/>
  <c r="BF265" i="1"/>
  <c r="BF177" i="1" s="1"/>
  <c r="BG235" i="1"/>
  <c r="BG237" i="1"/>
  <c r="BU6" i="4"/>
  <c r="BA261" i="1"/>
  <c r="BB235" i="1"/>
  <c r="BA229" i="1"/>
  <c r="BA14" i="29"/>
  <c r="AW175" i="1"/>
  <c r="BE214" i="1"/>
  <c r="BE212" i="1"/>
  <c r="BF9" i="1"/>
  <c r="BE213" i="1"/>
  <c r="BE10" i="1"/>
  <c r="AW177" i="1"/>
  <c r="AW176" i="1"/>
  <c r="BN61" i="1"/>
  <c r="BN8" i="29"/>
  <c r="BI61" i="1"/>
  <c r="BI8" i="29"/>
  <c r="BA15" i="29"/>
  <c r="BA280" i="1"/>
  <c r="BA263" i="1"/>
  <c r="BB236" i="1"/>
  <c r="BA230" i="1"/>
  <c r="BB237" i="1"/>
  <c r="BA215" i="1"/>
  <c r="BA231" i="1"/>
  <c r="BA265" i="1"/>
  <c r="BA16" i="29"/>
  <c r="AW17" i="29"/>
  <c r="AW232" i="1"/>
  <c r="AX238" i="1"/>
  <c r="AG44" i="4"/>
  <c r="AG48" i="4"/>
  <c r="BZ61" i="4"/>
  <c r="J48" i="4"/>
  <c r="J44" i="4"/>
  <c r="BZ59" i="4"/>
  <c r="Y44" i="4"/>
  <c r="BC68" i="29"/>
  <c r="F41" i="3"/>
  <c r="CA61" i="4"/>
  <c r="CA19" i="29"/>
  <c r="CA41" i="29" s="1"/>
  <c r="AX11" i="29"/>
  <c r="AI96" i="29"/>
  <c r="AI105" i="29"/>
  <c r="AJ105" i="29"/>
  <c r="BS112" i="29"/>
  <c r="BS86" i="29"/>
  <c r="BT95" i="29"/>
  <c r="AC105" i="29"/>
  <c r="AD96" i="29"/>
  <c r="BY86" i="29"/>
  <c r="Z96" i="29"/>
  <c r="Z105" i="29"/>
  <c r="BY112" i="29"/>
  <c r="AF96" i="29"/>
  <c r="BZ95" i="29"/>
  <c r="AB105" i="29"/>
  <c r="S96" i="29"/>
  <c r="T105" i="29"/>
  <c r="S105" i="29"/>
  <c r="W96" i="29"/>
  <c r="BW96" i="29"/>
  <c r="AS44" i="4"/>
  <c r="AX259" i="1"/>
  <c r="AX283" i="1"/>
  <c r="AA44" i="4"/>
  <c r="AA48" i="4"/>
  <c r="AX273" i="1"/>
  <c r="BN213" i="1"/>
  <c r="BN15" i="29" s="1"/>
  <c r="BN214" i="1"/>
  <c r="BN16" i="29" s="1"/>
  <c r="BN10" i="1"/>
  <c r="BN212" i="1"/>
  <c r="BN14" i="29" s="1"/>
  <c r="S48" i="4"/>
  <c r="BW18" i="9"/>
  <c r="BR96" i="29"/>
  <c r="BQ96" i="29"/>
  <c r="AL44" i="4"/>
  <c r="AL48" i="4"/>
  <c r="BA32" i="3"/>
  <c r="K48" i="4"/>
  <c r="K44" i="4"/>
  <c r="AM48" i="4"/>
  <c r="AM44" i="4"/>
  <c r="BN219" i="1"/>
  <c r="BJ218" i="1"/>
  <c r="BB283" i="1"/>
  <c r="BB273" i="1"/>
  <c r="BB259" i="1"/>
  <c r="BF211" i="1"/>
  <c r="BF67" i="3" s="1"/>
  <c r="U48" i="4"/>
  <c r="U44" i="4"/>
  <c r="BA211" i="1"/>
  <c r="BA67" i="3" s="1"/>
  <c r="V48" i="4"/>
  <c r="V44" i="4"/>
  <c r="CA59" i="4"/>
  <c r="BE40" i="3"/>
  <c r="BV20" i="4"/>
  <c r="AA22" i="9"/>
  <c r="AA30" i="9" s="1"/>
  <c r="AA39" i="9" s="1"/>
  <c r="BD31" i="3"/>
  <c r="BI219" i="1"/>
  <c r="BE218" i="1"/>
  <c r="BT20" i="4"/>
  <c r="BD38" i="4"/>
  <c r="CF32" i="1"/>
  <c r="AW273" i="1"/>
  <c r="AW259" i="1"/>
  <c r="AW283" i="1"/>
  <c r="BD30" i="3"/>
  <c r="W44" i="4"/>
  <c r="W48" i="4"/>
  <c r="BD26" i="3"/>
  <c r="BD63" i="3"/>
  <c r="BC19" i="3"/>
  <c r="I48" i="4"/>
  <c r="I44" i="4"/>
  <c r="AH49" i="4"/>
  <c r="AD72" i="4"/>
  <c r="CC19" i="3"/>
  <c r="AJ72" i="4"/>
  <c r="C72" i="4"/>
  <c r="AH73" i="4"/>
  <c r="O44" i="4"/>
  <c r="O48" i="4"/>
  <c r="C45" i="4"/>
  <c r="Q44" i="4"/>
  <c r="Q48" i="4"/>
  <c r="AQ72" i="4"/>
  <c r="CC27" i="9"/>
  <c r="CC25" i="9"/>
  <c r="CD24" i="9"/>
  <c r="BC26" i="9"/>
  <c r="BD24" i="9" s="1"/>
  <c r="BB32" i="3"/>
  <c r="BB18" i="4"/>
  <c r="BD58" i="3"/>
  <c r="BF36" i="3"/>
  <c r="BD33" i="3"/>
  <c r="BE17" i="3"/>
  <c r="AG17" i="9"/>
  <c r="AG19" i="9" s="1"/>
  <c r="AG22" i="9" s="1"/>
  <c r="AG30" i="9" s="1"/>
  <c r="AG39" i="9" s="1"/>
  <c r="AY8" i="3"/>
  <c r="AH17" i="9"/>
  <c r="AH19" i="9" s="1"/>
  <c r="AI14" i="9"/>
  <c r="BX16" i="9"/>
  <c r="BX17" i="9" s="1"/>
  <c r="AF22" i="9"/>
  <c r="AV14" i="9"/>
  <c r="AU17" i="9"/>
  <c r="AU19" i="9" s="1"/>
  <c r="AI48" i="4"/>
  <c r="AI44" i="4"/>
  <c r="BC273" i="1"/>
  <c r="BC259" i="1"/>
  <c r="BC283" i="1"/>
  <c r="BI52" i="3"/>
  <c r="BK218" i="1"/>
  <c r="BG211" i="1"/>
  <c r="CA48" i="4"/>
  <c r="CA44" i="4"/>
  <c r="BZ20" i="4"/>
  <c r="BW20" i="4"/>
  <c r="M72" i="4"/>
  <c r="N50" i="4"/>
  <c r="AT72" i="4"/>
  <c r="BR20" i="4"/>
  <c r="AR72" i="4"/>
  <c r="AR50" i="4"/>
  <c r="T49" i="4"/>
  <c r="P72" i="4"/>
  <c r="AO72" i="4"/>
  <c r="D72" i="4"/>
  <c r="H49" i="4"/>
  <c r="D50" i="4"/>
  <c r="BX20" i="4"/>
  <c r="T72" i="4"/>
  <c r="X49" i="4"/>
  <c r="BS20" i="4"/>
  <c r="R72" i="4"/>
  <c r="AJ49" i="4"/>
  <c r="AF72" i="4"/>
  <c r="AN44" i="4"/>
  <c r="AN48" i="4"/>
  <c r="BQ48" i="4"/>
  <c r="H72" i="4"/>
  <c r="AO49" i="4"/>
  <c r="AK72" i="4"/>
  <c r="AK50" i="4"/>
  <c r="G44" i="4"/>
  <c r="G48" i="4"/>
  <c r="N72" i="4"/>
  <c r="R49" i="4"/>
  <c r="AP48" i="4"/>
  <c r="AP44" i="4"/>
  <c r="X72" i="4"/>
  <c r="BY20" i="4"/>
  <c r="E45" i="3"/>
  <c r="C50" i="4"/>
  <c r="Z72" i="4"/>
  <c r="AD49" i="4"/>
  <c r="F48" i="4"/>
  <c r="F44" i="4"/>
  <c r="AE48" i="4"/>
  <c r="AE44" i="4"/>
  <c r="L48" i="4"/>
  <c r="L44" i="4"/>
  <c r="AC48" i="4"/>
  <c r="AC44" i="4"/>
  <c r="BC52" i="4"/>
  <c r="AB44" i="4"/>
  <c r="AB48" i="4"/>
  <c r="BE38" i="29" l="1"/>
  <c r="BQ44" i="4"/>
  <c r="AS77" i="4"/>
  <c r="B72" i="4"/>
  <c r="AS72" i="4"/>
  <c r="AS50" i="4"/>
  <c r="AS49" i="4"/>
  <c r="S44" i="4"/>
  <c r="Z50" i="4"/>
  <c r="Y77" i="4"/>
  <c r="Y50" i="4"/>
  <c r="D9" i="2"/>
  <c r="BF47" i="29"/>
  <c r="D45" i="4"/>
  <c r="BV48" i="4"/>
  <c r="BV72" i="4" s="1"/>
  <c r="BQ41" i="3"/>
  <c r="AU72" i="4"/>
  <c r="J77" i="4"/>
  <c r="AT81" i="4"/>
  <c r="CA77" i="4"/>
  <c r="AS81" i="4"/>
  <c r="BU20" i="4"/>
  <c r="AE77" i="4"/>
  <c r="F77" i="4"/>
  <c r="G77" i="4"/>
  <c r="I77" i="4"/>
  <c r="W77" i="4"/>
  <c r="AQ81" i="4"/>
  <c r="AR81" i="4"/>
  <c r="E77" i="4"/>
  <c r="BC92" i="3"/>
  <c r="BD310" i="1"/>
  <c r="BQ77" i="4"/>
  <c r="BE38" i="3"/>
  <c r="BE29" i="3"/>
  <c r="BF12" i="3"/>
  <c r="BF11" i="3"/>
  <c r="BV96" i="29"/>
  <c r="BY96" i="29"/>
  <c r="E9" i="2"/>
  <c r="BU96" i="29"/>
  <c r="BT96" i="29"/>
  <c r="BI9" i="29"/>
  <c r="BI37" i="29"/>
  <c r="BN9" i="29"/>
  <c r="BN37" i="29"/>
  <c r="BB183" i="1"/>
  <c r="CC79" i="3"/>
  <c r="BJ38" i="29"/>
  <c r="CC74" i="3"/>
  <c r="CF36" i="29"/>
  <c r="AX65" i="29"/>
  <c r="BB65" i="29"/>
  <c r="AW39" i="29"/>
  <c r="AW65" i="29"/>
  <c r="BC39" i="29"/>
  <c r="BC65" i="29"/>
  <c r="AX68" i="29"/>
  <c r="BK240" i="1"/>
  <c r="BK241" i="1" s="1"/>
  <c r="BC70" i="29"/>
  <c r="AX69" i="29"/>
  <c r="CC28" i="9"/>
  <c r="BG223" i="1"/>
  <c r="BG67" i="3"/>
  <c r="AX74" i="3"/>
  <c r="AX79" i="3"/>
  <c r="BF74" i="3"/>
  <c r="BF79" i="3"/>
  <c r="BA74" i="3"/>
  <c r="BA79" i="3"/>
  <c r="BE9" i="3"/>
  <c r="BD72" i="3"/>
  <c r="AY91" i="29"/>
  <c r="E72" i="4"/>
  <c r="E50" i="4"/>
  <c r="AY11" i="4"/>
  <c r="AY70" i="4"/>
  <c r="AW258" i="1"/>
  <c r="AX258" i="1"/>
  <c r="AX309" i="1" s="1"/>
  <c r="AX296" i="1" s="1"/>
  <c r="BB258" i="1"/>
  <c r="BB309" i="1" s="1"/>
  <c r="BB296" i="1" s="1"/>
  <c r="BC258" i="1"/>
  <c r="BC309" i="1" s="1"/>
  <c r="BC296" i="1" s="1"/>
  <c r="AU49" i="4"/>
  <c r="AU50" i="4"/>
  <c r="AW52" i="4"/>
  <c r="BK47" i="29"/>
  <c r="BC48" i="29"/>
  <c r="BJ16" i="29"/>
  <c r="BG240" i="1"/>
  <c r="BC242" i="1"/>
  <c r="BB241" i="1"/>
  <c r="BB243" i="1"/>
  <c r="AW241" i="1"/>
  <c r="AX242" i="1"/>
  <c r="AW243" i="1"/>
  <c r="BF17" i="29"/>
  <c r="BK17" i="29"/>
  <c r="BG232" i="1"/>
  <c r="BA240" i="1"/>
  <c r="BF240" i="1"/>
  <c r="AX183" i="1"/>
  <c r="AY184" i="1" s="1"/>
  <c r="BF11" i="29"/>
  <c r="BF223" i="1"/>
  <c r="BA11" i="29"/>
  <c r="BA223" i="1"/>
  <c r="BG17" i="29"/>
  <c r="BM8" i="1"/>
  <c r="BI49" i="1"/>
  <c r="BI33" i="1"/>
  <c r="BG177" i="1"/>
  <c r="BG175" i="1"/>
  <c r="BK177" i="1"/>
  <c r="BK70" i="29" s="1"/>
  <c r="BJ265" i="1"/>
  <c r="BF176" i="1"/>
  <c r="BL39" i="1"/>
  <c r="BN76" i="1"/>
  <c r="BN72" i="1" s="1"/>
  <c r="BM72" i="1"/>
  <c r="BK176" i="1"/>
  <c r="BJ231" i="1"/>
  <c r="BK232" i="1"/>
  <c r="BB52" i="4"/>
  <c r="BK236" i="1"/>
  <c r="BJ269" i="1"/>
  <c r="BJ280" i="1" s="1"/>
  <c r="BJ263" i="1"/>
  <c r="BJ230" i="1"/>
  <c r="BG238" i="1"/>
  <c r="BF232" i="1"/>
  <c r="BU48" i="4"/>
  <c r="BU44" i="4"/>
  <c r="BJ215" i="1"/>
  <c r="BJ261" i="1"/>
  <c r="BN47" i="1"/>
  <c r="BF175" i="1"/>
  <c r="BJ229" i="1"/>
  <c r="BK235" i="1"/>
  <c r="BE269" i="1"/>
  <c r="BE280" i="1" s="1"/>
  <c r="BE263" i="1"/>
  <c r="BE15" i="29"/>
  <c r="BF236" i="1"/>
  <c r="BA232" i="1"/>
  <c r="BB238" i="1"/>
  <c r="BA17" i="29"/>
  <c r="BI213" i="1"/>
  <c r="BJ9" i="1"/>
  <c r="BI214" i="1"/>
  <c r="BI212" i="1"/>
  <c r="BI10" i="1"/>
  <c r="BM61" i="1"/>
  <c r="BM8" i="29"/>
  <c r="BE229" i="1"/>
  <c r="BF235" i="1"/>
  <c r="BE261" i="1"/>
  <c r="BE14" i="29"/>
  <c r="AW68" i="29"/>
  <c r="BE16" i="29"/>
  <c r="BF237" i="1"/>
  <c r="BE265" i="1"/>
  <c r="BE231" i="1"/>
  <c r="BE215" i="1"/>
  <c r="BA175" i="1"/>
  <c r="BA177" i="1"/>
  <c r="AW69" i="29"/>
  <c r="AW70" i="29"/>
  <c r="BA176" i="1"/>
  <c r="BE230" i="1"/>
  <c r="AS73" i="4"/>
  <c r="AH50" i="4"/>
  <c r="AK49" i="4"/>
  <c r="AG72" i="4"/>
  <c r="AG50" i="4"/>
  <c r="F43" i="3"/>
  <c r="G41" i="3"/>
  <c r="J72" i="4"/>
  <c r="N49" i="4"/>
  <c r="AS74" i="4"/>
  <c r="U50" i="4"/>
  <c r="U77" i="4"/>
  <c r="AG77" i="4"/>
  <c r="O50" i="4"/>
  <c r="O77" i="4"/>
  <c r="L49" i="4"/>
  <c r="L77" i="4"/>
  <c r="S50" i="4"/>
  <c r="S77" i="4"/>
  <c r="AA50" i="4"/>
  <c r="AA77" i="4"/>
  <c r="Z49" i="4"/>
  <c r="V77" i="4"/>
  <c r="R50" i="4"/>
  <c r="Q77" i="4"/>
  <c r="K50" i="4"/>
  <c r="K77" i="4"/>
  <c r="AC49" i="4"/>
  <c r="AC77" i="4"/>
  <c r="AB49" i="4"/>
  <c r="AB77" i="4"/>
  <c r="D78" i="4"/>
  <c r="Y78" i="4"/>
  <c r="T79" i="4"/>
  <c r="Z78" i="4"/>
  <c r="C78" i="4"/>
  <c r="X79" i="4"/>
  <c r="AD79" i="4"/>
  <c r="AS78" i="4"/>
  <c r="N78" i="4"/>
  <c r="N79" i="4"/>
  <c r="H79" i="4"/>
  <c r="R79" i="4"/>
  <c r="AR78" i="4"/>
  <c r="AT78" i="4"/>
  <c r="BF70" i="29"/>
  <c r="AX48" i="29"/>
  <c r="Q50" i="4"/>
  <c r="BS96" i="29"/>
  <c r="T50" i="4"/>
  <c r="BN230" i="1"/>
  <c r="BG11" i="29"/>
  <c r="AX39" i="29"/>
  <c r="AY48" i="29"/>
  <c r="BB39" i="29"/>
  <c r="BZ96" i="29"/>
  <c r="BN229" i="1"/>
  <c r="BN261" i="1"/>
  <c r="BN231" i="1"/>
  <c r="BN265" i="1"/>
  <c r="BN215" i="1"/>
  <c r="BN263" i="1"/>
  <c r="BN269" i="1"/>
  <c r="BN280" i="1" s="1"/>
  <c r="AA72" i="4"/>
  <c r="Q49" i="4"/>
  <c r="BV44" i="4"/>
  <c r="V49" i="4"/>
  <c r="P50" i="4"/>
  <c r="BC27" i="9"/>
  <c r="BC29" i="9" s="1"/>
  <c r="Y49" i="4"/>
  <c r="S72" i="4"/>
  <c r="BF273" i="1"/>
  <c r="BF259" i="1"/>
  <c r="BF283" i="1"/>
  <c r="AL72" i="4"/>
  <c r="AL49" i="4"/>
  <c r="AM50" i="4"/>
  <c r="AM72" i="4"/>
  <c r="AQ49" i="4"/>
  <c r="BC57" i="3"/>
  <c r="BJ211" i="1"/>
  <c r="BJ67" i="3" s="1"/>
  <c r="BT48" i="4"/>
  <c r="AL50" i="4"/>
  <c r="BN218" i="1"/>
  <c r="BT44" i="4"/>
  <c r="U72" i="4"/>
  <c r="K72" i="4"/>
  <c r="BF40" i="3"/>
  <c r="BW22" i="9"/>
  <c r="BW30" i="9" s="1"/>
  <c r="BE31" i="3"/>
  <c r="W72" i="4"/>
  <c r="W49" i="4"/>
  <c r="AA49" i="4"/>
  <c r="BE211" i="1"/>
  <c r="BE67" i="3" s="1"/>
  <c r="BE38" i="4"/>
  <c r="BM219" i="1"/>
  <c r="BI218" i="1"/>
  <c r="BA259" i="1"/>
  <c r="BA273" i="1"/>
  <c r="BA283" i="1"/>
  <c r="BE30" i="3"/>
  <c r="AW183" i="1"/>
  <c r="BE26" i="3"/>
  <c r="X50" i="4"/>
  <c r="W50" i="4"/>
  <c r="V72" i="4"/>
  <c r="V50" i="4"/>
  <c r="BE63" i="3"/>
  <c r="BD19" i="3"/>
  <c r="I72" i="4"/>
  <c r="J50" i="4"/>
  <c r="I50" i="4"/>
  <c r="I49" i="4"/>
  <c r="AH75" i="4"/>
  <c r="AD73" i="4"/>
  <c r="M49" i="4"/>
  <c r="AQ73" i="4"/>
  <c r="O72" i="4"/>
  <c r="S49" i="4"/>
  <c r="O49" i="4"/>
  <c r="Q72" i="4"/>
  <c r="U49" i="4"/>
  <c r="C73" i="4"/>
  <c r="D7" i="9"/>
  <c r="C8" i="9"/>
  <c r="C11" i="9" s="1"/>
  <c r="C7" i="3"/>
  <c r="AJ73" i="4"/>
  <c r="BX19" i="9"/>
  <c r="BE33" i="3"/>
  <c r="BG36" i="3"/>
  <c r="CD36" i="3"/>
  <c r="CC32" i="3"/>
  <c r="BD26" i="9"/>
  <c r="BE24" i="9" s="1"/>
  <c r="CC18" i="4"/>
  <c r="BF17" i="3"/>
  <c r="BE58" i="3"/>
  <c r="AZ26" i="4"/>
  <c r="AZ25" i="4"/>
  <c r="AF30" i="9"/>
  <c r="BY14" i="9"/>
  <c r="BY18" i="9" s="1"/>
  <c r="AI16" i="9"/>
  <c r="AJ14" i="9" s="1"/>
  <c r="AH22" i="9"/>
  <c r="AH30" i="9" s="1"/>
  <c r="AU22" i="9"/>
  <c r="B73" i="4"/>
  <c r="C74" i="4"/>
  <c r="G72" i="4"/>
  <c r="K49" i="4"/>
  <c r="H50" i="4"/>
  <c r="G49" i="4"/>
  <c r="AF73" i="4"/>
  <c r="AJ75" i="4"/>
  <c r="D73" i="4"/>
  <c r="D74" i="4"/>
  <c r="AO73" i="4"/>
  <c r="AO75" i="4"/>
  <c r="BY44" i="4"/>
  <c r="BY48" i="4"/>
  <c r="BQ45" i="4"/>
  <c r="AO50" i="4"/>
  <c r="AR49" i="4"/>
  <c r="AN72" i="4"/>
  <c r="AN49" i="4"/>
  <c r="AN50" i="4"/>
  <c r="R73" i="4"/>
  <c r="R75" i="4"/>
  <c r="P73" i="4"/>
  <c r="AT73" i="4"/>
  <c r="AT74" i="4"/>
  <c r="BQ72" i="4"/>
  <c r="BQ49" i="4"/>
  <c r="BX48" i="4"/>
  <c r="BX44" i="4"/>
  <c r="BR44" i="4"/>
  <c r="BR48" i="4"/>
  <c r="BK211" i="1"/>
  <c r="AY185" i="1"/>
  <c r="AG49" i="4"/>
  <c r="AC72" i="4"/>
  <c r="AD50" i="4"/>
  <c r="X73" i="4"/>
  <c r="X75" i="4"/>
  <c r="AQ50" i="4"/>
  <c r="AT49" i="4"/>
  <c r="AP72" i="4"/>
  <c r="AP49" i="4"/>
  <c r="H75" i="4"/>
  <c r="H73" i="4"/>
  <c r="AP50" i="4"/>
  <c r="M73" i="4"/>
  <c r="AS75" i="4"/>
  <c r="BS44" i="4"/>
  <c r="BS48" i="4"/>
  <c r="T73" i="4"/>
  <c r="T75" i="4"/>
  <c r="BW39" i="9"/>
  <c r="AR73" i="4"/>
  <c r="AR74" i="4"/>
  <c r="BW44" i="4"/>
  <c r="BW48" i="4"/>
  <c r="CA72" i="4"/>
  <c r="BG283" i="1"/>
  <c r="BG259" i="1"/>
  <c r="BG273" i="1"/>
  <c r="AJ50" i="4"/>
  <c r="AI72" i="4"/>
  <c r="AM49" i="4"/>
  <c r="AI50" i="4"/>
  <c r="AK74" i="4"/>
  <c r="AK73" i="4"/>
  <c r="M50" i="4"/>
  <c r="L72" i="4"/>
  <c r="P49" i="4"/>
  <c r="L50" i="4"/>
  <c r="AC50" i="4"/>
  <c r="AF49" i="4"/>
  <c r="AB72" i="4"/>
  <c r="AB50" i="4"/>
  <c r="Z73" i="4"/>
  <c r="Z74" i="4"/>
  <c r="AD75" i="4"/>
  <c r="BJ52" i="3"/>
  <c r="BC183" i="1"/>
  <c r="F72" i="4"/>
  <c r="G50" i="4"/>
  <c r="J49" i="4"/>
  <c r="F50" i="4"/>
  <c r="AE72" i="4"/>
  <c r="AI49" i="4"/>
  <c r="AF50" i="4"/>
  <c r="AE50" i="4"/>
  <c r="AE49" i="4"/>
  <c r="F49" i="4"/>
  <c r="N73" i="4"/>
  <c r="N74" i="4"/>
  <c r="Y74" i="4"/>
  <c r="Y73" i="4"/>
  <c r="BZ48" i="4"/>
  <c r="BZ44" i="4"/>
  <c r="AW309" i="1" l="1"/>
  <c r="AW296" i="1" s="1"/>
  <c r="AW193" i="1"/>
  <c r="BJ47" i="29"/>
  <c r="BI38" i="29"/>
  <c r="AU74" i="4"/>
  <c r="AU75" i="4"/>
  <c r="E45" i="4"/>
  <c r="D7" i="3"/>
  <c r="D8" i="9"/>
  <c r="D11" i="9" s="1"/>
  <c r="E7" i="9"/>
  <c r="M79" i="4"/>
  <c r="BN38" i="29"/>
  <c r="E78" i="4"/>
  <c r="J79" i="4"/>
  <c r="BR77" i="4"/>
  <c r="AO74" i="4"/>
  <c r="H74" i="4"/>
  <c r="AL74" i="4"/>
  <c r="J73" i="4"/>
  <c r="AG73" i="4"/>
  <c r="BD92" i="3"/>
  <c r="P75" i="4"/>
  <c r="I74" i="4"/>
  <c r="Z79" i="4"/>
  <c r="P78" i="4"/>
  <c r="AF75" i="4"/>
  <c r="AT75" i="4"/>
  <c r="P74" i="4"/>
  <c r="BE310" i="1"/>
  <c r="AA74" i="4"/>
  <c r="AD78" i="4"/>
  <c r="CA81" i="4"/>
  <c r="Y79" i="4"/>
  <c r="T78" i="4"/>
  <c r="F45" i="3"/>
  <c r="BV77" i="4"/>
  <c r="BS77" i="4"/>
  <c r="R74" i="4"/>
  <c r="Z75" i="4"/>
  <c r="S74" i="4"/>
  <c r="BQ81" i="4"/>
  <c r="BU77" i="4"/>
  <c r="AU73" i="4"/>
  <c r="BF38" i="3"/>
  <c r="BF29" i="3"/>
  <c r="BC32" i="3"/>
  <c r="BG11" i="3"/>
  <c r="BG12" i="3"/>
  <c r="BM9" i="29"/>
  <c r="BM37" i="29"/>
  <c r="CD74" i="3"/>
  <c r="CD79" i="3"/>
  <c r="CB74" i="3"/>
  <c r="CB79" i="3"/>
  <c r="BG65" i="29"/>
  <c r="BA39" i="29"/>
  <c r="BA65" i="29"/>
  <c r="BF39" i="29"/>
  <c r="BF65" i="29"/>
  <c r="AY14" i="4"/>
  <c r="E73" i="4"/>
  <c r="E74" i="4"/>
  <c r="BK223" i="1"/>
  <c r="BK67" i="3"/>
  <c r="BJ74" i="3"/>
  <c r="BJ79" i="3"/>
  <c r="BG74" i="3"/>
  <c r="BG79" i="3"/>
  <c r="BE74" i="3"/>
  <c r="BE79" i="3"/>
  <c r="BF9" i="3"/>
  <c r="BE72" i="3"/>
  <c r="BC91" i="29"/>
  <c r="AW91" i="29"/>
  <c r="AW11" i="4"/>
  <c r="AW70" i="4"/>
  <c r="BC11" i="4"/>
  <c r="BC70" i="4"/>
  <c r="BB11" i="4"/>
  <c r="BB70" i="4"/>
  <c r="AX11" i="4"/>
  <c r="AX70" i="4"/>
  <c r="BA258" i="1"/>
  <c r="BA309" i="1" s="1"/>
  <c r="BA296" i="1" s="1"/>
  <c r="BF258" i="1"/>
  <c r="BF309" i="1" s="1"/>
  <c r="BF296" i="1" s="1"/>
  <c r="BG258" i="1"/>
  <c r="BG309" i="1" s="1"/>
  <c r="BG296" i="1" s="1"/>
  <c r="BA52" i="4"/>
  <c r="BB48" i="29"/>
  <c r="BG241" i="1"/>
  <c r="BF243" i="1"/>
  <c r="BG243" i="1"/>
  <c r="BK243" i="1"/>
  <c r="BE240" i="1"/>
  <c r="BN240" i="1"/>
  <c r="BN17" i="29"/>
  <c r="BJ17" i="29"/>
  <c r="BA241" i="1"/>
  <c r="BB242" i="1"/>
  <c r="BA243" i="1"/>
  <c r="BF241" i="1"/>
  <c r="BG242" i="1"/>
  <c r="BJ240" i="1"/>
  <c r="BG52" i="4"/>
  <c r="BJ177" i="1"/>
  <c r="BE11" i="29"/>
  <c r="BE223" i="1"/>
  <c r="BJ11" i="29"/>
  <c r="BJ223" i="1"/>
  <c r="BM49" i="1"/>
  <c r="BM33" i="1"/>
  <c r="BG70" i="29"/>
  <c r="BG68" i="29"/>
  <c r="BF69" i="29"/>
  <c r="BK69" i="29"/>
  <c r="CF76" i="1"/>
  <c r="BM39" i="1"/>
  <c r="BN39" i="1"/>
  <c r="BF68" i="29"/>
  <c r="CF72" i="1"/>
  <c r="BU72" i="4"/>
  <c r="BV49" i="4"/>
  <c r="BF52" i="4"/>
  <c r="BK238" i="1"/>
  <c r="BJ232" i="1"/>
  <c r="BJ176" i="1"/>
  <c r="BJ175" i="1"/>
  <c r="BE177" i="1"/>
  <c r="BE175" i="1"/>
  <c r="BM214" i="1"/>
  <c r="BM213" i="1"/>
  <c r="BM10" i="1"/>
  <c r="BM212" i="1"/>
  <c r="BN9" i="1"/>
  <c r="BI15" i="29"/>
  <c r="BJ236" i="1"/>
  <c r="BI263" i="1"/>
  <c r="BI230" i="1"/>
  <c r="BI269" i="1"/>
  <c r="BI280" i="1" s="1"/>
  <c r="BA69" i="29"/>
  <c r="BA70" i="29"/>
  <c r="BI14" i="29"/>
  <c r="BI261" i="1"/>
  <c r="BJ235" i="1"/>
  <c r="BI229" i="1"/>
  <c r="BE176" i="1"/>
  <c r="BM38" i="29"/>
  <c r="BI265" i="1"/>
  <c r="BI16" i="29"/>
  <c r="BJ237" i="1"/>
  <c r="BI231" i="1"/>
  <c r="BI215" i="1"/>
  <c r="AH74" i="4"/>
  <c r="BE17" i="29"/>
  <c r="BF238" i="1"/>
  <c r="BE232" i="1"/>
  <c r="BA68" i="29"/>
  <c r="AK75" i="4"/>
  <c r="AG74" i="4"/>
  <c r="BQ43" i="3"/>
  <c r="G43" i="3"/>
  <c r="H41" i="3"/>
  <c r="N75" i="4"/>
  <c r="BW77" i="4"/>
  <c r="T74" i="4"/>
  <c r="AH39" i="9"/>
  <c r="AH77" i="4"/>
  <c r="BT77" i="4"/>
  <c r="AF39" i="9"/>
  <c r="AF77" i="4"/>
  <c r="J78" i="4"/>
  <c r="W78" i="4"/>
  <c r="W79" i="4"/>
  <c r="G78" i="4"/>
  <c r="G79" i="4"/>
  <c r="BD27" i="9"/>
  <c r="BD29" i="9" s="1"/>
  <c r="Q79" i="4"/>
  <c r="Q78" i="4"/>
  <c r="K78" i="4"/>
  <c r="K79" i="4"/>
  <c r="X78" i="4"/>
  <c r="AB78" i="4"/>
  <c r="AB79" i="4"/>
  <c r="L79" i="4"/>
  <c r="L78" i="4"/>
  <c r="E10" i="2"/>
  <c r="AA78" i="4"/>
  <c r="AA79" i="4"/>
  <c r="M78" i="4"/>
  <c r="R78" i="4"/>
  <c r="I79" i="4"/>
  <c r="I78" i="4"/>
  <c r="V78" i="4"/>
  <c r="V79" i="4"/>
  <c r="AC78" i="4"/>
  <c r="AC79" i="4"/>
  <c r="AG79" i="4"/>
  <c r="U78" i="4"/>
  <c r="U79" i="4"/>
  <c r="H78" i="4"/>
  <c r="P79" i="4"/>
  <c r="F78" i="4"/>
  <c r="F79" i="4"/>
  <c r="BQ79" i="4"/>
  <c r="O78" i="4"/>
  <c r="O79" i="4"/>
  <c r="AE78" i="4"/>
  <c r="AE79" i="4"/>
  <c r="BV79" i="4"/>
  <c r="S78" i="4"/>
  <c r="S79" i="4"/>
  <c r="AY16" i="4"/>
  <c r="BG39" i="29"/>
  <c r="BN232" i="1"/>
  <c r="BN175" i="1"/>
  <c r="J74" i="4"/>
  <c r="BK11" i="29"/>
  <c r="BG48" i="29"/>
  <c r="BN176" i="1"/>
  <c r="BT72" i="4"/>
  <c r="AX185" i="1"/>
  <c r="BB185" i="1"/>
  <c r="BN177" i="1"/>
  <c r="BG183" i="1"/>
  <c r="AA73" i="4"/>
  <c r="Q74" i="4"/>
  <c r="M75" i="4"/>
  <c r="S73" i="4"/>
  <c r="K74" i="4"/>
  <c r="K73" i="4"/>
  <c r="AM73" i="4"/>
  <c r="AM74" i="4"/>
  <c r="AQ75" i="4"/>
  <c r="Q75" i="4"/>
  <c r="BN211" i="1"/>
  <c r="BN67" i="3" s="1"/>
  <c r="BF183" i="1"/>
  <c r="U73" i="4"/>
  <c r="BJ273" i="1"/>
  <c r="BJ259" i="1"/>
  <c r="BJ283" i="1"/>
  <c r="Y75" i="4"/>
  <c r="U74" i="4"/>
  <c r="BU49" i="4"/>
  <c r="AL73" i="4"/>
  <c r="AL75" i="4"/>
  <c r="BE283" i="1"/>
  <c r="BE273" i="1"/>
  <c r="BE259" i="1"/>
  <c r="BF31" i="3"/>
  <c r="BI211" i="1"/>
  <c r="BI67" i="3" s="1"/>
  <c r="BM218" i="1"/>
  <c r="AX14" i="4"/>
  <c r="AX16" i="4"/>
  <c r="BF26" i="3"/>
  <c r="BF30" i="3"/>
  <c r="BA183" i="1"/>
  <c r="CD40" i="3"/>
  <c r="BG40" i="3"/>
  <c r="V73" i="4"/>
  <c r="V74" i="4"/>
  <c r="BF38" i="4"/>
  <c r="V75" i="4"/>
  <c r="AW185" i="1"/>
  <c r="AX184" i="1"/>
  <c r="CD12" i="3"/>
  <c r="AA75" i="4"/>
  <c r="W75" i="4"/>
  <c r="W73" i="4"/>
  <c r="W74" i="4"/>
  <c r="CD11" i="3"/>
  <c r="X74" i="4"/>
  <c r="I73" i="4"/>
  <c r="I75" i="4"/>
  <c r="BD57" i="3"/>
  <c r="AR75" i="4"/>
  <c r="BF63" i="3"/>
  <c r="BE19" i="3"/>
  <c r="S75" i="4"/>
  <c r="O75" i="4"/>
  <c r="O73" i="4"/>
  <c r="O74" i="4"/>
  <c r="Q73" i="4"/>
  <c r="U75" i="4"/>
  <c r="C48" i="3"/>
  <c r="C36" i="9"/>
  <c r="C14" i="3"/>
  <c r="BG17" i="3"/>
  <c r="CD17" i="3"/>
  <c r="BH36" i="3"/>
  <c r="BF33" i="3"/>
  <c r="BE26" i="9"/>
  <c r="BF24" i="9" s="1"/>
  <c r="BF58" i="3"/>
  <c r="AZ8" i="3"/>
  <c r="AJ16" i="9"/>
  <c r="AK14" i="9" s="1"/>
  <c r="AK16" i="9" s="1"/>
  <c r="AL14" i="9" s="1"/>
  <c r="AL16" i="9" s="1"/>
  <c r="AL17" i="9" s="1"/>
  <c r="AL19" i="9" s="1"/>
  <c r="AI17" i="9"/>
  <c r="AI19" i="9" s="1"/>
  <c r="AU30" i="9"/>
  <c r="BX22" i="9"/>
  <c r="BX30" i="9" s="1"/>
  <c r="BX77" i="4" s="1"/>
  <c r="CA73" i="4"/>
  <c r="BZ72" i="4"/>
  <c r="BZ49" i="4"/>
  <c r="AE74" i="4"/>
  <c r="AE75" i="4"/>
  <c r="AE73" i="4"/>
  <c r="L75" i="4"/>
  <c r="L73" i="4"/>
  <c r="L74" i="4"/>
  <c r="BS72" i="4"/>
  <c r="BS49" i="4"/>
  <c r="M74" i="4"/>
  <c r="BK52" i="4"/>
  <c r="BQ73" i="4"/>
  <c r="BQ75" i="4"/>
  <c r="E8" i="9"/>
  <c r="E11" i="9" s="1"/>
  <c r="E7" i="3"/>
  <c r="F45" i="4"/>
  <c r="F7" i="9"/>
  <c r="AC73" i="4"/>
  <c r="AC75" i="4"/>
  <c r="AC74" i="4"/>
  <c r="AD74" i="4"/>
  <c r="BC184" i="1"/>
  <c r="AI74" i="4"/>
  <c r="AI73" i="4"/>
  <c r="AI75" i="4"/>
  <c r="AJ74" i="4"/>
  <c r="AM75" i="4"/>
  <c r="BR72" i="4"/>
  <c r="BR49" i="4"/>
  <c r="BT49" i="4"/>
  <c r="BY72" i="4"/>
  <c r="BY49" i="4"/>
  <c r="AG75" i="4"/>
  <c r="BQ45" i="3"/>
  <c r="BK52" i="3"/>
  <c r="BC185" i="1"/>
  <c r="BV73" i="4"/>
  <c r="AB73" i="4"/>
  <c r="AB75" i="4"/>
  <c r="AB74" i="4"/>
  <c r="CA49" i="4"/>
  <c r="BW72" i="4"/>
  <c r="BW49" i="4"/>
  <c r="AP73" i="4"/>
  <c r="AP74" i="4"/>
  <c r="AP75" i="4"/>
  <c r="AQ74" i="4"/>
  <c r="BK283" i="1"/>
  <c r="BK273" i="1"/>
  <c r="BK259" i="1"/>
  <c r="BX72" i="4"/>
  <c r="BX49" i="4"/>
  <c r="BC16" i="4"/>
  <c r="AY36" i="4"/>
  <c r="BR45" i="4"/>
  <c r="AF74" i="4"/>
  <c r="D36" i="9"/>
  <c r="D48" i="3"/>
  <c r="D14" i="3"/>
  <c r="F73" i="4"/>
  <c r="F75" i="4"/>
  <c r="F74" i="4"/>
  <c r="J75" i="4"/>
  <c r="BC14" i="4"/>
  <c r="AN73" i="4"/>
  <c r="AN74" i="4"/>
  <c r="AN75" i="4"/>
  <c r="G73" i="4"/>
  <c r="G74" i="4"/>
  <c r="G75" i="4"/>
  <c r="K75" i="4"/>
  <c r="BN47" i="29" l="1"/>
  <c r="BE92" i="3"/>
  <c r="BX81" i="4"/>
  <c r="BW81" i="4"/>
  <c r="BU81" i="4"/>
  <c r="AH79" i="4"/>
  <c r="E11" i="2"/>
  <c r="BT73" i="4"/>
  <c r="BS81" i="4"/>
  <c r="I41" i="3"/>
  <c r="G45" i="3"/>
  <c r="AF79" i="4"/>
  <c r="BV81" i="4"/>
  <c r="BR81" i="4"/>
  <c r="CD38" i="3"/>
  <c r="BG38" i="3"/>
  <c r="CD29" i="3"/>
  <c r="BG29" i="3"/>
  <c r="BH12" i="3"/>
  <c r="BD32" i="3"/>
  <c r="BH11" i="3"/>
  <c r="BC18" i="4"/>
  <c r="CE79" i="3"/>
  <c r="CE74" i="3"/>
  <c r="AX36" i="4"/>
  <c r="BU79" i="4"/>
  <c r="BT81" i="4"/>
  <c r="BK65" i="29"/>
  <c r="BJ39" i="29"/>
  <c r="BJ65" i="29"/>
  <c r="BE39" i="29"/>
  <c r="BE65" i="29"/>
  <c r="CD38" i="4"/>
  <c r="BF310" i="1"/>
  <c r="BN74" i="3"/>
  <c r="BN79" i="3"/>
  <c r="BK74" i="3"/>
  <c r="BK79" i="3"/>
  <c r="BI74" i="3"/>
  <c r="BI79" i="3"/>
  <c r="BG9" i="3"/>
  <c r="BF72" i="3"/>
  <c r="BC100" i="29"/>
  <c r="AX100" i="29"/>
  <c r="BG11" i="4"/>
  <c r="BG70" i="4"/>
  <c r="BF70" i="4"/>
  <c r="BF11" i="4"/>
  <c r="BA11" i="4"/>
  <c r="BA70" i="4"/>
  <c r="BJ258" i="1"/>
  <c r="BJ309" i="1" s="1"/>
  <c r="BJ296" i="1" s="1"/>
  <c r="BE258" i="1"/>
  <c r="BE309" i="1" s="1"/>
  <c r="BE296" i="1" s="1"/>
  <c r="BK258" i="1"/>
  <c r="BK309" i="1" s="1"/>
  <c r="BK296" i="1" s="1"/>
  <c r="BJ70" i="29"/>
  <c r="BE243" i="1"/>
  <c r="BN241" i="1"/>
  <c r="BJ243" i="1"/>
  <c r="BE52" i="4"/>
  <c r="BB100" i="29"/>
  <c r="BU73" i="4"/>
  <c r="BE241" i="1"/>
  <c r="BF242" i="1"/>
  <c r="BF91" i="29"/>
  <c r="BG91" i="29"/>
  <c r="BV75" i="4"/>
  <c r="BF48" i="29"/>
  <c r="BK242" i="1"/>
  <c r="BN243" i="1"/>
  <c r="BJ241" i="1"/>
  <c r="BI240" i="1"/>
  <c r="BI11" i="29"/>
  <c r="BI223" i="1"/>
  <c r="BN11" i="29"/>
  <c r="BN223" i="1"/>
  <c r="BJ52" i="4"/>
  <c r="BJ69" i="29"/>
  <c r="BJ68" i="29"/>
  <c r="BN236" i="1"/>
  <c r="BM15" i="29"/>
  <c r="BM269" i="1"/>
  <c r="BM280" i="1" s="1"/>
  <c r="BM263" i="1"/>
  <c r="BM230" i="1"/>
  <c r="BM231" i="1"/>
  <c r="BM265" i="1"/>
  <c r="BM215" i="1"/>
  <c r="BM16" i="29"/>
  <c r="BN237" i="1"/>
  <c r="BI175" i="1"/>
  <c r="BM229" i="1"/>
  <c r="BM261" i="1"/>
  <c r="BM175" i="1" s="1"/>
  <c r="BM14" i="29"/>
  <c r="BN235" i="1"/>
  <c r="BI232" i="1"/>
  <c r="BI17" i="29"/>
  <c r="BJ238" i="1"/>
  <c r="BI176" i="1"/>
  <c r="BE68" i="29"/>
  <c r="BE70" i="29"/>
  <c r="BE69" i="29"/>
  <c r="BI177" i="1"/>
  <c r="H43" i="3"/>
  <c r="BX39" i="9"/>
  <c r="AG78" i="4"/>
  <c r="AH78" i="4"/>
  <c r="AU39" i="9"/>
  <c r="AU77" i="4"/>
  <c r="AF78" i="4"/>
  <c r="BR79" i="4"/>
  <c r="BS79" i="4"/>
  <c r="BX79" i="4"/>
  <c r="B10" i="2"/>
  <c r="BW79" i="4"/>
  <c r="CA75" i="4"/>
  <c r="BT79" i="4"/>
  <c r="BN70" i="29"/>
  <c r="BN69" i="29"/>
  <c r="BN68" i="29"/>
  <c r="BG185" i="1"/>
  <c r="BB91" i="29"/>
  <c r="AY100" i="29"/>
  <c r="AX91" i="29"/>
  <c r="BK39" i="29"/>
  <c r="BK48" i="29"/>
  <c r="BT75" i="4"/>
  <c r="BU75" i="4"/>
  <c r="BE183" i="1"/>
  <c r="CD9" i="3"/>
  <c r="BF185" i="1"/>
  <c r="BE57" i="3"/>
  <c r="BG184" i="1"/>
  <c r="BJ183" i="1"/>
  <c r="BN52" i="4"/>
  <c r="BB36" i="4"/>
  <c r="BN273" i="1"/>
  <c r="BN259" i="1"/>
  <c r="BN283" i="1"/>
  <c r="BB184" i="1"/>
  <c r="BG30" i="3"/>
  <c r="CD30" i="3"/>
  <c r="BG38" i="4"/>
  <c r="BB14" i="4"/>
  <c r="BM211" i="1"/>
  <c r="BM67" i="3" s="1"/>
  <c r="BI273" i="1"/>
  <c r="BI259" i="1"/>
  <c r="BI283" i="1"/>
  <c r="BA185" i="1"/>
  <c r="AK17" i="9"/>
  <c r="AK19" i="9" s="1"/>
  <c r="AK22" i="9" s="1"/>
  <c r="BD18" i="4"/>
  <c r="BG26" i="3"/>
  <c r="CD26" i="3"/>
  <c r="CD31" i="3"/>
  <c r="BG31" i="3"/>
  <c r="AW36" i="4"/>
  <c r="BH40" i="3"/>
  <c r="BB16" i="4"/>
  <c r="BG63" i="3"/>
  <c r="BF19" i="3"/>
  <c r="BE27" i="9"/>
  <c r="BE29" i="9" s="1"/>
  <c r="C21" i="3"/>
  <c r="C35" i="9"/>
  <c r="D34" i="9"/>
  <c r="D35" i="9" s="1"/>
  <c r="C37" i="9"/>
  <c r="D38" i="9"/>
  <c r="BK183" i="1"/>
  <c r="BI36" i="3"/>
  <c r="BG58" i="3"/>
  <c r="BF26" i="9"/>
  <c r="BF27" i="9" s="1"/>
  <c r="BF29" i="9" s="1"/>
  <c r="BH17" i="3"/>
  <c r="CD33" i="3"/>
  <c r="BG33" i="3"/>
  <c r="BA26" i="4"/>
  <c r="BA25" i="4"/>
  <c r="AJ17" i="9"/>
  <c r="AJ19" i="9" s="1"/>
  <c r="AI22" i="9"/>
  <c r="AI30" i="9" s="1"/>
  <c r="AL22" i="9"/>
  <c r="AL30" i="9" s="1"/>
  <c r="J41" i="3"/>
  <c r="I43" i="3"/>
  <c r="BR73" i="4"/>
  <c r="BR75" i="4"/>
  <c r="E14" i="3"/>
  <c r="E48" i="3"/>
  <c r="E36" i="9"/>
  <c r="BS73" i="4"/>
  <c r="BS75" i="4"/>
  <c r="D21" i="3"/>
  <c r="BX75" i="4"/>
  <c r="BX73" i="4"/>
  <c r="BG16" i="4"/>
  <c r="BC36" i="4"/>
  <c r="BG14" i="4"/>
  <c r="BZ73" i="4"/>
  <c r="BZ75" i="4"/>
  <c r="AM14" i="9"/>
  <c r="BY16" i="9"/>
  <c r="BY17" i="9" s="1"/>
  <c r="BY75" i="4"/>
  <c r="BY73" i="4"/>
  <c r="BS45" i="4"/>
  <c r="BL52" i="3"/>
  <c r="E38" i="9"/>
  <c r="E34" i="9"/>
  <c r="BW73" i="4"/>
  <c r="BW75" i="4"/>
  <c r="F7" i="3"/>
  <c r="F8" i="9"/>
  <c r="G7" i="9"/>
  <c r="G45" i="4"/>
  <c r="BG310" i="1" l="1"/>
  <c r="B11" i="2"/>
  <c r="BF92" i="3"/>
  <c r="BF57" i="3"/>
  <c r="BH38" i="3"/>
  <c r="BH29" i="3"/>
  <c r="BF32" i="3"/>
  <c r="BI11" i="3"/>
  <c r="BE32" i="3"/>
  <c r="BI12" i="3"/>
  <c r="AU81" i="4"/>
  <c r="CF74" i="3"/>
  <c r="CF79" i="3"/>
  <c r="BN39" i="29"/>
  <c r="BN65" i="29"/>
  <c r="BI39" i="29"/>
  <c r="BI65" i="29"/>
  <c r="BM74" i="3"/>
  <c r="BM79" i="3"/>
  <c r="CD72" i="3"/>
  <c r="BH9" i="3"/>
  <c r="BG72" i="3"/>
  <c r="BE91" i="29"/>
  <c r="BK11" i="4"/>
  <c r="BK70" i="4"/>
  <c r="BE70" i="4"/>
  <c r="BE11" i="4"/>
  <c r="BJ70" i="4"/>
  <c r="BJ11" i="4"/>
  <c r="BA91" i="29"/>
  <c r="BN258" i="1"/>
  <c r="BN309" i="1" s="1"/>
  <c r="BN296" i="1" s="1"/>
  <c r="BI258" i="1"/>
  <c r="BI309" i="1" s="1"/>
  <c r="BI296" i="1" s="1"/>
  <c r="BK91" i="29"/>
  <c r="BJ91" i="29"/>
  <c r="BM240" i="1"/>
  <c r="BM52" i="4" s="1"/>
  <c r="BJ48" i="29"/>
  <c r="BI241" i="1"/>
  <c r="BJ242" i="1"/>
  <c r="BI243" i="1"/>
  <c r="BM11" i="29"/>
  <c r="BM223" i="1"/>
  <c r="BM232" i="1"/>
  <c r="BM68" i="29"/>
  <c r="BI70" i="29"/>
  <c r="BI52" i="4"/>
  <c r="BM177" i="1"/>
  <c r="BM176" i="1"/>
  <c r="BI68" i="29"/>
  <c r="BI69" i="29"/>
  <c r="BM17" i="29"/>
  <c r="BN238" i="1"/>
  <c r="H45" i="3"/>
  <c r="AI39" i="9"/>
  <c r="AI77" i="4"/>
  <c r="AU78" i="4"/>
  <c r="AU79" i="4"/>
  <c r="AL39" i="9"/>
  <c r="AL77" i="4"/>
  <c r="BK185" i="1"/>
  <c r="BG100" i="29"/>
  <c r="BF184" i="1"/>
  <c r="BE185" i="1"/>
  <c r="BY19" i="9"/>
  <c r="BY77" i="4" s="1"/>
  <c r="BK184" i="1"/>
  <c r="BF36" i="4"/>
  <c r="BJ185" i="1"/>
  <c r="BN183" i="1"/>
  <c r="BH26" i="3"/>
  <c r="BH30" i="3"/>
  <c r="BH38" i="4"/>
  <c r="BF14" i="4"/>
  <c r="BA8" i="3"/>
  <c r="BF16" i="4"/>
  <c r="BI40" i="3"/>
  <c r="BA36" i="4"/>
  <c r="BM259" i="1"/>
  <c r="BM273" i="1"/>
  <c r="BM283" i="1"/>
  <c r="D37" i="9"/>
  <c r="BI183" i="1"/>
  <c r="CD29" i="9"/>
  <c r="BH31" i="3"/>
  <c r="CD19" i="3"/>
  <c r="BH63" i="3"/>
  <c r="BG19" i="3"/>
  <c r="C46" i="3"/>
  <c r="BH33" i="3"/>
  <c r="BG24" i="9"/>
  <c r="CD26" i="9"/>
  <c r="CD32" i="3"/>
  <c r="BF18" i="4"/>
  <c r="BJ36" i="3"/>
  <c r="BH58" i="3"/>
  <c r="BI17" i="3"/>
  <c r="AJ22" i="9"/>
  <c r="AJ30" i="9" s="1"/>
  <c r="H7" i="9"/>
  <c r="G7" i="3"/>
  <c r="H45" i="4"/>
  <c r="G8" i="9"/>
  <c r="G11" i="9" s="1"/>
  <c r="BM52" i="3"/>
  <c r="BK16" i="4"/>
  <c r="D46" i="3"/>
  <c r="BK14" i="4"/>
  <c r="AK30" i="9"/>
  <c r="BQ8" i="9"/>
  <c r="BR7" i="9" s="1"/>
  <c r="F11" i="9"/>
  <c r="BQ11" i="9" s="1"/>
  <c r="F48" i="3"/>
  <c r="F36" i="9"/>
  <c r="F14" i="3"/>
  <c r="BQ7" i="3"/>
  <c r="BG36" i="4"/>
  <c r="E21" i="3"/>
  <c r="BT45" i="4"/>
  <c r="AM16" i="9"/>
  <c r="AN14" i="9" s="1"/>
  <c r="BZ14" i="9"/>
  <c r="K41" i="3"/>
  <c r="BR41" i="3"/>
  <c r="J43" i="3"/>
  <c r="E35" i="9"/>
  <c r="F34" i="9"/>
  <c r="F38" i="9"/>
  <c r="E37" i="9"/>
  <c r="I45" i="3"/>
  <c r="BY81" i="4" l="1"/>
  <c r="BG92" i="3"/>
  <c r="BH310" i="1"/>
  <c r="BI38" i="3"/>
  <c r="BI29" i="3"/>
  <c r="BJ12" i="3"/>
  <c r="BE18" i="4"/>
  <c r="BJ11" i="3"/>
  <c r="BB26" i="4"/>
  <c r="AI78" i="4"/>
  <c r="AI81" i="4"/>
  <c r="AL81" i="4"/>
  <c r="BM39" i="29"/>
  <c r="BM65" i="29"/>
  <c r="BI9" i="3"/>
  <c r="BH72" i="3"/>
  <c r="BF100" i="29"/>
  <c r="BN91" i="29"/>
  <c r="BJ100" i="29"/>
  <c r="BN11" i="4"/>
  <c r="BN70" i="4"/>
  <c r="BI70" i="4"/>
  <c r="BI11" i="4"/>
  <c r="BM258" i="1"/>
  <c r="BM309" i="1" s="1"/>
  <c r="BM296" i="1" s="1"/>
  <c r="BM241" i="1"/>
  <c r="BK100" i="29"/>
  <c r="BM243" i="1"/>
  <c r="BN242" i="1"/>
  <c r="BN48" i="29"/>
  <c r="BM69" i="29"/>
  <c r="BM70" i="29"/>
  <c r="AI79" i="4"/>
  <c r="AJ39" i="9"/>
  <c r="AJ77" i="4"/>
  <c r="AL79" i="4"/>
  <c r="AK39" i="9"/>
  <c r="AK77" i="4"/>
  <c r="BG57" i="3"/>
  <c r="BM183" i="1"/>
  <c r="BN185" i="1"/>
  <c r="BB25" i="4"/>
  <c r="BJ36" i="4"/>
  <c r="BE36" i="4"/>
  <c r="BJ14" i="4"/>
  <c r="BI185" i="1"/>
  <c r="BJ184" i="1"/>
  <c r="BJ16" i="4"/>
  <c r="BI38" i="4"/>
  <c r="BI30" i="3"/>
  <c r="BI26" i="3"/>
  <c r="CD18" i="4"/>
  <c r="BI31" i="3"/>
  <c r="BJ40" i="3"/>
  <c r="CC26" i="4"/>
  <c r="BI63" i="3"/>
  <c r="BH19" i="3"/>
  <c r="BY22" i="9"/>
  <c r="BY30" i="9" s="1"/>
  <c r="BJ17" i="3"/>
  <c r="BI33" i="3"/>
  <c r="CD25" i="9"/>
  <c r="CD27" i="9"/>
  <c r="CD28" i="9" s="1"/>
  <c r="BI58" i="3"/>
  <c r="BK36" i="3"/>
  <c r="CE36" i="3"/>
  <c r="CE24" i="9"/>
  <c r="BG26" i="9"/>
  <c r="BH24" i="9" s="1"/>
  <c r="AM17" i="9"/>
  <c r="AM19" i="9" s="1"/>
  <c r="BU45" i="4"/>
  <c r="BZ17" i="9"/>
  <c r="BZ18" i="9"/>
  <c r="BN52" i="3"/>
  <c r="L41" i="3"/>
  <c r="K43" i="3"/>
  <c r="BK36" i="4"/>
  <c r="AN16" i="9"/>
  <c r="AO14" i="9" s="1"/>
  <c r="BQ36" i="9"/>
  <c r="F37" i="9"/>
  <c r="G38" i="9"/>
  <c r="F35" i="9"/>
  <c r="BQ35" i="9" s="1"/>
  <c r="G34" i="9"/>
  <c r="BR34" i="9" s="1"/>
  <c r="E46" i="3"/>
  <c r="H8" i="9"/>
  <c r="H11" i="9" s="1"/>
  <c r="H7" i="3"/>
  <c r="I7" i="9"/>
  <c r="I45" i="4"/>
  <c r="J45" i="3"/>
  <c r="BR43" i="3"/>
  <c r="BQ48" i="3"/>
  <c r="F21" i="3"/>
  <c r="BQ14" i="3"/>
  <c r="G48" i="3"/>
  <c r="G14" i="3"/>
  <c r="G36" i="9"/>
  <c r="BI310" i="1" l="1"/>
  <c r="BH92" i="3"/>
  <c r="C11" i="2"/>
  <c r="BJ38" i="3"/>
  <c r="BJ29" i="3"/>
  <c r="BK11" i="3"/>
  <c r="BG32" i="3"/>
  <c r="BK12" i="3"/>
  <c r="AL78" i="4"/>
  <c r="AK81" i="4"/>
  <c r="AJ81" i="4"/>
  <c r="BI91" i="29"/>
  <c r="BJ9" i="3"/>
  <c r="BI72" i="3"/>
  <c r="BB8" i="3"/>
  <c r="BC25" i="4" s="1"/>
  <c r="BN100" i="29"/>
  <c r="BM70" i="4"/>
  <c r="BM11" i="4"/>
  <c r="BY39" i="9"/>
  <c r="AK78" i="4"/>
  <c r="AJ78" i="4"/>
  <c r="AJ79" i="4"/>
  <c r="AK79" i="4"/>
  <c r="BY79" i="4"/>
  <c r="C10" i="2"/>
  <c r="BH57" i="3"/>
  <c r="BM185" i="1"/>
  <c r="BN184" i="1"/>
  <c r="BG18" i="4"/>
  <c r="CC25" i="4"/>
  <c r="BN36" i="4"/>
  <c r="CE12" i="3"/>
  <c r="BJ30" i="3"/>
  <c r="BJ31" i="3"/>
  <c r="BN14" i="4"/>
  <c r="CE40" i="3"/>
  <c r="BK40" i="3"/>
  <c r="BI36" i="4"/>
  <c r="BJ26" i="3"/>
  <c r="CE11" i="3"/>
  <c r="BJ38" i="4"/>
  <c r="BN16" i="4"/>
  <c r="BJ63" i="3"/>
  <c r="BI19" i="3"/>
  <c r="BH26" i="9"/>
  <c r="BI24" i="9" s="1"/>
  <c r="BL36" i="3"/>
  <c r="BJ33" i="3"/>
  <c r="CE17" i="3"/>
  <c r="BK17" i="3"/>
  <c r="BJ58" i="3"/>
  <c r="BG27" i="9"/>
  <c r="BG29" i="9" s="1"/>
  <c r="AM22" i="9"/>
  <c r="AM30" i="9" s="1"/>
  <c r="AN17" i="9"/>
  <c r="AN19" i="9" s="1"/>
  <c r="H14" i="3"/>
  <c r="H36" i="9"/>
  <c r="H48" i="3"/>
  <c r="BQ37" i="9"/>
  <c r="BR38" i="9"/>
  <c r="K45" i="3"/>
  <c r="BV45" i="4"/>
  <c r="BR45" i="3"/>
  <c r="BQ21" i="3"/>
  <c r="F46" i="3"/>
  <c r="AO16" i="9"/>
  <c r="AP14" i="9" s="1"/>
  <c r="AP17" i="9" s="1"/>
  <c r="AP19" i="9" s="1"/>
  <c r="M41" i="3"/>
  <c r="L43" i="3"/>
  <c r="G21" i="3"/>
  <c r="J45" i="4"/>
  <c r="I7" i="3"/>
  <c r="I8" i="9"/>
  <c r="I11" i="9" s="1"/>
  <c r="J7" i="9"/>
  <c r="G35" i="9"/>
  <c r="G37" i="9"/>
  <c r="H34" i="9"/>
  <c r="H38" i="9"/>
  <c r="BI92" i="3" l="1"/>
  <c r="BJ310" i="1"/>
  <c r="BK38" i="3"/>
  <c r="CE38" i="3"/>
  <c r="BK29" i="3"/>
  <c r="CE29" i="3"/>
  <c r="BL12" i="3"/>
  <c r="BH32" i="3"/>
  <c r="BL11" i="3"/>
  <c r="CC8" i="3"/>
  <c r="BM91" i="29"/>
  <c r="BK9" i="3"/>
  <c r="BJ72" i="3"/>
  <c r="BC26" i="4"/>
  <c r="AM39" i="9"/>
  <c r="AM77" i="4"/>
  <c r="BH18" i="4"/>
  <c r="CE9" i="3"/>
  <c r="AN22" i="9"/>
  <c r="AN30" i="9" s="1"/>
  <c r="BK38" i="4"/>
  <c r="BM36" i="4"/>
  <c r="BL40" i="3"/>
  <c r="CE30" i="3"/>
  <c r="BK30" i="3"/>
  <c r="CE26" i="3"/>
  <c r="BK26" i="3"/>
  <c r="BK31" i="3"/>
  <c r="CE31" i="3"/>
  <c r="CE38" i="4"/>
  <c r="BI57" i="3"/>
  <c r="BK63" i="3"/>
  <c r="BJ19" i="3"/>
  <c r="BH27" i="9"/>
  <c r="BH29" i="9" s="1"/>
  <c r="AO17" i="9"/>
  <c r="AO19" i="9" s="1"/>
  <c r="AO22" i="9" s="1"/>
  <c r="BM36" i="3"/>
  <c r="BL17" i="3"/>
  <c r="BK58" i="3"/>
  <c r="BK33" i="3"/>
  <c r="CE33" i="3"/>
  <c r="BI26" i="9"/>
  <c r="BJ24" i="9" s="1"/>
  <c r="J8" i="9"/>
  <c r="K45" i="4"/>
  <c r="K7" i="9"/>
  <c r="J7" i="3"/>
  <c r="H37" i="9"/>
  <c r="I34" i="9"/>
  <c r="H35" i="9"/>
  <c r="I38" i="9"/>
  <c r="BQ46" i="3"/>
  <c r="I48" i="3"/>
  <c r="I36" i="9"/>
  <c r="I14" i="3"/>
  <c r="L45" i="3"/>
  <c r="N41" i="3"/>
  <c r="M43" i="3"/>
  <c r="H21" i="3"/>
  <c r="BW45" i="4"/>
  <c r="G46" i="3"/>
  <c r="AP22" i="9"/>
  <c r="AP30" i="9" s="1"/>
  <c r="BK310" i="1" l="1"/>
  <c r="AM81" i="4"/>
  <c r="BJ92" i="3"/>
  <c r="BJ57" i="3"/>
  <c r="BL38" i="3"/>
  <c r="BL29" i="3"/>
  <c r="BI32" i="3"/>
  <c r="BM11" i="3"/>
  <c r="BJ32" i="3"/>
  <c r="BM12" i="3"/>
  <c r="CE72" i="3"/>
  <c r="BL9" i="3"/>
  <c r="BK72" i="3"/>
  <c r="BC8" i="3"/>
  <c r="AM78" i="4"/>
  <c r="AM79" i="4"/>
  <c r="AQ79" i="4"/>
  <c r="AP39" i="9"/>
  <c r="AP77" i="4"/>
  <c r="AN39" i="9"/>
  <c r="AN77" i="4"/>
  <c r="BM40" i="3"/>
  <c r="BL31" i="3"/>
  <c r="BL38" i="4"/>
  <c r="BL30" i="3"/>
  <c r="BZ19" i="9"/>
  <c r="BZ77" i="4" s="1"/>
  <c r="BL26" i="3"/>
  <c r="CE19" i="3"/>
  <c r="BL63" i="3"/>
  <c r="BK19" i="3"/>
  <c r="BI27" i="9"/>
  <c r="BI29" i="9" s="1"/>
  <c r="BL58" i="3"/>
  <c r="CE32" i="3"/>
  <c r="BJ18" i="4"/>
  <c r="BM17" i="3"/>
  <c r="BN36" i="3"/>
  <c r="BJ26" i="9"/>
  <c r="BJ27" i="9" s="1"/>
  <c r="BJ29" i="9" s="1"/>
  <c r="BL33" i="3"/>
  <c r="BX45" i="4"/>
  <c r="J38" i="9"/>
  <c r="J34" i="9"/>
  <c r="I35" i="9"/>
  <c r="I37" i="9"/>
  <c r="BR8" i="9"/>
  <c r="BS7" i="9" s="1"/>
  <c r="J11" i="9"/>
  <c r="BR11" i="9" s="1"/>
  <c r="I21" i="3"/>
  <c r="H46" i="3"/>
  <c r="L7" i="9"/>
  <c r="L45" i="4"/>
  <c r="K7" i="3"/>
  <c r="K8" i="9"/>
  <c r="K11" i="9" s="1"/>
  <c r="AO30" i="9"/>
  <c r="BZ22" i="9"/>
  <c r="BZ30" i="9" s="1"/>
  <c r="M45" i="3"/>
  <c r="J48" i="3"/>
  <c r="J36" i="9"/>
  <c r="BR7" i="3"/>
  <c r="J14" i="3"/>
  <c r="O41" i="3"/>
  <c r="N43" i="3"/>
  <c r="BS41" i="3"/>
  <c r="BL310" i="1" l="1"/>
  <c r="AN81" i="4"/>
  <c r="BZ81" i="4"/>
  <c r="BK92" i="3"/>
  <c r="BI18" i="4"/>
  <c r="BM38" i="3"/>
  <c r="BM29" i="3"/>
  <c r="BN12" i="3"/>
  <c r="BN11" i="3"/>
  <c r="AP81" i="4"/>
  <c r="BM9" i="3"/>
  <c r="BL72" i="3"/>
  <c r="BD25" i="4"/>
  <c r="BD26" i="4"/>
  <c r="AN79" i="4"/>
  <c r="AN78" i="4"/>
  <c r="AR79" i="4"/>
  <c r="AQ78" i="4"/>
  <c r="AT79" i="4"/>
  <c r="AP79" i="4"/>
  <c r="AO39" i="9"/>
  <c r="BZ39" i="9" s="1"/>
  <c r="AO77" i="4"/>
  <c r="D10" i="2"/>
  <c r="BZ79" i="4"/>
  <c r="CA79" i="4"/>
  <c r="BN40" i="3"/>
  <c r="CE18" i="4"/>
  <c r="BM26" i="3"/>
  <c r="BM31" i="3"/>
  <c r="BM30" i="3"/>
  <c r="BM38" i="4"/>
  <c r="CE29" i="9"/>
  <c r="BK57" i="3"/>
  <c r="BM63" i="3"/>
  <c r="BL19" i="3"/>
  <c r="BM33" i="3"/>
  <c r="CF36" i="3"/>
  <c r="BN17" i="3"/>
  <c r="CE26" i="9"/>
  <c r="BK24" i="9"/>
  <c r="BM58" i="3"/>
  <c r="BY45" i="4"/>
  <c r="K48" i="3"/>
  <c r="K36" i="9"/>
  <c r="K14" i="3"/>
  <c r="BR14" i="3"/>
  <c r="J21" i="3"/>
  <c r="M45" i="4"/>
  <c r="M7" i="9"/>
  <c r="L7" i="3"/>
  <c r="L8" i="9"/>
  <c r="L11" i="9" s="1"/>
  <c r="N45" i="3"/>
  <c r="BS43" i="3"/>
  <c r="P41" i="3"/>
  <c r="O43" i="3"/>
  <c r="I46" i="3"/>
  <c r="J35" i="9"/>
  <c r="BR35" i="9" s="1"/>
  <c r="K34" i="9"/>
  <c r="BS34" i="9" s="1"/>
  <c r="BR36" i="9"/>
  <c r="J37" i="9"/>
  <c r="K38" i="9"/>
  <c r="BR48" i="3"/>
  <c r="BL92" i="3" l="1"/>
  <c r="D11" i="2"/>
  <c r="BM310" i="1"/>
  <c r="BN38" i="3"/>
  <c r="BN29" i="3"/>
  <c r="BK32" i="3"/>
  <c r="AO78" i="4"/>
  <c r="AO81" i="4"/>
  <c r="BN9" i="3"/>
  <c r="BM72" i="3"/>
  <c r="BD8" i="3"/>
  <c r="AP78" i="4"/>
  <c r="AS79" i="4"/>
  <c r="AO79" i="4"/>
  <c r="CF12" i="3"/>
  <c r="BN31" i="3"/>
  <c r="BL57" i="3"/>
  <c r="CF11" i="3"/>
  <c r="BN30" i="3"/>
  <c r="BN26" i="3"/>
  <c r="BN38" i="4"/>
  <c r="CF40" i="3"/>
  <c r="BN63" i="3"/>
  <c r="BM19" i="3"/>
  <c r="BN58" i="3"/>
  <c r="CF17" i="3"/>
  <c r="CF24" i="9"/>
  <c r="BK26" i="9"/>
  <c r="BL24" i="9" s="1"/>
  <c r="CE27" i="9"/>
  <c r="CE28" i="9" s="1"/>
  <c r="CE25" i="9"/>
  <c r="BN33" i="3"/>
  <c r="L36" i="9"/>
  <c r="L48" i="3"/>
  <c r="L14" i="3"/>
  <c r="M7" i="3"/>
  <c r="N7" i="9"/>
  <c r="M8" i="9"/>
  <c r="M11" i="9" s="1"/>
  <c r="N45" i="4"/>
  <c r="K21" i="3"/>
  <c r="K37" i="9"/>
  <c r="L38" i="9"/>
  <c r="K35" i="9"/>
  <c r="L34" i="9"/>
  <c r="Q41" i="3"/>
  <c r="P43" i="3"/>
  <c r="BS45" i="3"/>
  <c r="BR37" i="9"/>
  <c r="BS38" i="9"/>
  <c r="O45" i="3"/>
  <c r="BR21" i="3"/>
  <c r="J46" i="3"/>
  <c r="BZ45" i="4"/>
  <c r="BN310" i="1" l="1"/>
  <c r="BM92" i="3"/>
  <c r="BN19" i="3"/>
  <c r="CF38" i="3"/>
  <c r="CF29" i="3"/>
  <c r="BN72" i="3"/>
  <c r="BL32" i="3"/>
  <c r="BK18" i="4"/>
  <c r="CF72" i="3"/>
  <c r="BE26" i="4"/>
  <c r="BE25" i="4"/>
  <c r="BN57" i="3"/>
  <c r="CF9" i="3"/>
  <c r="CF30" i="3"/>
  <c r="BL18" i="4"/>
  <c r="CF38" i="4"/>
  <c r="CF31" i="3"/>
  <c r="CF26" i="3"/>
  <c r="CF19" i="3"/>
  <c r="BM57" i="3"/>
  <c r="CF33" i="3"/>
  <c r="BK27" i="9"/>
  <c r="BK29" i="9" s="1"/>
  <c r="BL26" i="9"/>
  <c r="BM24" i="9" s="1"/>
  <c r="R41" i="3"/>
  <c r="Q43" i="3"/>
  <c r="K46" i="3"/>
  <c r="L21" i="3"/>
  <c r="L35" i="9"/>
  <c r="L37" i="9"/>
  <c r="M38" i="9"/>
  <c r="M34" i="9"/>
  <c r="CA45" i="4"/>
  <c r="BR46" i="3"/>
  <c r="P45" i="3"/>
  <c r="O45" i="4"/>
  <c r="O7" i="9"/>
  <c r="N7" i="3"/>
  <c r="N8" i="9"/>
  <c r="M14" i="3"/>
  <c r="M48" i="3"/>
  <c r="M36" i="9"/>
  <c r="BN92" i="3" l="1"/>
  <c r="BM32" i="3"/>
  <c r="BN32" i="3"/>
  <c r="BN18" i="4" s="1"/>
  <c r="BE8" i="3"/>
  <c r="BL27" i="9"/>
  <c r="BL29" i="9" s="1"/>
  <c r="BM18" i="4"/>
  <c r="BM26" i="9"/>
  <c r="BN24" i="9" s="1"/>
  <c r="N36" i="9"/>
  <c r="N14" i="3"/>
  <c r="BS7" i="3"/>
  <c r="N48" i="3"/>
  <c r="P45" i="4"/>
  <c r="P7" i="9"/>
  <c r="O8" i="9"/>
  <c r="O11" i="9" s="1"/>
  <c r="O7" i="3"/>
  <c r="M21" i="3"/>
  <c r="R43" i="3"/>
  <c r="BT41" i="3"/>
  <c r="S41" i="3"/>
  <c r="N34" i="9"/>
  <c r="N38" i="9"/>
  <c r="M37" i="9"/>
  <c r="M35" i="9"/>
  <c r="L46" i="3"/>
  <c r="Q45" i="3"/>
  <c r="N11" i="9"/>
  <c r="BS11" i="9" s="1"/>
  <c r="BS8" i="9"/>
  <c r="BT7" i="9" s="1"/>
  <c r="CF32" i="3" l="1"/>
  <c r="BF25" i="4"/>
  <c r="BF26" i="4"/>
  <c r="CF18" i="4"/>
  <c r="BM27" i="9"/>
  <c r="BM29" i="9" s="1"/>
  <c r="BN26" i="9"/>
  <c r="CF26" i="9" s="1"/>
  <c r="N35" i="9"/>
  <c r="BS35" i="9" s="1"/>
  <c r="BS36" i="9"/>
  <c r="O34" i="9"/>
  <c r="BT34" i="9" s="1"/>
  <c r="N37" i="9"/>
  <c r="O38" i="9"/>
  <c r="Q7" i="9"/>
  <c r="Q45" i="4"/>
  <c r="P8" i="9"/>
  <c r="P11" i="9" s="1"/>
  <c r="P7" i="3"/>
  <c r="BS14" i="3"/>
  <c r="N21" i="3"/>
  <c r="R45" i="3"/>
  <c r="BT43" i="3"/>
  <c r="O36" i="9"/>
  <c r="O48" i="3"/>
  <c r="O14" i="3"/>
  <c r="S43" i="3"/>
  <c r="T41" i="3"/>
  <c r="M46" i="3"/>
  <c r="BS48" i="3"/>
  <c r="CD25" i="4" l="1"/>
  <c r="CD26" i="4"/>
  <c r="BF8" i="3"/>
  <c r="BN27" i="9"/>
  <c r="BN29" i="9" s="1"/>
  <c r="CF29" i="9" s="1"/>
  <c r="CF25" i="9"/>
  <c r="CF27" i="9"/>
  <c r="BS37" i="9"/>
  <c r="BT38" i="9"/>
  <c r="T43" i="3"/>
  <c r="U41" i="3"/>
  <c r="Q7" i="3"/>
  <c r="Q8" i="9"/>
  <c r="Q11" i="9" s="1"/>
  <c r="R45" i="4"/>
  <c r="R7" i="9"/>
  <c r="S45" i="3"/>
  <c r="BS21" i="3"/>
  <c r="N46" i="3"/>
  <c r="BT45" i="3"/>
  <c r="O21" i="3"/>
  <c r="O35" i="9"/>
  <c r="P34" i="9"/>
  <c r="P38" i="9"/>
  <c r="O37" i="9"/>
  <c r="P14" i="3"/>
  <c r="P48" i="3"/>
  <c r="P36" i="9"/>
  <c r="BG25" i="4" l="1"/>
  <c r="CD8" i="3"/>
  <c r="BG26" i="4"/>
  <c r="CF28" i="9"/>
  <c r="T45" i="3"/>
  <c r="P35" i="9"/>
  <c r="Q38" i="9"/>
  <c r="P37" i="9"/>
  <c r="Q34" i="9"/>
  <c r="Q48" i="3"/>
  <c r="Q36" i="9"/>
  <c r="Q14" i="3"/>
  <c r="BS46" i="3"/>
  <c r="S7" i="9"/>
  <c r="S45" i="4"/>
  <c r="R7" i="3"/>
  <c r="R8" i="9"/>
  <c r="P21" i="3"/>
  <c r="O46" i="3"/>
  <c r="V41" i="3"/>
  <c r="U43" i="3"/>
  <c r="BG8" i="3" l="1"/>
  <c r="S7" i="3"/>
  <c r="T7" i="9"/>
  <c r="S8" i="9"/>
  <c r="S11" i="9" s="1"/>
  <c r="T45" i="4"/>
  <c r="Q21" i="3"/>
  <c r="W41" i="3"/>
  <c r="V43" i="3"/>
  <c r="BU41" i="3"/>
  <c r="R11" i="9"/>
  <c r="BT11" i="9" s="1"/>
  <c r="BT8" i="9"/>
  <c r="BU7" i="9" s="1"/>
  <c r="R48" i="3"/>
  <c r="R14" i="3"/>
  <c r="R36" i="9"/>
  <c r="BT7" i="3"/>
  <c r="R34" i="9"/>
  <c r="Q37" i="9"/>
  <c r="Q35" i="9"/>
  <c r="R38" i="9"/>
  <c r="P46" i="3"/>
  <c r="U45" i="3"/>
  <c r="BH26" i="4" l="1"/>
  <c r="BH25" i="4"/>
  <c r="X41" i="3"/>
  <c r="W43" i="3"/>
  <c r="BT36" i="9"/>
  <c r="S34" i="9"/>
  <c r="BU34" i="9" s="1"/>
  <c r="R37" i="9"/>
  <c r="R35" i="9"/>
  <c r="BT35" i="9" s="1"/>
  <c r="S38" i="9"/>
  <c r="S36" i="9"/>
  <c r="S14" i="3"/>
  <c r="S48" i="3"/>
  <c r="T8" i="9"/>
  <c r="T11" i="9" s="1"/>
  <c r="U7" i="9"/>
  <c r="U45" i="4"/>
  <c r="T7" i="3"/>
  <c r="R21" i="3"/>
  <c r="BT14" i="3"/>
  <c r="BT48" i="3"/>
  <c r="Q46" i="3"/>
  <c r="V45" i="3"/>
  <c r="BU43" i="3"/>
  <c r="BH8" i="3" l="1"/>
  <c r="S37" i="9"/>
  <c r="T38" i="9"/>
  <c r="T34" i="9"/>
  <c r="S35" i="9"/>
  <c r="BT37" i="9"/>
  <c r="BU38" i="9"/>
  <c r="W45" i="3"/>
  <c r="BT21" i="3"/>
  <c r="R46" i="3"/>
  <c r="Y41" i="3"/>
  <c r="X43" i="3"/>
  <c r="V45" i="4"/>
  <c r="U7" i="3"/>
  <c r="V7" i="9"/>
  <c r="U8" i="9"/>
  <c r="U11" i="9" s="1"/>
  <c r="S21" i="3"/>
  <c r="BU45" i="3"/>
  <c r="T14" i="3"/>
  <c r="T36" i="9"/>
  <c r="T48" i="3"/>
  <c r="BI25" i="4" l="1"/>
  <c r="BI26" i="4"/>
  <c r="X45" i="3"/>
  <c r="BT46" i="3"/>
  <c r="U36" i="9"/>
  <c r="U14" i="3"/>
  <c r="U48" i="3"/>
  <c r="V7" i="3"/>
  <c r="W7" i="9"/>
  <c r="W45" i="4"/>
  <c r="V8" i="9"/>
  <c r="T37" i="9"/>
  <c r="T35" i="9"/>
  <c r="U34" i="9"/>
  <c r="U38" i="9"/>
  <c r="S46" i="3"/>
  <c r="Z41" i="3"/>
  <c r="Y43" i="3"/>
  <c r="T21" i="3"/>
  <c r="BI8" i="3" l="1"/>
  <c r="T46" i="3"/>
  <c r="W7" i="3"/>
  <c r="X7" i="9"/>
  <c r="X45" i="4"/>
  <c r="W8" i="9"/>
  <c r="W11" i="9" s="1"/>
  <c r="U21" i="3"/>
  <c r="Y45" i="3"/>
  <c r="U37" i="9"/>
  <c r="U35" i="9"/>
  <c r="V38" i="9"/>
  <c r="V34" i="9"/>
  <c r="BV41" i="3"/>
  <c r="Z43" i="3"/>
  <c r="AA41" i="3"/>
  <c r="BU7" i="3"/>
  <c r="V14" i="3"/>
  <c r="V48" i="3"/>
  <c r="V36" i="9"/>
  <c r="BU8" i="9"/>
  <c r="BV7" i="9" s="1"/>
  <c r="V11" i="9"/>
  <c r="BU11" i="9" s="1"/>
  <c r="BJ25" i="4" l="1"/>
  <c r="BJ26" i="4"/>
  <c r="V35" i="9"/>
  <c r="BU35" i="9" s="1"/>
  <c r="W34" i="9"/>
  <c r="BV34" i="9" s="1"/>
  <c r="V37" i="9"/>
  <c r="BU36" i="9"/>
  <c r="W38" i="9"/>
  <c r="AA43" i="3"/>
  <c r="AB41" i="3"/>
  <c r="W48" i="3"/>
  <c r="W36" i="9"/>
  <c r="W14" i="3"/>
  <c r="BU48" i="3"/>
  <c r="U46" i="3"/>
  <c r="X8" i="9"/>
  <c r="X11" i="9" s="1"/>
  <c r="X7" i="3"/>
  <c r="Y7" i="9"/>
  <c r="Y45" i="4"/>
  <c r="Z45" i="3"/>
  <c r="BV43" i="3"/>
  <c r="V21" i="3"/>
  <c r="BU14" i="3"/>
  <c r="BJ8" i="3" l="1"/>
  <c r="CE26" i="4"/>
  <c r="CE25" i="4"/>
  <c r="AB43" i="3"/>
  <c r="AC41" i="3"/>
  <c r="Z7" i="9"/>
  <c r="Y8" i="9"/>
  <c r="Y11" i="9" s="1"/>
  <c r="Z45" i="4"/>
  <c r="Y7" i="3"/>
  <c r="X48" i="3"/>
  <c r="X36" i="9"/>
  <c r="X14" i="3"/>
  <c r="X34" i="9"/>
  <c r="X38" i="9"/>
  <c r="W37" i="9"/>
  <c r="W35" i="9"/>
  <c r="BU37" i="9"/>
  <c r="BV38" i="9"/>
  <c r="BV45" i="3"/>
  <c r="W21" i="3"/>
  <c r="V46" i="3"/>
  <c r="BU21" i="3"/>
  <c r="AA45" i="3"/>
  <c r="BK26" i="4" l="1"/>
  <c r="CE8" i="3"/>
  <c r="BK25" i="4"/>
  <c r="AB45" i="3"/>
  <c r="BU46" i="3"/>
  <c r="Y36" i="9"/>
  <c r="Y14" i="3"/>
  <c r="Y48" i="3"/>
  <c r="X37" i="9"/>
  <c r="Y34" i="9"/>
  <c r="X35" i="9"/>
  <c r="Y38" i="9"/>
  <c r="W46" i="3"/>
  <c r="X21" i="3"/>
  <c r="Z8" i="9"/>
  <c r="AA45" i="4"/>
  <c r="Z7" i="3"/>
  <c r="AA7" i="9"/>
  <c r="AD41" i="3"/>
  <c r="AC43" i="3"/>
  <c r="BK8" i="3" l="1"/>
  <c r="BV8" i="9"/>
  <c r="BW7" i="9" s="1"/>
  <c r="Z11" i="9"/>
  <c r="BV11" i="9" s="1"/>
  <c r="Y21" i="3"/>
  <c r="Z36" i="9"/>
  <c r="Z48" i="3"/>
  <c r="BV7" i="3"/>
  <c r="Z14" i="3"/>
  <c r="Y35" i="9"/>
  <c r="Y37" i="9"/>
  <c r="Z34" i="9"/>
  <c r="Z38" i="9"/>
  <c r="AB45" i="4"/>
  <c r="AA7" i="3"/>
  <c r="AB7" i="9"/>
  <c r="AA8" i="9"/>
  <c r="AA11" i="9" s="1"/>
  <c r="X46" i="3"/>
  <c r="AC45" i="3"/>
  <c r="BW41" i="3"/>
  <c r="AD43" i="3"/>
  <c r="BL26" i="4" l="1"/>
  <c r="BL25" i="4"/>
  <c r="BW43" i="3"/>
  <c r="AD45" i="3"/>
  <c r="BV14" i="3"/>
  <c r="Z21" i="3"/>
  <c r="Y46" i="3"/>
  <c r="BV48" i="3"/>
  <c r="AC45" i="4"/>
  <c r="AB8" i="9"/>
  <c r="AB11" i="9" s="1"/>
  <c r="AB7" i="3"/>
  <c r="AC7" i="9"/>
  <c r="AA34" i="9"/>
  <c r="BW34" i="9" s="1"/>
  <c r="Z35" i="9"/>
  <c r="BV35" i="9" s="1"/>
  <c r="Z37" i="9"/>
  <c r="BV36" i="9"/>
  <c r="AA38" i="9"/>
  <c r="AA48" i="3"/>
  <c r="AA14" i="3"/>
  <c r="AA36" i="9"/>
  <c r="BL8" i="3" l="1"/>
  <c r="BV37" i="9"/>
  <c r="BW38" i="9"/>
  <c r="BV21" i="3"/>
  <c r="Z46" i="3"/>
  <c r="AA35" i="9"/>
  <c r="AA37" i="9"/>
  <c r="AB34" i="9"/>
  <c r="AB38" i="9"/>
  <c r="AA21" i="3"/>
  <c r="AC7" i="3"/>
  <c r="AD7" i="9"/>
  <c r="AD45" i="4"/>
  <c r="AC8" i="9"/>
  <c r="AC11" i="9" s="1"/>
  <c r="BW45" i="3"/>
  <c r="AB36" i="9"/>
  <c r="AB48" i="3"/>
  <c r="AB14" i="3"/>
  <c r="BM26" i="4" l="1"/>
  <c r="BM25" i="4"/>
  <c r="BV46" i="3"/>
  <c r="AC36" i="9"/>
  <c r="AC14" i="3"/>
  <c r="AC48" i="3"/>
  <c r="AC38" i="9"/>
  <c r="AB37" i="9"/>
  <c r="AB35" i="9"/>
  <c r="AC34" i="9"/>
  <c r="AE45" i="4"/>
  <c r="AE7" i="9"/>
  <c r="AD8" i="9"/>
  <c r="AD7" i="3"/>
  <c r="AA46" i="3"/>
  <c r="AB21" i="3"/>
  <c r="BM8" i="3" l="1"/>
  <c r="AF45" i="4"/>
  <c r="AE7" i="3"/>
  <c r="AF7" i="9"/>
  <c r="AE8" i="9"/>
  <c r="AE11" i="9" s="1"/>
  <c r="AC37" i="9"/>
  <c r="AD34" i="9"/>
  <c r="AD38" i="9"/>
  <c r="AC35" i="9"/>
  <c r="BW7" i="3"/>
  <c r="AD48" i="3"/>
  <c r="AD36" i="9"/>
  <c r="AD14" i="3"/>
  <c r="AC21" i="3"/>
  <c r="AB46" i="3"/>
  <c r="AD11" i="9"/>
  <c r="BW11" i="9" s="1"/>
  <c r="BW8" i="9"/>
  <c r="BX7" i="9" s="1"/>
  <c r="BN26" i="4" l="1"/>
  <c r="BN25" i="4"/>
  <c r="BW48" i="3"/>
  <c r="AD21" i="3"/>
  <c r="BW14" i="3"/>
  <c r="AE48" i="3"/>
  <c r="AE14" i="3"/>
  <c r="AE36" i="9"/>
  <c r="AF7" i="3"/>
  <c r="AG45" i="4"/>
  <c r="AF8" i="9"/>
  <c r="AF11" i="9" s="1"/>
  <c r="AG7" i="9"/>
  <c r="AC46" i="3"/>
  <c r="BW36" i="9"/>
  <c r="AD37" i="9"/>
  <c r="AE34" i="9"/>
  <c r="BX34" i="9" s="1"/>
  <c r="AD35" i="9"/>
  <c r="BW35" i="9" s="1"/>
  <c r="AE38" i="9"/>
  <c r="BN8" i="3" l="1"/>
  <c r="CF8" i="3"/>
  <c r="CF25" i="4"/>
  <c r="CF26" i="4"/>
  <c r="BW21" i="3"/>
  <c r="AD46" i="3"/>
  <c r="AE21" i="3"/>
  <c r="BW37" i="9"/>
  <c r="BX38" i="9"/>
  <c r="AG7" i="3"/>
  <c r="AH45" i="4"/>
  <c r="AH7" i="9"/>
  <c r="AG8" i="9"/>
  <c r="AG11" i="9" s="1"/>
  <c r="AF48" i="3"/>
  <c r="AF14" i="3"/>
  <c r="AF36" i="9"/>
  <c r="AE35" i="9"/>
  <c r="AE37" i="9"/>
  <c r="AF34" i="9"/>
  <c r="AF38" i="9"/>
  <c r="BW46" i="3" l="1"/>
  <c r="AI7" i="9"/>
  <c r="AH7" i="3"/>
  <c r="AI45" i="4"/>
  <c r="AH8" i="9"/>
  <c r="AF35" i="9"/>
  <c r="AF37" i="9"/>
  <c r="AG34" i="9"/>
  <c r="AG38" i="9"/>
  <c r="AG48" i="3"/>
  <c r="AG14" i="3"/>
  <c r="AG36" i="9"/>
  <c r="AF21" i="3"/>
  <c r="AE46" i="3"/>
  <c r="AF46" i="3" l="1"/>
  <c r="AG21" i="3"/>
  <c r="AH11" i="9"/>
  <c r="BX11" i="9" s="1"/>
  <c r="BX8" i="9"/>
  <c r="BY7" i="9" s="1"/>
  <c r="AH34" i="9"/>
  <c r="AG37" i="9"/>
  <c r="AG35" i="9"/>
  <c r="AH38" i="9"/>
  <c r="AH14" i="3"/>
  <c r="BX7" i="3"/>
  <c r="AH36" i="9"/>
  <c r="AH48" i="3"/>
  <c r="AJ7" i="9"/>
  <c r="AI8" i="9"/>
  <c r="AI11" i="9" s="1"/>
  <c r="AI7" i="3"/>
  <c r="AJ45" i="4"/>
  <c r="AI36" i="9" l="1"/>
  <c r="AI14" i="3"/>
  <c r="AI48" i="3"/>
  <c r="AG46" i="3"/>
  <c r="AH21" i="3"/>
  <c r="BX14" i="3"/>
  <c r="BX48" i="3"/>
  <c r="AJ8" i="9"/>
  <c r="AJ11" i="9" s="1"/>
  <c r="AJ7" i="3"/>
  <c r="AK45" i="4"/>
  <c r="AK7" i="9"/>
  <c r="AH37" i="9"/>
  <c r="AI34" i="9"/>
  <c r="BY34" i="9" s="1"/>
  <c r="AH35" i="9"/>
  <c r="BX35" i="9" s="1"/>
  <c r="BX36" i="9"/>
  <c r="AI38" i="9"/>
  <c r="B15" i="2" l="1"/>
  <c r="B18" i="2" s="1"/>
  <c r="BX21" i="3"/>
  <c r="AH46" i="3"/>
  <c r="BX37" i="9"/>
  <c r="BY38" i="9"/>
  <c r="AL45" i="4"/>
  <c r="AK7" i="3"/>
  <c r="AK8" i="9"/>
  <c r="AK11" i="9" s="1"/>
  <c r="AL7" i="9"/>
  <c r="AJ36" i="9"/>
  <c r="AJ14" i="3"/>
  <c r="AJ48" i="3"/>
  <c r="AI21" i="3"/>
  <c r="AI37" i="9"/>
  <c r="AJ34" i="9"/>
  <c r="AI35" i="9"/>
  <c r="AJ38" i="9"/>
  <c r="AK48" i="3" l="1"/>
  <c r="AK14" i="3"/>
  <c r="AK36" i="9"/>
  <c r="AM45" i="4"/>
  <c r="AL8" i="9"/>
  <c r="AM7" i="9"/>
  <c r="AL7" i="3"/>
  <c r="AJ21" i="3"/>
  <c r="AJ37" i="9"/>
  <c r="AJ35" i="9"/>
  <c r="AK34" i="9"/>
  <c r="AK38" i="9"/>
  <c r="BX46" i="3"/>
  <c r="AI46" i="3"/>
  <c r="AL14" i="3" l="1"/>
  <c r="AL48" i="3"/>
  <c r="BY7" i="3"/>
  <c r="AL36" i="9"/>
  <c r="AL11" i="9"/>
  <c r="BY11" i="9" s="1"/>
  <c r="BY8" i="9"/>
  <c r="BZ7" i="9" s="1"/>
  <c r="AM7" i="3"/>
  <c r="AN7" i="9"/>
  <c r="AN45" i="4"/>
  <c r="AM8" i="9"/>
  <c r="AM11" i="9" s="1"/>
  <c r="AL34" i="9"/>
  <c r="AK35" i="9"/>
  <c r="AK37" i="9"/>
  <c r="AL38" i="9"/>
  <c r="AJ46" i="3"/>
  <c r="AK21" i="3"/>
  <c r="AL37" i="9" l="1"/>
  <c r="AL35" i="9"/>
  <c r="BY35" i="9" s="1"/>
  <c r="AM34" i="9"/>
  <c r="BZ34" i="9" s="1"/>
  <c r="BY36" i="9"/>
  <c r="AM38" i="9"/>
  <c r="AO45" i="4"/>
  <c r="AN8" i="9"/>
  <c r="AN11" i="9" s="1"/>
  <c r="AO7" i="9"/>
  <c r="AN7" i="3"/>
  <c r="BY48" i="3"/>
  <c r="AK46" i="3"/>
  <c r="BY14" i="3"/>
  <c r="AL21" i="3"/>
  <c r="AM36" i="9"/>
  <c r="AM14" i="3"/>
  <c r="AM48" i="3"/>
  <c r="C15" i="2" l="1"/>
  <c r="C18" i="2" s="1"/>
  <c r="AM21" i="3"/>
  <c r="BY21" i="3"/>
  <c r="AL46" i="3"/>
  <c r="AO7" i="3"/>
  <c r="AP7" i="9"/>
  <c r="AP45" i="4"/>
  <c r="AO8" i="9"/>
  <c r="AO11" i="9" s="1"/>
  <c r="AN34" i="9"/>
  <c r="AM37" i="9"/>
  <c r="AM35" i="9"/>
  <c r="AN38" i="9"/>
  <c r="BY37" i="9"/>
  <c r="BZ38" i="9"/>
  <c r="AN36" i="9"/>
  <c r="AN48" i="3"/>
  <c r="AN14" i="3"/>
  <c r="AN21" i="3" l="1"/>
  <c r="AQ45" i="4"/>
  <c r="AP7" i="3"/>
  <c r="AQ7" i="9"/>
  <c r="AP8" i="9"/>
  <c r="AM46" i="3"/>
  <c r="AO36" i="9"/>
  <c r="AO14" i="3"/>
  <c r="AO48" i="3"/>
  <c r="BY46" i="3"/>
  <c r="AN37" i="9"/>
  <c r="AO34" i="9"/>
  <c r="AN35" i="9"/>
  <c r="AO38" i="9"/>
  <c r="AO37" i="9" l="1"/>
  <c r="AO35" i="9"/>
  <c r="AP34" i="9"/>
  <c r="AP38" i="9"/>
  <c r="AP11" i="9"/>
  <c r="BZ11" i="9" s="1"/>
  <c r="BZ8" i="9"/>
  <c r="CA7" i="9" s="1"/>
  <c r="AO21" i="3"/>
  <c r="AR7" i="9"/>
  <c r="AQ8" i="9"/>
  <c r="AQ11" i="9" s="1"/>
  <c r="AR45" i="4"/>
  <c r="AQ7" i="3"/>
  <c r="AN46" i="3"/>
  <c r="AP48" i="3"/>
  <c r="AP36" i="9"/>
  <c r="BZ7" i="3"/>
  <c r="AP14" i="3"/>
  <c r="AQ14" i="3" l="1"/>
  <c r="AQ36" i="9"/>
  <c r="AQ48" i="3"/>
  <c r="AS7" i="9"/>
  <c r="AS45" i="4"/>
  <c r="AR8" i="9"/>
  <c r="AR11" i="9" s="1"/>
  <c r="AR7" i="3"/>
  <c r="BZ14" i="3"/>
  <c r="AP21" i="3"/>
  <c r="AQ34" i="9"/>
  <c r="CA34" i="9" s="1"/>
  <c r="AP37" i="9"/>
  <c r="BZ36" i="9"/>
  <c r="AP35" i="9"/>
  <c r="BZ35" i="9" s="1"/>
  <c r="AQ38" i="9"/>
  <c r="BZ48" i="3"/>
  <c r="AO46" i="3"/>
  <c r="D15" i="2" l="1"/>
  <c r="D18" i="2" s="1"/>
  <c r="AR34" i="9"/>
  <c r="AQ37" i="9"/>
  <c r="AQ35" i="9"/>
  <c r="AR38" i="9"/>
  <c r="BZ21" i="3"/>
  <c r="AP46" i="3"/>
  <c r="AT7" i="9"/>
  <c r="AT45" i="4"/>
  <c r="AS7" i="3"/>
  <c r="AS8" i="9"/>
  <c r="AS11" i="9" s="1"/>
  <c r="BZ37" i="9"/>
  <c r="CA38" i="9"/>
  <c r="AQ21" i="3"/>
  <c r="AR14" i="3"/>
  <c r="AR36" i="9"/>
  <c r="AR48" i="3"/>
  <c r="AU45" i="4" l="1"/>
  <c r="AT7" i="3"/>
  <c r="AU7" i="9"/>
  <c r="AT8" i="9"/>
  <c r="BZ46" i="3"/>
  <c r="AQ46" i="3"/>
  <c r="AR37" i="9"/>
  <c r="AS34" i="9"/>
  <c r="AR35" i="9"/>
  <c r="AS38" i="9"/>
  <c r="AW38" i="9" s="1"/>
  <c r="BA38" i="9" s="1"/>
  <c r="AR21" i="3"/>
  <c r="AS14" i="3"/>
  <c r="AS36" i="9"/>
  <c r="AS48" i="3"/>
  <c r="AS37" i="9" l="1"/>
  <c r="AS35" i="9"/>
  <c r="AT34" i="9"/>
  <c r="AT38" i="9"/>
  <c r="AX38" i="9" s="1"/>
  <c r="BB38" i="9" s="1"/>
  <c r="BC38" i="9" s="1"/>
  <c r="BD38" i="9" s="1"/>
  <c r="BE38" i="9" s="1"/>
  <c r="BF38" i="9" s="1"/>
  <c r="BG38" i="9" s="1"/>
  <c r="BH38" i="9" s="1"/>
  <c r="BI38" i="9" s="1"/>
  <c r="BJ38" i="9" s="1"/>
  <c r="BK38" i="9" s="1"/>
  <c r="BL38" i="9" s="1"/>
  <c r="BM38" i="9" s="1"/>
  <c r="BN38" i="9" s="1"/>
  <c r="AR46" i="3"/>
  <c r="CA7" i="3"/>
  <c r="AT36" i="9"/>
  <c r="AT14" i="3"/>
  <c r="AT48" i="3"/>
  <c r="AV7" i="9"/>
  <c r="AU7" i="3"/>
  <c r="AU8" i="9"/>
  <c r="AU11" i="9" s="1"/>
  <c r="AS21" i="3"/>
  <c r="AT11" i="9"/>
  <c r="CA11" i="9" s="1"/>
  <c r="CA8" i="9"/>
  <c r="CB7" i="9" s="1"/>
  <c r="AT35" i="9" l="1"/>
  <c r="CA35" i="9" s="1"/>
  <c r="AT37" i="9"/>
  <c r="AU34" i="9"/>
  <c r="CB34" i="9" s="1"/>
  <c r="CA36" i="9"/>
  <c r="CA37" i="9" s="1"/>
  <c r="AU38" i="9"/>
  <c r="AY38" i="9" s="1"/>
  <c r="AU14" i="3"/>
  <c r="AU36" i="9"/>
  <c r="AV34" i="9" s="1"/>
  <c r="AU48" i="3"/>
  <c r="CA48" i="3"/>
  <c r="AS46" i="3"/>
  <c r="CA14" i="3"/>
  <c r="AT21" i="3"/>
  <c r="E15" i="2" l="1"/>
  <c r="E18" i="2" s="1"/>
  <c r="AT46" i="3"/>
  <c r="CA21" i="3"/>
  <c r="AU21" i="3"/>
  <c r="AU35" i="9"/>
  <c r="AU37" i="9"/>
  <c r="AU39" i="3" l="1"/>
  <c r="CA46" i="3"/>
  <c r="AU43" i="3" l="1"/>
  <c r="AV79" i="29" l="1"/>
  <c r="AU45" i="3"/>
  <c r="AU46" i="3" l="1"/>
  <c r="AF30" i="29" l="1"/>
  <c r="AH30" i="29"/>
  <c r="AD30" i="29"/>
  <c r="AB30" i="29"/>
  <c r="AE30" i="29"/>
  <c r="AG30" i="29"/>
  <c r="AC30" i="29"/>
  <c r="AU32" i="29" l="1"/>
  <c r="AD58" i="29"/>
  <c r="AI58" i="29"/>
  <c r="AQ32" i="29"/>
  <c r="AB58" i="29"/>
  <c r="AK32" i="29"/>
  <c r="AE32" i="29"/>
  <c r="AP58" i="29"/>
  <c r="AH32" i="29"/>
  <c r="AM32" i="29"/>
  <c r="AL32" i="29"/>
  <c r="AG58" i="29"/>
  <c r="AS32" i="29"/>
  <c r="AF32" i="29"/>
  <c r="AK51" i="29"/>
  <c r="AU51" i="29"/>
  <c r="AO43" i="29"/>
  <c r="AF58" i="29"/>
  <c r="AH51" i="29"/>
  <c r="AJ51" i="29"/>
  <c r="AQ58" i="29"/>
  <c r="AF51" i="29"/>
  <c r="AE43" i="29"/>
  <c r="AR58" i="29"/>
  <c r="AT51" i="29"/>
  <c r="AR43" i="29"/>
  <c r="AT58" i="29"/>
  <c r="AP51" i="29"/>
  <c r="AJ58" i="29"/>
  <c r="AO58" i="29"/>
  <c r="AD51" i="29"/>
  <c r="AP43" i="29"/>
  <c r="AI43" i="29"/>
  <c r="AU43" i="29"/>
  <c r="AC51" i="29"/>
  <c r="AC32" i="29"/>
  <c r="AM58" i="29"/>
  <c r="AJ32" i="29"/>
  <c r="AR32" i="29"/>
  <c r="AQ43" i="29"/>
  <c r="AB32" i="29"/>
  <c r="AT32" i="29"/>
  <c r="AN58" i="29"/>
  <c r="AL43" i="29"/>
  <c r="AI32" i="29"/>
  <c r="AG32" i="29"/>
  <c r="AC43" i="29"/>
  <c r="AK43" i="29"/>
  <c r="AN43" i="29"/>
  <c r="AF43" i="29"/>
  <c r="AE51" i="29"/>
  <c r="AQ51" i="29"/>
  <c r="AN32" i="29"/>
  <c r="AD32" i="29"/>
  <c r="AP32" i="29"/>
  <c r="AM43" i="29"/>
  <c r="AM51" i="29"/>
  <c r="AS51" i="29"/>
  <c r="AH58" i="29"/>
  <c r="AU58" i="29"/>
  <c r="AK58" i="29"/>
  <c r="AG51" i="29"/>
  <c r="AO32" i="29"/>
  <c r="AC58" i="29"/>
  <c r="AN51" i="29"/>
  <c r="AL58" i="29"/>
  <c r="AB43" i="29"/>
  <c r="AH43" i="29"/>
  <c r="AT43" i="29"/>
  <c r="AI51" i="29"/>
  <c r="AJ43" i="29"/>
  <c r="AG43" i="29"/>
  <c r="AE58" i="29"/>
  <c r="AR51" i="29"/>
  <c r="AS43" i="29"/>
  <c r="AB51" i="29"/>
  <c r="AS58" i="29"/>
  <c r="AD43" i="29"/>
  <c r="AL51" i="29"/>
  <c r="AO51" i="29"/>
  <c r="AL52" i="29" l="1"/>
  <c r="AE44" i="29"/>
  <c r="AF52" i="29"/>
  <c r="AM52" i="29"/>
  <c r="AI52" i="29"/>
  <c r="AU44" i="29"/>
  <c r="AL44" i="29"/>
  <c r="AP44" i="29"/>
  <c r="AQ44" i="29"/>
  <c r="AG52" i="29"/>
  <c r="AJ44" i="29"/>
  <c r="AS44" i="29"/>
  <c r="AP52" i="29"/>
  <c r="AO52" i="29"/>
  <c r="AR44" i="29"/>
  <c r="AD52" i="29"/>
  <c r="AG44" i="29"/>
  <c r="AC44" i="29"/>
  <c r="AU52" i="29"/>
  <c r="AT44" i="29"/>
  <c r="AQ52" i="29"/>
  <c r="AF44" i="29"/>
  <c r="AB52" i="29"/>
  <c r="AB44" i="29"/>
  <c r="AC52" i="29"/>
  <c r="AN44" i="29"/>
  <c r="AK52" i="29"/>
  <c r="AO44" i="29"/>
  <c r="AT52" i="29"/>
  <c r="AM44" i="29"/>
  <c r="AJ52" i="29"/>
  <c r="AN52" i="29"/>
  <c r="AK44" i="29"/>
  <c r="AH52" i="29"/>
  <c r="AH44" i="29"/>
  <c r="AD44" i="29"/>
  <c r="AE52" i="29"/>
  <c r="AS52" i="29"/>
  <c r="AR52" i="29"/>
  <c r="AI44" i="29"/>
  <c r="CA30" i="29"/>
  <c r="BY26" i="29"/>
  <c r="BY30" i="29"/>
  <c r="CA26" i="29"/>
  <c r="BZ26" i="29"/>
  <c r="BZ30" i="29"/>
  <c r="BZ32" i="29" l="1"/>
  <c r="BY58" i="29"/>
  <c r="CA58" i="29"/>
  <c r="CA43" i="29"/>
  <c r="BZ58" i="29"/>
  <c r="BZ43" i="29"/>
  <c r="CA32" i="29"/>
  <c r="BY32" i="29"/>
  <c r="E12" i="2" l="1"/>
  <c r="D12" i="2"/>
  <c r="D25" i="2" s="1"/>
  <c r="E25" i="2"/>
  <c r="BZ44" i="29"/>
  <c r="C12" i="2"/>
  <c r="CA44" i="29"/>
  <c r="BV30" i="29" l="1"/>
  <c r="BU30" i="29"/>
  <c r="BU26" i="29"/>
  <c r="BS30" i="29"/>
  <c r="BR30" i="29"/>
  <c r="BR26" i="29"/>
  <c r="BV26" i="29"/>
  <c r="BS26" i="29"/>
  <c r="BW26" i="29"/>
  <c r="BW30" i="29"/>
  <c r="BX26" i="29"/>
  <c r="BX30" i="29"/>
  <c r="BT26" i="29"/>
  <c r="BT30" i="29"/>
  <c r="BR32" i="29" l="1"/>
  <c r="BX32" i="29"/>
  <c r="BS58" i="29"/>
  <c r="BW32" i="29"/>
  <c r="BV32" i="29"/>
  <c r="BY44" i="29"/>
  <c r="B12" i="2"/>
  <c r="BU43" i="29"/>
  <c r="BS32" i="29"/>
  <c r="BY43" i="29"/>
  <c r="BW44" i="29"/>
  <c r="BW58" i="29"/>
  <c r="BV58" i="29"/>
  <c r="BV43" i="29"/>
  <c r="BT32" i="29"/>
  <c r="BS43" i="29"/>
  <c r="BU58" i="29"/>
  <c r="BU32" i="29"/>
  <c r="BT43" i="29"/>
  <c r="BX43" i="29"/>
  <c r="BX58" i="29"/>
  <c r="BR58" i="29"/>
  <c r="BT58" i="29"/>
  <c r="BW43" i="29"/>
  <c r="BQ26" i="29"/>
  <c r="BQ30" i="29"/>
  <c r="BP26" i="29"/>
  <c r="BP30" i="29"/>
  <c r="BQ58" i="29" l="1"/>
  <c r="BS44" i="29"/>
  <c r="BX44" i="29"/>
  <c r="BT44" i="29"/>
  <c r="BU44" i="29"/>
  <c r="BR43" i="29"/>
  <c r="BQ43" i="29"/>
  <c r="BQ32" i="29"/>
  <c r="BP32" i="29"/>
  <c r="BV44" i="29"/>
  <c r="BR44" i="29" l="1"/>
  <c r="BQ44" i="29"/>
  <c r="C23" i="2" l="1"/>
  <c r="C22" i="2"/>
  <c r="C21" i="2"/>
  <c r="C24" i="2"/>
  <c r="D22" i="2"/>
  <c r="D21" i="2"/>
  <c r="D24" i="2"/>
  <c r="D23" i="2"/>
  <c r="E22" i="2"/>
  <c r="E24" i="2"/>
  <c r="E21" i="2"/>
  <c r="E23" i="2"/>
  <c r="AT16" i="1" l="1"/>
  <c r="AQ16" i="1"/>
  <c r="AY16" i="1" s="1"/>
  <c r="AO16" i="1"/>
  <c r="AP16" i="1"/>
  <c r="AS16" i="1"/>
  <c r="AR16" i="1"/>
  <c r="AW38" i="1"/>
  <c r="AW35" i="1" s="1"/>
  <c r="AX16" i="1" l="1"/>
  <c r="AX13" i="1" s="1"/>
  <c r="AX18" i="1" s="1"/>
  <c r="AX52" i="1" s="1"/>
  <c r="AW16" i="1"/>
  <c r="AW13" i="1" s="1"/>
  <c r="BC16" i="1"/>
  <c r="AY13" i="1"/>
  <c r="AW37" i="1"/>
  <c r="AW41" i="1"/>
  <c r="AW36" i="1"/>
  <c r="AX38" i="1"/>
  <c r="AX15" i="1" l="1"/>
  <c r="AX14" i="1"/>
  <c r="BB16" i="1"/>
  <c r="BF16" i="1" s="1"/>
  <c r="BF13" i="1" s="1"/>
  <c r="BF18" i="1" s="1"/>
  <c r="BF27" i="1" s="1"/>
  <c r="BF26" i="1" s="1"/>
  <c r="AX27" i="1"/>
  <c r="AX26" i="1" s="1"/>
  <c r="BA16" i="1"/>
  <c r="BA13" i="1" s="1"/>
  <c r="AX55" i="1"/>
  <c r="AX54" i="1"/>
  <c r="BB38" i="1"/>
  <c r="BF38" i="1" s="1"/>
  <c r="BJ38" i="1" s="1"/>
  <c r="BN38" i="1" s="1"/>
  <c r="BC13" i="1"/>
  <c r="AY15" i="1"/>
  <c r="AY14" i="1"/>
  <c r="AY18" i="1"/>
  <c r="AY52" i="1" s="1"/>
  <c r="BG16" i="1"/>
  <c r="BG13" i="1" s="1"/>
  <c r="AW15" i="1"/>
  <c r="AW18" i="1"/>
  <c r="AX20" i="1"/>
  <c r="AY38" i="1"/>
  <c r="BC38" i="1" s="1"/>
  <c r="BG38" i="1" s="1"/>
  <c r="BK38" i="1" s="1"/>
  <c r="AX35" i="1"/>
  <c r="AW44" i="1"/>
  <c r="AW42" i="1"/>
  <c r="AW43" i="1"/>
  <c r="BJ16" i="1" l="1"/>
  <c r="BN16" i="1" s="1"/>
  <c r="BN13" i="1" s="1"/>
  <c r="BB13" i="1"/>
  <c r="BB14" i="1" s="1"/>
  <c r="BB15" i="1"/>
  <c r="BB18" i="1"/>
  <c r="BB52" i="1" s="1"/>
  <c r="BB55" i="1" s="1"/>
  <c r="BE16" i="1"/>
  <c r="BE13" i="1" s="1"/>
  <c r="BF14" i="1" s="1"/>
  <c r="BJ13" i="1"/>
  <c r="BN15" i="1" s="1"/>
  <c r="AX21" i="1"/>
  <c r="AW20" i="1"/>
  <c r="BF21" i="1"/>
  <c r="AW27" i="1"/>
  <c r="AW26" i="1" s="1"/>
  <c r="BN18" i="1"/>
  <c r="BF52" i="1"/>
  <c r="AW52" i="1"/>
  <c r="BA15" i="1"/>
  <c r="BA18" i="1"/>
  <c r="BB19" i="1" s="1"/>
  <c r="AX19" i="1"/>
  <c r="BG14" i="1"/>
  <c r="BG15" i="1"/>
  <c r="BG18" i="1"/>
  <c r="BG27" i="1" s="1"/>
  <c r="BG26" i="1" s="1"/>
  <c r="AY54" i="1"/>
  <c r="AY53" i="1"/>
  <c r="AY55" i="1"/>
  <c r="AY19" i="1"/>
  <c r="AY20" i="1"/>
  <c r="BC15" i="1"/>
  <c r="BC18" i="1"/>
  <c r="BC52" i="1" s="1"/>
  <c r="BB27" i="1"/>
  <c r="BB26" i="1" s="1"/>
  <c r="AY27" i="1"/>
  <c r="AY26" i="1" s="1"/>
  <c r="BK16" i="1"/>
  <c r="BK13" i="1" s="1"/>
  <c r="AX36" i="1"/>
  <c r="AX37" i="1"/>
  <c r="AX41" i="1"/>
  <c r="CB35" i="1"/>
  <c r="AZ38" i="1"/>
  <c r="BD38" i="1" s="1"/>
  <c r="BH38" i="1" s="1"/>
  <c r="BL38" i="1" s="1"/>
  <c r="AY35" i="1"/>
  <c r="BC14" i="1" l="1"/>
  <c r="BB20" i="1"/>
  <c r="BF15" i="1"/>
  <c r="BF20" i="1"/>
  <c r="BB54" i="1"/>
  <c r="BJ18" i="1"/>
  <c r="BN20" i="1" s="1"/>
  <c r="BJ15" i="1"/>
  <c r="BE18" i="1"/>
  <c r="BF19" i="1" s="1"/>
  <c r="BE15" i="1"/>
  <c r="BI16" i="1"/>
  <c r="BG52" i="1"/>
  <c r="BG53" i="1" s="1"/>
  <c r="BB21" i="1"/>
  <c r="BN27" i="1"/>
  <c r="BN26" i="1" s="1"/>
  <c r="BC54" i="1"/>
  <c r="BC53" i="1"/>
  <c r="BC55" i="1"/>
  <c r="BA52" i="1"/>
  <c r="BN52" i="1"/>
  <c r="BA20" i="1"/>
  <c r="BA27" i="1"/>
  <c r="BA26" i="1" s="1"/>
  <c r="AY21" i="1"/>
  <c r="BC27" i="1"/>
  <c r="BC26" i="1" s="1"/>
  <c r="BC19" i="1"/>
  <c r="BC20" i="1"/>
  <c r="BG19" i="1"/>
  <c r="BG21" i="1"/>
  <c r="BG20" i="1"/>
  <c r="AW55" i="1"/>
  <c r="AW54" i="1"/>
  <c r="AX53" i="1"/>
  <c r="AW21" i="1"/>
  <c r="BJ52" i="1"/>
  <c r="BK15" i="1"/>
  <c r="BK14" i="1"/>
  <c r="BK18" i="1"/>
  <c r="BK27" i="1" s="1"/>
  <c r="BK26" i="1" s="1"/>
  <c r="BF55" i="1"/>
  <c r="BF54" i="1"/>
  <c r="AY36" i="1"/>
  <c r="AY37" i="1"/>
  <c r="AY41" i="1"/>
  <c r="BA38" i="1"/>
  <c r="BE38" i="1" s="1"/>
  <c r="BI38" i="1" s="1"/>
  <c r="BM38" i="1" s="1"/>
  <c r="AZ35" i="1"/>
  <c r="CB37" i="1"/>
  <c r="AX43" i="1"/>
  <c r="AX42" i="1"/>
  <c r="AX44" i="1"/>
  <c r="CB41" i="1"/>
  <c r="BJ20" i="1" l="1"/>
  <c r="BJ27" i="1"/>
  <c r="BJ26" i="1" s="1"/>
  <c r="BE52" i="1"/>
  <c r="BF53" i="1" s="1"/>
  <c r="BE20" i="1"/>
  <c r="BE27" i="1"/>
  <c r="BE26" i="1" s="1"/>
  <c r="BG55" i="1"/>
  <c r="BG54" i="1"/>
  <c r="BI13" i="1"/>
  <c r="BM16" i="1"/>
  <c r="BM13" i="1" s="1"/>
  <c r="BN54" i="1"/>
  <c r="BN55" i="1"/>
  <c r="BJ55" i="1"/>
  <c r="BJ54" i="1"/>
  <c r="BA21" i="1"/>
  <c r="BA55" i="1"/>
  <c r="BA54" i="1"/>
  <c r="BB53" i="1"/>
  <c r="BK19" i="1"/>
  <c r="BK21" i="1"/>
  <c r="BK20" i="1"/>
  <c r="BK52" i="1"/>
  <c r="BC21" i="1"/>
  <c r="BN21" i="1"/>
  <c r="CB43" i="1"/>
  <c r="AZ36" i="1"/>
  <c r="AZ41" i="1"/>
  <c r="AZ37" i="1"/>
  <c r="BA35" i="1"/>
  <c r="AY43" i="1"/>
  <c r="AY42" i="1"/>
  <c r="AY44" i="1"/>
  <c r="BE55" i="1" l="1"/>
  <c r="BE54" i="1"/>
  <c r="BJ21" i="1"/>
  <c r="BE21" i="1"/>
  <c r="BN14" i="1"/>
  <c r="BM15" i="1"/>
  <c r="BM18" i="1"/>
  <c r="BJ14" i="1"/>
  <c r="BI18" i="1"/>
  <c r="BI15" i="1"/>
  <c r="BK54" i="1"/>
  <c r="BK53" i="1"/>
  <c r="BK55" i="1"/>
  <c r="AZ43" i="1"/>
  <c r="AZ44" i="1"/>
  <c r="AZ42" i="1"/>
  <c r="BA37" i="1"/>
  <c r="BA41" i="1"/>
  <c r="BA36" i="1"/>
  <c r="BB35" i="1"/>
  <c r="BI52" i="1" l="1"/>
  <c r="BJ19" i="1"/>
  <c r="BI20" i="1"/>
  <c r="BI27" i="1"/>
  <c r="BM52" i="1"/>
  <c r="BM20" i="1"/>
  <c r="BN19" i="1"/>
  <c r="BM27" i="1"/>
  <c r="BA43" i="1"/>
  <c r="BA44" i="1"/>
  <c r="BA42" i="1"/>
  <c r="BC35" i="1"/>
  <c r="BB36" i="1"/>
  <c r="BB41" i="1"/>
  <c r="CC41" i="1" s="1"/>
  <c r="BB37" i="1"/>
  <c r="CC35" i="1"/>
  <c r="BM26" i="1" l="1"/>
  <c r="BM21" i="1"/>
  <c r="BN53" i="1"/>
  <c r="BM54" i="1"/>
  <c r="BM55" i="1"/>
  <c r="BI26" i="1"/>
  <c r="BI21" i="1"/>
  <c r="BJ53" i="1"/>
  <c r="BI55" i="1"/>
  <c r="BI54" i="1"/>
  <c r="BC41" i="1"/>
  <c r="BC36" i="1"/>
  <c r="BC37" i="1"/>
  <c r="BD35" i="1"/>
  <c r="CC43" i="1"/>
  <c r="CC37" i="1"/>
  <c r="BB43" i="1"/>
  <c r="BB42" i="1"/>
  <c r="BB44" i="1"/>
  <c r="BE35" i="1" l="1"/>
  <c r="BD37" i="1"/>
  <c r="BD36" i="1"/>
  <c r="BD41" i="1"/>
  <c r="BC44" i="1"/>
  <c r="BC43" i="1"/>
  <c r="BC42" i="1"/>
  <c r="BD43" i="1" l="1"/>
  <c r="BD44" i="1"/>
  <c r="BD42" i="1"/>
  <c r="BE37" i="1"/>
  <c r="BE41" i="1"/>
  <c r="BE36" i="1"/>
  <c r="BF35" i="1"/>
  <c r="BE44" i="1" l="1"/>
  <c r="BE42" i="1"/>
  <c r="BE43" i="1"/>
  <c r="BG35" i="1"/>
  <c r="BF37" i="1"/>
  <c r="BF36" i="1"/>
  <c r="BF41" i="1"/>
  <c r="CD41" i="1" s="1"/>
  <c r="CD35" i="1"/>
  <c r="BG41" i="1" l="1"/>
  <c r="BG36" i="1"/>
  <c r="BG37" i="1"/>
  <c r="CD43" i="1"/>
  <c r="BH35" i="1"/>
  <c r="CD37" i="1"/>
  <c r="BF44" i="1"/>
  <c r="BF42" i="1"/>
  <c r="BF43" i="1"/>
  <c r="BH37" i="1" l="1"/>
  <c r="BH41" i="1"/>
  <c r="BH36" i="1"/>
  <c r="BI35" i="1"/>
  <c r="BG43" i="1"/>
  <c r="BG44" i="1"/>
  <c r="BG42" i="1"/>
  <c r="BI41" i="1" l="1"/>
  <c r="BI37" i="1"/>
  <c r="BI36" i="1"/>
  <c r="BJ35" i="1"/>
  <c r="BH43" i="1"/>
  <c r="BH44" i="1"/>
  <c r="BH42" i="1"/>
  <c r="BK35" i="1" l="1"/>
  <c r="BJ41" i="1"/>
  <c r="CE41" i="1" s="1"/>
  <c r="BJ37" i="1"/>
  <c r="BJ36" i="1"/>
  <c r="CE35" i="1"/>
  <c r="BI43" i="1"/>
  <c r="BI44" i="1"/>
  <c r="BI42" i="1"/>
  <c r="CE37" i="1" l="1"/>
  <c r="BJ44" i="1"/>
  <c r="BJ42" i="1"/>
  <c r="BJ43" i="1"/>
  <c r="BK36" i="1"/>
  <c r="BK41" i="1"/>
  <c r="BK37" i="1"/>
  <c r="CE43" i="1"/>
  <c r="BL35" i="1"/>
  <c r="BL41" i="1" l="1"/>
  <c r="BL36" i="1"/>
  <c r="BL37" i="1"/>
  <c r="BK42" i="1"/>
  <c r="BK44" i="1"/>
  <c r="BK43" i="1"/>
  <c r="BM35" i="1"/>
  <c r="BN35" i="1"/>
  <c r="CF35" i="1" l="1"/>
  <c r="CF37" i="1" s="1"/>
  <c r="BN37" i="1"/>
  <c r="BN41" i="1"/>
  <c r="BN36" i="1"/>
  <c r="BM41" i="1"/>
  <c r="BM37" i="1"/>
  <c r="BM36" i="1"/>
  <c r="BL42" i="1"/>
  <c r="BL44" i="1"/>
  <c r="BL43" i="1"/>
  <c r="BN43" i="1" l="1"/>
  <c r="BN42" i="1"/>
  <c r="BN44" i="1"/>
  <c r="BM44" i="1"/>
  <c r="BM42" i="1"/>
  <c r="BM43" i="1"/>
  <c r="CF41" i="1"/>
  <c r="CF43" i="1" l="1"/>
  <c r="AX55" i="29"/>
  <c r="AW55" i="29"/>
  <c r="AY55" i="29"/>
  <c r="AW12" i="29" l="1"/>
  <c r="BC55" i="29"/>
  <c r="AX12" i="29"/>
  <c r="AW40" i="29"/>
  <c r="AW21" i="29"/>
  <c r="AY12" i="29"/>
  <c r="BA55" i="29"/>
  <c r="BB55" i="29"/>
  <c r="AX21" i="29" l="1"/>
  <c r="AX40" i="29"/>
  <c r="BG55" i="29"/>
  <c r="BC12" i="29"/>
  <c r="AX49" i="29"/>
  <c r="AY49" i="29"/>
  <c r="BB12" i="29"/>
  <c r="BF55" i="29"/>
  <c r="AX50" i="29"/>
  <c r="AW57" i="29"/>
  <c r="AW42" i="29"/>
  <c r="BE55" i="29"/>
  <c r="BA12" i="29"/>
  <c r="AX57" i="29"/>
  <c r="AX42" i="29"/>
  <c r="AY21" i="29"/>
  <c r="AY40" i="29"/>
  <c r="BC40" i="29" l="1"/>
  <c r="BC21" i="29"/>
  <c r="BG12" i="29"/>
  <c r="BK55" i="29"/>
  <c r="BK12" i="29"/>
  <c r="BG40" i="29"/>
  <c r="AY42" i="29"/>
  <c r="AY57" i="29"/>
  <c r="BC49" i="29"/>
  <c r="BB21" i="29"/>
  <c r="BB40" i="29"/>
  <c r="BK40" i="29"/>
  <c r="BG21" i="29"/>
  <c r="BA21" i="29"/>
  <c r="BB49" i="29"/>
  <c r="BA40" i="29"/>
  <c r="BC57" i="29"/>
  <c r="BJ55" i="29"/>
  <c r="BF12" i="29"/>
  <c r="BE12" i="29"/>
  <c r="BI55" i="29"/>
  <c r="AY50" i="29"/>
  <c r="BC42" i="29" l="1"/>
  <c r="BK21" i="29"/>
  <c r="BK42" i="29"/>
  <c r="BG57" i="29"/>
  <c r="BJ12" i="29"/>
  <c r="BN55" i="29"/>
  <c r="BK57" i="29"/>
  <c r="BF21" i="29"/>
  <c r="BG49" i="29"/>
  <c r="BF40" i="29"/>
  <c r="BI12" i="29"/>
  <c r="BM55" i="29"/>
  <c r="BG42" i="29"/>
  <c r="BB50" i="29"/>
  <c r="BA57" i="29"/>
  <c r="BA42" i="29"/>
  <c r="BF49" i="29"/>
  <c r="BE21" i="29"/>
  <c r="BE40" i="29"/>
  <c r="BC50" i="29"/>
  <c r="BB57" i="29"/>
  <c r="BB42" i="29"/>
  <c r="BN12" i="29" l="1"/>
  <c r="BM12" i="29"/>
  <c r="BF42" i="29"/>
  <c r="BN21" i="29"/>
  <c r="BE42" i="29"/>
  <c r="BF57" i="29"/>
  <c r="BG50" i="29"/>
  <c r="BN49" i="29"/>
  <c r="BM21" i="29"/>
  <c r="BJ21" i="29"/>
  <c r="BK49" i="29"/>
  <c r="BN40" i="29"/>
  <c r="BI21" i="29"/>
  <c r="BJ49" i="29"/>
  <c r="BM40" i="29"/>
  <c r="BF50" i="29"/>
  <c r="BE57" i="29"/>
  <c r="BI40" i="29"/>
  <c r="BJ40" i="29"/>
  <c r="BJ42" i="29" l="1"/>
  <c r="BN57" i="29"/>
  <c r="BJ50" i="29"/>
  <c r="BI57" i="29"/>
  <c r="BM42" i="29"/>
  <c r="BM57" i="29"/>
  <c r="BN50" i="29"/>
  <c r="BI42" i="29"/>
  <c r="BN42" i="29"/>
  <c r="BJ57" i="29"/>
  <c r="BK50" i="29"/>
  <c r="CB46" i="1" l="1"/>
  <c r="AW47" i="1"/>
  <c r="AV50" i="1" l="1"/>
  <c r="AV37" i="29"/>
  <c r="CB8" i="29"/>
  <c r="AV47" i="29"/>
  <c r="AU50" i="1"/>
  <c r="AW47" i="29"/>
  <c r="CB48" i="1"/>
  <c r="CB8" i="1"/>
  <c r="CB49" i="1" s="1"/>
  <c r="AV38" i="29"/>
  <c r="AX50" i="1"/>
  <c r="AW50" i="1"/>
  <c r="CB9" i="29" l="1"/>
  <c r="CB37" i="29"/>
  <c r="F8" i="2"/>
  <c r="CB38" i="29"/>
  <c r="CB10" i="1"/>
  <c r="CB38" i="1"/>
  <c r="CB26" i="1"/>
  <c r="CB33" i="1"/>
  <c r="CB44" i="1"/>
  <c r="CB61" i="1"/>
  <c r="F21" i="2" l="1"/>
  <c r="AZ46" i="1" l="1"/>
  <c r="AZ8" i="29" s="1"/>
  <c r="AZ37" i="29" l="1"/>
  <c r="BD46" i="1"/>
  <c r="BD8" i="29" s="1"/>
  <c r="AZ61" i="1"/>
  <c r="AZ8" i="1"/>
  <c r="AZ9" i="1" s="1"/>
  <c r="CC8" i="29"/>
  <c r="AZ9" i="29"/>
  <c r="AZ47" i="1"/>
  <c r="BA47" i="1"/>
  <c r="CC46" i="1"/>
  <c r="AV101" i="1"/>
  <c r="AV9" i="1"/>
  <c r="AW9" i="1"/>
  <c r="AV10" i="1"/>
  <c r="BD47" i="1" l="1"/>
  <c r="BD61" i="1"/>
  <c r="BD37" i="29"/>
  <c r="CD46" i="1"/>
  <c r="BF50" i="1" s="1"/>
  <c r="CC9" i="29"/>
  <c r="CC37" i="29"/>
  <c r="BD8" i="1"/>
  <c r="BD214" i="1" s="1"/>
  <c r="BE47" i="1"/>
  <c r="BH46" i="1"/>
  <c r="AZ212" i="1"/>
  <c r="AW14" i="1"/>
  <c r="AZ214" i="1"/>
  <c r="AZ265" i="1" s="1"/>
  <c r="AZ177" i="1" s="1"/>
  <c r="AZ213" i="1"/>
  <c r="AZ269" i="1" s="1"/>
  <c r="AZ33" i="1"/>
  <c r="AZ49" i="1"/>
  <c r="CB13" i="1"/>
  <c r="BA9" i="1"/>
  <c r="AZ10" i="1"/>
  <c r="BA47" i="29"/>
  <c r="AZ47" i="29"/>
  <c r="AZ38" i="29"/>
  <c r="BD9" i="29"/>
  <c r="CD8" i="29"/>
  <c r="CD37" i="29" s="1"/>
  <c r="CB214" i="1"/>
  <c r="AW237" i="1"/>
  <c r="CC48" i="1"/>
  <c r="CC8" i="1"/>
  <c r="CC49" i="1" s="1"/>
  <c r="AY50" i="1"/>
  <c r="BB50" i="1"/>
  <c r="BA50" i="1"/>
  <c r="AZ50" i="1"/>
  <c r="AV103" i="1"/>
  <c r="AV102" i="1"/>
  <c r="AV105" i="1"/>
  <c r="AV104" i="1"/>
  <c r="BH8" i="29"/>
  <c r="CE46" i="1"/>
  <c r="BI47" i="1"/>
  <c r="BH8" i="1"/>
  <c r="BH47" i="1"/>
  <c r="BL46" i="1"/>
  <c r="BH61" i="1"/>
  <c r="CB212" i="1"/>
  <c r="AW235" i="1"/>
  <c r="CB213" i="1"/>
  <c r="AW236" i="1"/>
  <c r="BD49" i="1"/>
  <c r="AZ229" i="1" l="1"/>
  <c r="BD50" i="1"/>
  <c r="BA235" i="1"/>
  <c r="BE50" i="1"/>
  <c r="CD8" i="1"/>
  <c r="CC214" i="1"/>
  <c r="AZ16" i="29"/>
  <c r="CC16" i="29" s="1"/>
  <c r="G8" i="2"/>
  <c r="CC38" i="29"/>
  <c r="BC50" i="1"/>
  <c r="CE48" i="1"/>
  <c r="CD48" i="1"/>
  <c r="BD213" i="1"/>
  <c r="BD269" i="1" s="1"/>
  <c r="BD9" i="1"/>
  <c r="BE9" i="1"/>
  <c r="CB176" i="1"/>
  <c r="BD33" i="1"/>
  <c r="BH37" i="29"/>
  <c r="CD9" i="29"/>
  <c r="CD38" i="29" s="1"/>
  <c r="BD212" i="1"/>
  <c r="BD229" i="1" s="1"/>
  <c r="BD10" i="1"/>
  <c r="AZ235" i="1"/>
  <c r="CC212" i="1"/>
  <c r="CC229" i="1" s="1"/>
  <c r="AZ14" i="29"/>
  <c r="CC14" i="29" s="1"/>
  <c r="CB14" i="29"/>
  <c r="CB16" i="29"/>
  <c r="CB15" i="29"/>
  <c r="AZ231" i="1"/>
  <c r="AZ237" i="1"/>
  <c r="BA237" i="1"/>
  <c r="AZ261" i="1"/>
  <c r="AZ175" i="1" s="1"/>
  <c r="AZ68" i="29" s="1"/>
  <c r="BA236" i="1"/>
  <c r="CC213" i="1"/>
  <c r="AZ263" i="1"/>
  <c r="CC263" i="1" s="1"/>
  <c r="AZ236" i="1"/>
  <c r="AZ15" i="29"/>
  <c r="AZ230" i="1"/>
  <c r="AZ215" i="1"/>
  <c r="BA238" i="1" s="1"/>
  <c r="BH49" i="1"/>
  <c r="AW19" i="1"/>
  <c r="CB16" i="1"/>
  <c r="CB15" i="1"/>
  <c r="AZ70" i="29"/>
  <c r="CC177" i="1"/>
  <c r="CE8" i="29"/>
  <c r="BH9" i="29"/>
  <c r="BD16" i="29"/>
  <c r="CD214" i="1"/>
  <c r="BD265" i="1"/>
  <c r="BE237" i="1"/>
  <c r="BD237" i="1"/>
  <c r="BD47" i="29"/>
  <c r="BD38" i="29"/>
  <c r="BE47" i="29"/>
  <c r="BL8" i="29"/>
  <c r="CF46" i="1"/>
  <c r="BL50" i="1" s="1"/>
  <c r="BL61" i="1"/>
  <c r="BM47" i="1"/>
  <c r="BL47" i="1"/>
  <c r="BL8" i="1"/>
  <c r="CD44" i="1"/>
  <c r="CD38" i="1"/>
  <c r="CD26" i="1"/>
  <c r="CD33" i="1"/>
  <c r="CD61" i="1"/>
  <c r="CB224" i="1"/>
  <c r="CB229" i="1"/>
  <c r="CC269" i="1"/>
  <c r="AZ280" i="1"/>
  <c r="BH50" i="1"/>
  <c r="CB265" i="1"/>
  <c r="CB263" i="1"/>
  <c r="CC10" i="1"/>
  <c r="CD10" i="1"/>
  <c r="CC38" i="1"/>
  <c r="CC61" i="1"/>
  <c r="CC26" i="1"/>
  <c r="CC33" i="1"/>
  <c r="CC44" i="1"/>
  <c r="CD49" i="1"/>
  <c r="CE8" i="1"/>
  <c r="CE49" i="1" s="1"/>
  <c r="BI50" i="1"/>
  <c r="BG50" i="1"/>
  <c r="BJ50" i="1"/>
  <c r="CB269" i="1"/>
  <c r="AV280" i="1"/>
  <c r="AV99" i="29"/>
  <c r="AV90" i="29"/>
  <c r="AV68" i="29"/>
  <c r="CB175" i="1"/>
  <c r="BH214" i="1"/>
  <c r="BH213" i="1"/>
  <c r="BH212" i="1"/>
  <c r="BH10" i="1"/>
  <c r="BI9" i="1"/>
  <c r="BH33" i="1"/>
  <c r="BH9" i="1"/>
  <c r="BD231" i="1"/>
  <c r="AW238" i="1"/>
  <c r="AV70" i="29"/>
  <c r="CB177" i="1"/>
  <c r="CC265" i="1"/>
  <c r="CB230" i="1"/>
  <c r="CB225" i="1"/>
  <c r="CB261" i="1"/>
  <c r="CB215" i="1"/>
  <c r="CB231" i="1"/>
  <c r="CB226" i="1"/>
  <c r="CC231" i="1" l="1"/>
  <c r="CC226" i="1"/>
  <c r="CD231" i="1"/>
  <c r="BD15" i="29"/>
  <c r="BD230" i="1"/>
  <c r="BE236" i="1"/>
  <c r="CD213" i="1"/>
  <c r="CD230" i="1" s="1"/>
  <c r="BD263" i="1"/>
  <c r="BD176" i="1" s="1"/>
  <c r="BD236" i="1"/>
  <c r="BH229" i="1"/>
  <c r="CC224" i="1"/>
  <c r="AV69" i="29"/>
  <c r="BD215" i="1"/>
  <c r="BD238" i="1" s="1"/>
  <c r="BD235" i="1"/>
  <c r="BD261" i="1"/>
  <c r="BD175" i="1" s="1"/>
  <c r="CD175" i="1" s="1"/>
  <c r="CD212" i="1"/>
  <c r="CD229" i="1" s="1"/>
  <c r="BE235" i="1"/>
  <c r="BD14" i="29"/>
  <c r="CD14" i="29" s="1"/>
  <c r="H8" i="2"/>
  <c r="CC215" i="1"/>
  <c r="CC232" i="1" s="1"/>
  <c r="CE9" i="29"/>
  <c r="CE37" i="29"/>
  <c r="BL37" i="29"/>
  <c r="CC230" i="1"/>
  <c r="CB17" i="29"/>
  <c r="CC225" i="1"/>
  <c r="CB70" i="29"/>
  <c r="CD16" i="29"/>
  <c r="CC70" i="29"/>
  <c r="CB69" i="29"/>
  <c r="CC68" i="29"/>
  <c r="CC15" i="29"/>
  <c r="CD15" i="29"/>
  <c r="CB68" i="29"/>
  <c r="CC175" i="1"/>
  <c r="AZ232" i="1"/>
  <c r="CC261" i="1"/>
  <c r="CC262" i="1" s="1"/>
  <c r="AZ17" i="29"/>
  <c r="AZ238" i="1"/>
  <c r="AZ176" i="1"/>
  <c r="BH16" i="29"/>
  <c r="BH265" i="1"/>
  <c r="CE214" i="1"/>
  <c r="BH215" i="1"/>
  <c r="BI237" i="1"/>
  <c r="BH237" i="1"/>
  <c r="BL214" i="1"/>
  <c r="BL231" i="1" s="1"/>
  <c r="BL212" i="1"/>
  <c r="BL229" i="1" s="1"/>
  <c r="BL213" i="1"/>
  <c r="BL230" i="1" s="1"/>
  <c r="BL10" i="1"/>
  <c r="BL9" i="1"/>
  <c r="BL33" i="1"/>
  <c r="BM9" i="1"/>
  <c r="CD265" i="1"/>
  <c r="CB232" i="1"/>
  <c r="CC266" i="1"/>
  <c r="AW128" i="1"/>
  <c r="CC264" i="1"/>
  <c r="CD226" i="1"/>
  <c r="BH269" i="1"/>
  <c r="CE213" i="1"/>
  <c r="BH263" i="1"/>
  <c r="BH15" i="29"/>
  <c r="BI236" i="1"/>
  <c r="BH236" i="1"/>
  <c r="CC270" i="1"/>
  <c r="CC280" i="1"/>
  <c r="BD177" i="1"/>
  <c r="CB262" i="1"/>
  <c r="CF8" i="1"/>
  <c r="CF10" i="1" s="1"/>
  <c r="BN50" i="1"/>
  <c r="BK50" i="1"/>
  <c r="BM50" i="1"/>
  <c r="CF8" i="29"/>
  <c r="BL9" i="29"/>
  <c r="CF48" i="1"/>
  <c r="CE26" i="1"/>
  <c r="CE33" i="1"/>
  <c r="CE44" i="1"/>
  <c r="CE61" i="1"/>
  <c r="CE38" i="1"/>
  <c r="CD263" i="1"/>
  <c r="CB280" i="1"/>
  <c r="CB270" i="1"/>
  <c r="CE10" i="1"/>
  <c r="BH47" i="29"/>
  <c r="BH38" i="29"/>
  <c r="BI47" i="29"/>
  <c r="BL49" i="1"/>
  <c r="CD269" i="1"/>
  <c r="BD280" i="1"/>
  <c r="BH14" i="29"/>
  <c r="BH261" i="1"/>
  <c r="BH175" i="1" s="1"/>
  <c r="CE212" i="1"/>
  <c r="BH235" i="1"/>
  <c r="BI235" i="1"/>
  <c r="BH230" i="1"/>
  <c r="CB264" i="1"/>
  <c r="CB266" i="1"/>
  <c r="BH231" i="1"/>
  <c r="CD225" i="1" l="1"/>
  <c r="CE230" i="1"/>
  <c r="CD261" i="1"/>
  <c r="CD262" i="1" s="1"/>
  <c r="BD68" i="29"/>
  <c r="CD224" i="1"/>
  <c r="CE229" i="1"/>
  <c r="BD17" i="29"/>
  <c r="BE238" i="1"/>
  <c r="CD215" i="1"/>
  <c r="CD232" i="1" s="1"/>
  <c r="BD232" i="1"/>
  <c r="BH232" i="1"/>
  <c r="CE38" i="29"/>
  <c r="I8" i="2"/>
  <c r="CF9" i="29"/>
  <c r="CF37" i="29"/>
  <c r="CB183" i="1"/>
  <c r="CE14" i="29"/>
  <c r="CD68" i="29"/>
  <c r="CD17" i="29"/>
  <c r="CE15" i="29"/>
  <c r="CE16" i="29"/>
  <c r="CC17" i="29"/>
  <c r="CC176" i="1"/>
  <c r="AZ69" i="29"/>
  <c r="AW184" i="1"/>
  <c r="CF49" i="1"/>
  <c r="AW66" i="3"/>
  <c r="AW98" i="3"/>
  <c r="AW130" i="1"/>
  <c r="AW101" i="1"/>
  <c r="AW63" i="29"/>
  <c r="AW188" i="1"/>
  <c r="AW129" i="1"/>
  <c r="AW60" i="3"/>
  <c r="AW51" i="3"/>
  <c r="AW186" i="1"/>
  <c r="CE215" i="1"/>
  <c r="CE226" i="1"/>
  <c r="CD280" i="1"/>
  <c r="CD270" i="1"/>
  <c r="BD69" i="29"/>
  <c r="CD176" i="1"/>
  <c r="CE265" i="1"/>
  <c r="BH177" i="1"/>
  <c r="CD264" i="1"/>
  <c r="BL38" i="29"/>
  <c r="BL47" i="29"/>
  <c r="BM47" i="29"/>
  <c r="BL15" i="29"/>
  <c r="BL263" i="1"/>
  <c r="CF213" i="1"/>
  <c r="CF230" i="1" s="1"/>
  <c r="BL269" i="1"/>
  <c r="BM236" i="1"/>
  <c r="BL236" i="1"/>
  <c r="CD266" i="1"/>
  <c r="BD70" i="29"/>
  <c r="CD177" i="1"/>
  <c r="CE225" i="1"/>
  <c r="CE231" i="1"/>
  <c r="CF212" i="1"/>
  <c r="CF229" i="1" s="1"/>
  <c r="BL14" i="29"/>
  <c r="BL261" i="1"/>
  <c r="BL175" i="1" s="1"/>
  <c r="BM235" i="1"/>
  <c r="BL235" i="1"/>
  <c r="CE263" i="1"/>
  <c r="CE261" i="1"/>
  <c r="AV29" i="4"/>
  <c r="CE269" i="1"/>
  <c r="BH280" i="1"/>
  <c r="BL16" i="29"/>
  <c r="BL265" i="1"/>
  <c r="BL177" i="1" s="1"/>
  <c r="CF214" i="1"/>
  <c r="BL215" i="1"/>
  <c r="BL237" i="1"/>
  <c r="BM237" i="1"/>
  <c r="BH68" i="29"/>
  <c r="CE175" i="1"/>
  <c r="CE224" i="1"/>
  <c r="CF61" i="1"/>
  <c r="CF38" i="1"/>
  <c r="CF33" i="1"/>
  <c r="CF26" i="1"/>
  <c r="CF44" i="1"/>
  <c r="BH176" i="1"/>
  <c r="BH17" i="29"/>
  <c r="BI238" i="1"/>
  <c r="BH238" i="1"/>
  <c r="CE232" i="1" l="1"/>
  <c r="J8" i="2"/>
  <c r="CE17" i="29"/>
  <c r="CB185" i="1"/>
  <c r="CF38" i="29"/>
  <c r="CF14" i="29"/>
  <c r="CD69" i="29"/>
  <c r="CD70" i="29"/>
  <c r="CF15" i="29"/>
  <c r="CC69" i="29"/>
  <c r="CF16" i="29"/>
  <c r="AW20" i="3"/>
  <c r="CE68" i="29"/>
  <c r="AW191" i="1"/>
  <c r="BL176" i="1"/>
  <c r="BL69" i="29" s="1"/>
  <c r="CF224" i="1"/>
  <c r="CF225" i="1"/>
  <c r="AW73" i="3"/>
  <c r="AW76" i="3"/>
  <c r="AW80" i="3"/>
  <c r="BH69" i="29"/>
  <c r="CE176" i="1"/>
  <c r="CE264" i="1"/>
  <c r="CF175" i="1"/>
  <c r="BL68" i="29"/>
  <c r="CF263" i="1"/>
  <c r="CE266" i="1"/>
  <c r="BL17" i="29"/>
  <c r="BL238" i="1"/>
  <c r="BM238" i="1"/>
  <c r="BH70" i="29"/>
  <c r="CE177" i="1"/>
  <c r="CF265" i="1"/>
  <c r="CE262" i="1"/>
  <c r="AW66" i="29"/>
  <c r="AW90" i="29"/>
  <c r="AW99" i="29"/>
  <c r="AW111" i="3"/>
  <c r="CE270" i="1"/>
  <c r="CE280" i="1"/>
  <c r="CF261" i="1"/>
  <c r="CF215" i="1"/>
  <c r="CF232" i="1" s="1"/>
  <c r="CF226" i="1"/>
  <c r="AW189" i="1"/>
  <c r="AW192" i="1"/>
  <c r="BL70" i="29"/>
  <c r="CF177" i="1"/>
  <c r="AW19" i="4"/>
  <c r="AW105" i="1"/>
  <c r="AW104" i="1"/>
  <c r="AW102" i="1"/>
  <c r="AW103" i="1"/>
  <c r="BL232" i="1"/>
  <c r="CF269" i="1"/>
  <c r="BL280" i="1"/>
  <c r="CF231" i="1"/>
  <c r="AW99" i="3"/>
  <c r="CF17" i="29" l="1"/>
  <c r="CE69" i="29"/>
  <c r="CF69" i="29"/>
  <c r="CF70" i="29"/>
  <c r="CF68" i="29"/>
  <c r="CE70" i="29"/>
  <c r="CF176" i="1"/>
  <c r="CF262" i="1"/>
  <c r="AW105" i="3"/>
  <c r="AW13" i="3"/>
  <c r="AW15" i="4"/>
  <c r="CF266" i="1"/>
  <c r="AW22" i="4"/>
  <c r="AW112" i="3"/>
  <c r="AW101" i="3"/>
  <c r="AW13" i="4"/>
  <c r="AW92" i="29"/>
  <c r="AW108" i="29"/>
  <c r="CF280" i="1"/>
  <c r="CF270" i="1"/>
  <c r="CF264" i="1"/>
  <c r="AW81" i="3"/>
  <c r="AW25" i="3"/>
  <c r="AW190" i="1"/>
  <c r="AW17" i="4"/>
  <c r="AW109" i="29" l="1"/>
  <c r="AW82" i="3"/>
  <c r="AW10" i="3"/>
  <c r="AW113" i="3"/>
  <c r="AW68" i="3"/>
  <c r="AW64" i="3"/>
  <c r="AW106" i="3"/>
  <c r="AW16" i="3"/>
  <c r="AW24" i="3"/>
  <c r="AX128" i="1"/>
  <c r="AW54" i="3"/>
  <c r="AW29" i="4"/>
  <c r="AW115" i="3" l="1"/>
  <c r="AW75" i="3"/>
  <c r="AX98" i="3"/>
  <c r="AX130" i="1"/>
  <c r="AX66" i="3"/>
  <c r="AX51" i="3"/>
  <c r="AX188" i="1"/>
  <c r="AX101" i="1"/>
  <c r="AX63" i="29"/>
  <c r="AX186" i="1"/>
  <c r="AX60" i="3"/>
  <c r="AX129" i="1"/>
  <c r="CB128" i="1"/>
  <c r="AW109" i="3" l="1"/>
  <c r="AX111" i="3"/>
  <c r="AW77" i="3"/>
  <c r="AX20" i="3"/>
  <c r="AX66" i="29"/>
  <c r="AX99" i="29"/>
  <c r="AX90" i="29"/>
  <c r="CB63" i="29"/>
  <c r="AX19" i="4"/>
  <c r="AX102" i="1"/>
  <c r="AX104" i="1"/>
  <c r="AX103" i="1"/>
  <c r="AX105" i="1"/>
  <c r="AX189" i="1"/>
  <c r="AX192" i="1"/>
  <c r="AX191" i="1"/>
  <c r="CB188" i="1"/>
  <c r="CB130" i="1"/>
  <c r="CB131" i="1"/>
  <c r="CB101" i="1"/>
  <c r="CB186" i="1"/>
  <c r="AX73" i="3"/>
  <c r="AX76" i="3"/>
  <c r="AX80" i="3"/>
  <c r="CB66" i="3"/>
  <c r="AX99" i="3"/>
  <c r="CB98" i="3"/>
  <c r="AX105" i="3" l="1"/>
  <c r="CB20" i="3"/>
  <c r="AW84" i="3"/>
  <c r="CB104" i="1"/>
  <c r="CB103" i="1"/>
  <c r="CB105" i="1"/>
  <c r="AX68" i="3"/>
  <c r="AX106" i="3"/>
  <c r="AX64" i="3"/>
  <c r="AX113" i="3"/>
  <c r="AX13" i="3"/>
  <c r="CB76" i="3"/>
  <c r="AX15" i="4"/>
  <c r="CB189" i="1"/>
  <c r="CB192" i="1"/>
  <c r="CB19" i="4"/>
  <c r="AX81" i="3"/>
  <c r="AX25" i="3"/>
  <c r="AX108" i="29"/>
  <c r="AX92" i="29"/>
  <c r="AX101" i="29"/>
  <c r="CB73" i="3"/>
  <c r="AX13" i="4"/>
  <c r="AX190" i="1"/>
  <c r="CB90" i="29"/>
  <c r="AX17" i="4"/>
  <c r="CB80" i="3"/>
  <c r="AX22" i="4"/>
  <c r="AX112" i="3"/>
  <c r="AX101" i="3"/>
  <c r="CB99" i="3"/>
  <c r="CB113" i="3" l="1"/>
  <c r="AX16" i="3"/>
  <c r="AX82" i="3"/>
  <c r="AX109" i="29"/>
  <c r="AX75" i="3"/>
  <c r="CB68" i="3"/>
  <c r="CB81" i="3"/>
  <c r="CB17" i="4"/>
  <c r="AX24" i="3"/>
  <c r="CB100" i="3"/>
  <c r="CB101" i="3"/>
  <c r="CB13" i="3"/>
  <c r="CB112" i="3"/>
  <c r="AX115" i="3"/>
  <c r="CB190" i="1"/>
  <c r="AX29" i="4"/>
  <c r="CB22" i="4"/>
  <c r="AX12" i="4"/>
  <c r="CB13" i="4"/>
  <c r="AX10" i="3"/>
  <c r="AY128" i="1"/>
  <c r="AX54" i="3"/>
  <c r="CB25" i="3"/>
  <c r="CB15" i="4"/>
  <c r="CB82" i="3" l="1"/>
  <c r="CB16" i="3"/>
  <c r="CB10" i="3"/>
  <c r="AY111" i="3"/>
  <c r="CB115" i="3"/>
  <c r="AX109" i="3"/>
  <c r="CB24" i="3"/>
  <c r="CB75" i="3"/>
  <c r="AX77" i="3"/>
  <c r="AY66" i="3"/>
  <c r="AY130" i="1"/>
  <c r="AY98" i="3"/>
  <c r="AY63" i="29"/>
  <c r="AY101" i="1"/>
  <c r="AY188" i="1"/>
  <c r="AY189" i="1" s="1"/>
  <c r="AY60" i="3"/>
  <c r="AY51" i="3"/>
  <c r="AY186" i="1"/>
  <c r="AY129" i="1"/>
  <c r="CB29" i="4"/>
  <c r="AY20" i="3" l="1"/>
  <c r="CB109" i="3"/>
  <c r="AY19" i="4"/>
  <c r="AY102" i="1"/>
  <c r="AY105" i="1"/>
  <c r="AY103" i="1"/>
  <c r="AY104" i="1"/>
  <c r="AY99" i="3"/>
  <c r="AY73" i="3"/>
  <c r="AY80" i="3"/>
  <c r="AY76" i="3"/>
  <c r="CC111" i="3"/>
  <c r="AY105" i="3"/>
  <c r="AY66" i="29"/>
  <c r="AY99" i="29"/>
  <c r="AY90" i="29"/>
  <c r="AX84" i="3"/>
  <c r="CB77" i="3"/>
  <c r="AY192" i="1"/>
  <c r="AY191" i="1"/>
  <c r="AY13" i="4" l="1"/>
  <c r="AY81" i="3"/>
  <c r="AY25" i="3"/>
  <c r="AX85" i="3"/>
  <c r="CB84" i="3"/>
  <c r="AY112" i="3"/>
  <c r="AY22" i="4"/>
  <c r="AY101" i="3"/>
  <c r="AY190" i="1"/>
  <c r="AY13" i="3"/>
  <c r="AY15" i="4"/>
  <c r="AY92" i="29"/>
  <c r="AY108" i="29"/>
  <c r="AY101" i="29"/>
  <c r="AY113" i="3"/>
  <c r="AY68" i="3"/>
  <c r="AY64" i="3"/>
  <c r="AY106" i="3"/>
  <c r="AY17" i="4"/>
  <c r="AY16" i="3" l="1"/>
  <c r="CB85" i="3"/>
  <c r="AY82" i="3"/>
  <c r="AY109" i="29"/>
  <c r="AY75" i="3"/>
  <c r="AY29" i="4"/>
  <c r="AZ128" i="1"/>
  <c r="AY54" i="3"/>
  <c r="AY24" i="3"/>
  <c r="AY115" i="3"/>
  <c r="AY12" i="4"/>
  <c r="AY10" i="3"/>
  <c r="AY77" i="3" l="1"/>
  <c r="AZ111" i="3"/>
  <c r="AY109" i="3"/>
  <c r="AZ66" i="3"/>
  <c r="AZ98" i="3"/>
  <c r="AZ63" i="29"/>
  <c r="AZ130" i="1"/>
  <c r="AZ51" i="3"/>
  <c r="AZ129" i="1"/>
  <c r="AZ60" i="3"/>
  <c r="AZ101" i="1"/>
  <c r="AY84" i="3" l="1"/>
  <c r="AZ20" i="3"/>
  <c r="AZ80" i="3"/>
  <c r="AZ73" i="3"/>
  <c r="AZ76" i="3"/>
  <c r="AZ105" i="3"/>
  <c r="AZ19" i="4"/>
  <c r="AZ105" i="1"/>
  <c r="AZ102" i="1"/>
  <c r="AZ104" i="1"/>
  <c r="AZ103" i="1"/>
  <c r="AZ99" i="29"/>
  <c r="AZ90" i="29"/>
  <c r="AZ99" i="3"/>
  <c r="AY85" i="3" l="1"/>
  <c r="AZ13" i="4"/>
  <c r="AZ17" i="4"/>
  <c r="AZ68" i="3"/>
  <c r="AZ64" i="3"/>
  <c r="AZ113" i="3"/>
  <c r="AZ106" i="3"/>
  <c r="AZ13" i="3"/>
  <c r="AZ15" i="4"/>
  <c r="AZ25" i="3"/>
  <c r="AZ81" i="3"/>
  <c r="AZ22" i="4"/>
  <c r="AZ112" i="3"/>
  <c r="AZ101" i="3"/>
  <c r="AZ16" i="3" l="1"/>
  <c r="AZ115" i="3"/>
  <c r="AZ24" i="3"/>
  <c r="AZ29" i="4"/>
  <c r="AZ75" i="3"/>
  <c r="BA128" i="1"/>
  <c r="AZ54" i="3"/>
  <c r="AZ10" i="3"/>
  <c r="BA111" i="3" l="1"/>
  <c r="AZ109" i="3"/>
  <c r="BA66" i="3"/>
  <c r="BA98" i="3"/>
  <c r="BA130" i="1"/>
  <c r="BA63" i="29"/>
  <c r="BA101" i="1"/>
  <c r="BA188" i="1"/>
  <c r="BA129" i="1"/>
  <c r="BA51" i="3"/>
  <c r="BA60" i="3"/>
  <c r="BA186" i="1"/>
  <c r="BA20" i="3" l="1"/>
  <c r="BA105" i="3"/>
  <c r="BA66" i="29"/>
  <c r="BA99" i="29"/>
  <c r="BA90" i="29"/>
  <c r="BA99" i="3"/>
  <c r="BA73" i="3"/>
  <c r="BA76" i="3"/>
  <c r="BA80" i="3"/>
  <c r="BA189" i="1"/>
  <c r="BA192" i="1"/>
  <c r="BA19" i="4"/>
  <c r="BA105" i="1"/>
  <c r="BA104" i="1"/>
  <c r="BA103" i="1"/>
  <c r="BA102" i="1"/>
  <c r="BA108" i="29" l="1"/>
  <c r="BA92" i="29"/>
  <c r="BA106" i="3"/>
  <c r="BA68" i="3"/>
  <c r="BA113" i="3"/>
  <c r="BA64" i="3"/>
  <c r="BA13" i="3"/>
  <c r="BA15" i="4"/>
  <c r="BA81" i="3"/>
  <c r="BA25" i="3"/>
  <c r="BA17" i="4"/>
  <c r="BA190" i="1"/>
  <c r="BA13" i="4"/>
  <c r="BA22" i="4"/>
  <c r="BA101" i="3"/>
  <c r="BA112" i="3"/>
  <c r="BA109" i="29" l="1"/>
  <c r="BA82" i="3"/>
  <c r="BA75" i="3"/>
  <c r="BA29" i="4"/>
  <c r="BA115" i="3"/>
  <c r="BA10" i="3"/>
  <c r="BB128" i="1"/>
  <c r="BA54" i="3"/>
  <c r="BA24" i="3"/>
  <c r="BA16" i="3"/>
  <c r="BA77" i="3" l="1"/>
  <c r="BB98" i="3"/>
  <c r="BB63" i="29"/>
  <c r="BB51" i="3"/>
  <c r="BB101" i="1"/>
  <c r="BB188" i="1"/>
  <c r="BB130" i="1"/>
  <c r="BB66" i="3"/>
  <c r="BB186" i="1"/>
  <c r="BB60" i="3"/>
  <c r="BB129" i="1"/>
  <c r="CC128" i="1"/>
  <c r="BB111" i="3"/>
  <c r="BA109" i="3"/>
  <c r="BB76" i="3" l="1"/>
  <c r="BB20" i="3"/>
  <c r="BA84" i="3"/>
  <c r="BB19" i="4"/>
  <c r="BB103" i="1"/>
  <c r="BB105" i="1"/>
  <c r="BB104" i="1"/>
  <c r="BB102" i="1"/>
  <c r="BB99" i="3"/>
  <c r="CC98" i="3"/>
  <c r="CC130" i="1"/>
  <c r="CC131" i="1"/>
  <c r="CC101" i="1"/>
  <c r="BB66" i="29"/>
  <c r="BB90" i="29"/>
  <c r="BB99" i="29"/>
  <c r="CC63" i="29"/>
  <c r="BB80" i="3"/>
  <c r="BB73" i="3"/>
  <c r="CC66" i="3"/>
  <c r="BB105" i="3"/>
  <c r="BB189" i="1"/>
  <c r="BB192" i="1"/>
  <c r="BB191" i="1"/>
  <c r="CC20" i="3" l="1"/>
  <c r="BB68" i="3"/>
  <c r="BB113" i="3"/>
  <c r="BB106" i="3"/>
  <c r="BB64" i="3"/>
  <c r="BB13" i="3"/>
  <c r="CC76" i="3"/>
  <c r="BB15" i="4"/>
  <c r="BB22" i="4"/>
  <c r="BB101" i="3"/>
  <c r="BB112" i="3"/>
  <c r="CC99" i="3"/>
  <c r="CC19" i="4"/>
  <c r="BB81" i="3"/>
  <c r="BB25" i="3"/>
  <c r="BB108" i="29"/>
  <c r="BB92" i="29"/>
  <c r="BB101" i="29"/>
  <c r="CC73" i="3"/>
  <c r="BB13" i="4"/>
  <c r="BB17" i="4"/>
  <c r="CC80" i="3"/>
  <c r="BB190" i="1"/>
  <c r="CC90" i="29"/>
  <c r="CC103" i="1"/>
  <c r="CC105" i="1"/>
  <c r="CC104" i="1"/>
  <c r="CC113" i="3" l="1"/>
  <c r="BB109" i="29"/>
  <c r="BB12" i="4"/>
  <c r="CC13" i="4"/>
  <c r="BB10" i="3"/>
  <c r="BC128" i="1"/>
  <c r="CC25" i="3"/>
  <c r="BB54" i="3"/>
  <c r="CC112" i="3"/>
  <c r="BB115" i="3"/>
  <c r="CC13" i="3"/>
  <c r="BB29" i="4"/>
  <c r="CC22" i="4"/>
  <c r="BB75" i="3"/>
  <c r="CC68" i="3"/>
  <c r="BB16" i="3"/>
  <c r="CC81" i="3"/>
  <c r="BB82" i="3"/>
  <c r="CC17" i="4"/>
  <c r="BB24" i="3"/>
  <c r="CC101" i="3"/>
  <c r="CC100" i="3"/>
  <c r="CC15" i="4"/>
  <c r="CC82" i="3" l="1"/>
  <c r="BC101" i="1"/>
  <c r="BC63" i="29"/>
  <c r="BC188" i="1"/>
  <c r="BC98" i="3"/>
  <c r="BC66" i="3"/>
  <c r="BC186" i="1"/>
  <c r="BC130" i="1"/>
  <c r="BC129" i="1"/>
  <c r="BC60" i="3"/>
  <c r="BC51" i="3"/>
  <c r="BC111" i="3"/>
  <c r="BB109" i="3"/>
  <c r="CC115" i="3"/>
  <c r="CC75" i="3"/>
  <c r="BB77" i="3"/>
  <c r="CC10" i="3"/>
  <c r="CC24" i="3"/>
  <c r="CC16" i="3"/>
  <c r="CC29" i="4"/>
  <c r="CC109" i="3" l="1"/>
  <c r="BC20" i="3"/>
  <c r="BC19" i="4"/>
  <c r="BC104" i="1"/>
  <c r="BC102" i="1"/>
  <c r="BC105" i="1"/>
  <c r="BC103" i="1"/>
  <c r="BB84" i="3"/>
  <c r="CC77" i="3"/>
  <c r="BC189" i="1"/>
  <c r="BC192" i="1"/>
  <c r="BC191" i="1"/>
  <c r="BC66" i="29"/>
  <c r="BC90" i="29"/>
  <c r="BC99" i="29"/>
  <c r="CD111" i="3"/>
  <c r="BC105" i="3"/>
  <c r="BC73" i="3"/>
  <c r="BC76" i="3"/>
  <c r="BC80" i="3"/>
  <c r="BC99" i="3"/>
  <c r="BC13" i="3" l="1"/>
  <c r="BC108" i="29"/>
  <c r="BC92" i="29"/>
  <c r="BC101" i="29"/>
  <c r="BC17" i="4"/>
  <c r="BC113" i="3"/>
  <c r="BC68" i="3"/>
  <c r="BC106" i="3"/>
  <c r="BC64" i="3"/>
  <c r="BC190" i="1"/>
  <c r="BC112" i="3"/>
  <c r="BC22" i="4"/>
  <c r="BC101" i="3"/>
  <c r="BC81" i="3"/>
  <c r="BC25" i="3"/>
  <c r="BC13" i="4"/>
  <c r="CC84" i="3"/>
  <c r="BB85" i="3"/>
  <c r="BC15" i="4" l="1"/>
  <c r="CC85" i="3"/>
  <c r="BC109" i="29"/>
  <c r="BC82" i="3"/>
  <c r="BC10" i="3"/>
  <c r="BC29" i="4"/>
  <c r="BC16" i="3"/>
  <c r="BC24" i="3"/>
  <c r="BD128" i="1"/>
  <c r="BC54" i="3"/>
  <c r="BC115" i="3"/>
  <c r="BC75" i="3"/>
  <c r="BC12" i="4" l="1"/>
  <c r="BC77" i="3"/>
  <c r="BD111" i="3"/>
  <c r="BC109" i="3"/>
  <c r="BD66" i="3"/>
  <c r="BD98" i="3"/>
  <c r="BD63" i="29"/>
  <c r="BD60" i="3"/>
  <c r="BD130" i="1"/>
  <c r="BD129" i="1"/>
  <c r="BD51" i="3"/>
  <c r="BD101" i="1"/>
  <c r="BD20" i="3" l="1"/>
  <c r="BC84" i="3"/>
  <c r="BD19" i="4"/>
  <c r="BD104" i="1"/>
  <c r="BD105" i="1"/>
  <c r="BD103" i="1"/>
  <c r="BD102" i="1"/>
  <c r="BD99" i="3"/>
  <c r="BD105" i="3"/>
  <c r="BD80" i="3"/>
  <c r="BD73" i="3"/>
  <c r="BD76" i="3"/>
  <c r="BD99" i="29"/>
  <c r="BD90" i="29"/>
  <c r="BD13" i="3" l="1"/>
  <c r="BC85" i="3"/>
  <c r="BD22" i="4"/>
  <c r="BD112" i="3"/>
  <c r="BD101" i="3"/>
  <c r="BD17" i="4"/>
  <c r="BD25" i="3"/>
  <c r="BD81" i="3"/>
  <c r="BD13" i="4"/>
  <c r="BD68" i="3"/>
  <c r="BD113" i="3"/>
  <c r="BD106" i="3"/>
  <c r="BD64" i="3"/>
  <c r="BD15" i="4" l="1"/>
  <c r="BD16" i="3"/>
  <c r="BD29" i="4"/>
  <c r="BD10" i="3"/>
  <c r="BE128" i="1"/>
  <c r="BD54" i="3"/>
  <c r="BD24" i="3"/>
  <c r="BD75" i="3"/>
  <c r="BD115" i="3"/>
  <c r="BE111" i="3" l="1"/>
  <c r="BD109" i="3"/>
  <c r="BE98" i="3"/>
  <c r="BE66" i="3"/>
  <c r="BE63" i="29"/>
  <c r="BE188" i="1"/>
  <c r="BE101" i="1"/>
  <c r="BE60" i="3"/>
  <c r="BE129" i="1"/>
  <c r="BE130" i="1"/>
  <c r="BE186" i="1"/>
  <c r="BE51" i="3"/>
  <c r="BE20" i="3" l="1"/>
  <c r="BE66" i="29"/>
  <c r="BE90" i="29"/>
  <c r="BE99" i="29"/>
  <c r="BE99" i="3"/>
  <c r="BE19" i="4"/>
  <c r="BE103" i="1"/>
  <c r="BE102" i="1"/>
  <c r="BE105" i="1"/>
  <c r="BE104" i="1"/>
  <c r="BE105" i="3"/>
  <c r="BE189" i="1"/>
  <c r="BE192" i="1"/>
  <c r="BE73" i="3"/>
  <c r="BE80" i="3"/>
  <c r="BE76" i="3"/>
  <c r="BE13" i="3" l="1"/>
  <c r="BE22" i="4"/>
  <c r="BE101" i="3"/>
  <c r="BE112" i="3"/>
  <c r="BE17" i="4"/>
  <c r="BE13" i="4"/>
  <c r="BE81" i="3"/>
  <c r="BE25" i="3"/>
  <c r="BE68" i="3"/>
  <c r="BE64" i="3"/>
  <c r="BE106" i="3"/>
  <c r="BE113" i="3"/>
  <c r="BE190" i="1"/>
  <c r="BE108" i="29"/>
  <c r="BE92" i="29"/>
  <c r="BE109" i="29" l="1"/>
  <c r="BE15" i="4"/>
  <c r="BF128" i="1"/>
  <c r="BE54" i="3"/>
  <c r="BE10" i="3"/>
  <c r="BE75" i="3"/>
  <c r="BE29" i="4"/>
  <c r="BE16" i="3"/>
  <c r="BE82" i="3"/>
  <c r="BE24" i="3"/>
  <c r="BE115" i="3"/>
  <c r="BE77" i="3" l="1"/>
  <c r="BF111" i="3"/>
  <c r="BE109" i="3"/>
  <c r="BF98" i="3"/>
  <c r="BF51" i="3"/>
  <c r="BF63" i="29"/>
  <c r="BF66" i="3"/>
  <c r="BF188" i="1"/>
  <c r="BF101" i="1"/>
  <c r="BF186" i="1"/>
  <c r="BF130" i="1"/>
  <c r="BF129" i="1"/>
  <c r="BF60" i="3"/>
  <c r="CD128" i="1"/>
  <c r="BF20" i="3" l="1"/>
  <c r="BE84" i="3"/>
  <c r="BF105" i="3"/>
  <c r="BF19" i="4"/>
  <c r="BF105" i="1"/>
  <c r="BF104" i="1"/>
  <c r="BF102" i="1"/>
  <c r="BF103" i="1"/>
  <c r="BF73" i="3"/>
  <c r="BF76" i="3"/>
  <c r="BF80" i="3"/>
  <c r="CD66" i="3"/>
  <c r="BF66" i="29"/>
  <c r="BF99" i="29"/>
  <c r="BF90" i="29"/>
  <c r="CD63" i="29"/>
  <c r="CD131" i="1"/>
  <c r="CD130" i="1"/>
  <c r="CD101" i="1"/>
  <c r="BF189" i="1"/>
  <c r="BF192" i="1"/>
  <c r="BF191" i="1"/>
  <c r="BF99" i="3"/>
  <c r="CD98" i="3"/>
  <c r="CD20" i="3" l="1"/>
  <c r="CD90" i="29"/>
  <c r="BF22" i="4"/>
  <c r="BF101" i="3"/>
  <c r="BF112" i="3"/>
  <c r="CD99" i="3"/>
  <c r="BF190" i="1"/>
  <c r="BF68" i="3"/>
  <c r="BF113" i="3"/>
  <c r="BF106" i="3"/>
  <c r="BF64" i="3"/>
  <c r="BF17" i="4"/>
  <c r="CD80" i="3"/>
  <c r="CD103" i="1"/>
  <c r="CD105" i="1"/>
  <c r="CD104" i="1"/>
  <c r="BF13" i="3"/>
  <c r="CD76" i="3"/>
  <c r="BF108" i="29"/>
  <c r="BF92" i="29"/>
  <c r="BF101" i="29"/>
  <c r="CD73" i="3"/>
  <c r="BF13" i="4"/>
  <c r="CD19" i="4"/>
  <c r="BF25" i="3"/>
  <c r="BF81" i="3"/>
  <c r="BF109" i="29" l="1"/>
  <c r="CD113" i="3"/>
  <c r="BF16" i="3"/>
  <c r="CD13" i="4"/>
  <c r="BF10" i="3"/>
  <c r="CD17" i="4"/>
  <c r="BF24" i="3"/>
  <c r="BF29" i="4"/>
  <c r="CD22" i="4"/>
  <c r="CD100" i="3"/>
  <c r="CD101" i="3"/>
  <c r="CD112" i="3"/>
  <c r="BF115" i="3"/>
  <c r="CD81" i="3"/>
  <c r="BG128" i="1"/>
  <c r="BF54" i="3"/>
  <c r="CD25" i="3"/>
  <c r="BF75" i="3"/>
  <c r="CD68" i="3"/>
  <c r="CD13" i="3"/>
  <c r="BF15" i="4"/>
  <c r="BF82" i="3"/>
  <c r="CD16" i="3" l="1"/>
  <c r="CD82" i="3"/>
  <c r="BF12" i="4"/>
  <c r="BG111" i="3"/>
  <c r="CD115" i="3"/>
  <c r="BF109" i="3"/>
  <c r="CD29" i="4"/>
  <c r="CD10" i="3"/>
  <c r="BG98" i="3"/>
  <c r="BG63" i="29"/>
  <c r="BG188" i="1"/>
  <c r="BG101" i="1"/>
  <c r="BG66" i="3"/>
  <c r="BG51" i="3"/>
  <c r="BG60" i="3"/>
  <c r="BG130" i="1"/>
  <c r="BG186" i="1"/>
  <c r="BG129" i="1"/>
  <c r="CD15" i="4"/>
  <c r="CD75" i="3"/>
  <c r="BF77" i="3"/>
  <c r="CD24" i="3"/>
  <c r="BG20" i="3" l="1"/>
  <c r="CD109" i="3"/>
  <c r="BG80" i="3"/>
  <c r="BG76" i="3"/>
  <c r="BG73" i="3"/>
  <c r="BG19" i="4"/>
  <c r="BG104" i="1"/>
  <c r="BG105" i="1"/>
  <c r="BG103" i="1"/>
  <c r="BG102" i="1"/>
  <c r="BG189" i="1"/>
  <c r="BG192" i="1"/>
  <c r="BG191" i="1"/>
  <c r="BG66" i="29"/>
  <c r="BG99" i="29"/>
  <c r="BG90" i="29"/>
  <c r="BG105" i="3"/>
  <c r="CE111" i="3"/>
  <c r="BF84" i="3"/>
  <c r="CD77" i="3"/>
  <c r="BG99" i="3"/>
  <c r="BG13" i="3" l="1"/>
  <c r="BG81" i="3"/>
  <c r="BG25" i="3"/>
  <c r="BG113" i="3"/>
  <c r="BG68" i="3"/>
  <c r="BG106" i="3"/>
  <c r="BG64" i="3"/>
  <c r="BG190" i="1"/>
  <c r="BF85" i="3"/>
  <c r="CD84" i="3"/>
  <c r="BG108" i="29"/>
  <c r="BG92" i="29"/>
  <c r="BG101" i="29"/>
  <c r="BG112" i="3"/>
  <c r="BG22" i="4"/>
  <c r="BG101" i="3"/>
  <c r="BG17" i="4"/>
  <c r="BG13" i="4"/>
  <c r="BG15" i="4" l="1"/>
  <c r="BG16" i="3"/>
  <c r="BG82" i="3"/>
  <c r="BG109" i="29"/>
  <c r="CD85" i="3"/>
  <c r="BH128" i="1"/>
  <c r="BG54" i="3"/>
  <c r="BG75" i="3"/>
  <c r="BG24" i="3"/>
  <c r="BG29" i="4"/>
  <c r="BG10" i="3"/>
  <c r="BG115" i="3"/>
  <c r="BG12" i="4" l="1"/>
  <c r="BG77" i="3"/>
  <c r="BH111" i="3"/>
  <c r="BG109" i="3"/>
  <c r="BH98" i="3"/>
  <c r="BH66" i="3"/>
  <c r="BH63" i="29"/>
  <c r="BH51" i="3"/>
  <c r="BH60" i="3"/>
  <c r="BH130" i="1"/>
  <c r="BH129" i="1"/>
  <c r="BH101" i="1"/>
  <c r="BH20" i="3" l="1"/>
  <c r="BG84" i="3"/>
  <c r="BH19" i="4"/>
  <c r="BH105" i="1"/>
  <c r="BH102" i="1"/>
  <c r="BH104" i="1"/>
  <c r="BH103" i="1"/>
  <c r="BH80" i="3"/>
  <c r="BH73" i="3"/>
  <c r="BH76" i="3"/>
  <c r="BH99" i="3"/>
  <c r="BH99" i="29"/>
  <c r="BH90" i="29"/>
  <c r="BH105" i="3"/>
  <c r="BH13" i="3" l="1"/>
  <c r="BG85" i="3"/>
  <c r="BH25" i="3"/>
  <c r="BH81" i="3"/>
  <c r="BH22" i="4"/>
  <c r="BH101" i="3"/>
  <c r="BH112" i="3"/>
  <c r="BH17" i="4"/>
  <c r="BH13" i="4"/>
  <c r="BH68" i="3"/>
  <c r="BH113" i="3"/>
  <c r="BH64" i="3"/>
  <c r="BH106" i="3"/>
  <c r="BH15" i="4" l="1"/>
  <c r="BH16" i="3"/>
  <c r="BH29" i="4"/>
  <c r="BI128" i="1"/>
  <c r="BH54" i="3"/>
  <c r="BH75" i="3"/>
  <c r="BH24" i="3"/>
  <c r="BH10" i="3"/>
  <c r="BH115" i="3"/>
  <c r="BI66" i="3" l="1"/>
  <c r="BI98" i="3"/>
  <c r="BI101" i="1"/>
  <c r="BI63" i="29"/>
  <c r="BI188" i="1"/>
  <c r="BI130" i="1"/>
  <c r="BI60" i="3"/>
  <c r="BI129" i="1"/>
  <c r="BI186" i="1"/>
  <c r="BI51" i="3"/>
  <c r="BI111" i="3"/>
  <c r="BH109" i="3"/>
  <c r="BI20" i="3" l="1"/>
  <c r="BI105" i="3"/>
  <c r="BI73" i="3"/>
  <c r="BI76" i="3"/>
  <c r="BI80" i="3"/>
  <c r="BI66" i="29"/>
  <c r="BI99" i="29"/>
  <c r="BI90" i="29"/>
  <c r="BI19" i="4"/>
  <c r="BI104" i="1"/>
  <c r="BI102" i="1"/>
  <c r="BI105" i="1"/>
  <c r="BI103" i="1"/>
  <c r="BI189" i="1"/>
  <c r="BI192" i="1"/>
  <c r="BI99" i="3"/>
  <c r="BI13" i="3" l="1"/>
  <c r="BI15" i="4"/>
  <c r="BI190" i="1"/>
  <c r="BI108" i="29"/>
  <c r="BI92" i="29"/>
  <c r="BI13" i="4"/>
  <c r="BI25" i="3"/>
  <c r="BI81" i="3"/>
  <c r="BI22" i="4"/>
  <c r="BI101" i="3"/>
  <c r="BI112" i="3"/>
  <c r="BI17" i="4"/>
  <c r="BI106" i="3"/>
  <c r="BI68" i="3"/>
  <c r="BI64" i="3"/>
  <c r="BI113" i="3"/>
  <c r="BI16" i="3" l="1"/>
  <c r="BI109" i="29"/>
  <c r="BI82" i="3"/>
  <c r="BJ128" i="1"/>
  <c r="BI54" i="3"/>
  <c r="BI10" i="3"/>
  <c r="BI115" i="3"/>
  <c r="BI24" i="3"/>
  <c r="BI75" i="3"/>
  <c r="BI29" i="4"/>
  <c r="BI77" i="3" l="1"/>
  <c r="BJ111" i="3"/>
  <c r="BI109" i="3"/>
  <c r="BJ98" i="3"/>
  <c r="BJ101" i="1"/>
  <c r="BJ51" i="3"/>
  <c r="BJ63" i="29"/>
  <c r="BJ66" i="3"/>
  <c r="BJ188" i="1"/>
  <c r="BJ130" i="1"/>
  <c r="BJ186" i="1"/>
  <c r="BJ129" i="1"/>
  <c r="BJ60" i="3"/>
  <c r="CE128" i="1"/>
  <c r="BJ20" i="3" l="1"/>
  <c r="BI84" i="3"/>
  <c r="BJ76" i="3"/>
  <c r="BJ73" i="3"/>
  <c r="BJ80" i="3"/>
  <c r="CE66" i="3"/>
  <c r="BJ189" i="1"/>
  <c r="BJ192" i="1"/>
  <c r="BJ191" i="1"/>
  <c r="BJ66" i="29"/>
  <c r="BJ90" i="29"/>
  <c r="BJ99" i="29"/>
  <c r="CE63" i="29"/>
  <c r="BJ105" i="3"/>
  <c r="CE131" i="1"/>
  <c r="CE130" i="1"/>
  <c r="CE101" i="1"/>
  <c r="BJ99" i="3"/>
  <c r="CE98" i="3"/>
  <c r="CE20" i="3"/>
  <c r="BJ19" i="4"/>
  <c r="BJ105" i="1"/>
  <c r="BJ102" i="1"/>
  <c r="BJ104" i="1"/>
  <c r="BJ103" i="1"/>
  <c r="BJ108" i="29" l="1"/>
  <c r="BJ92" i="29"/>
  <c r="BJ101" i="29"/>
  <c r="BJ190" i="1"/>
  <c r="BJ22" i="4"/>
  <c r="BJ112" i="3"/>
  <c r="BJ101" i="3"/>
  <c r="CE99" i="3"/>
  <c r="BJ17" i="4"/>
  <c r="CE80" i="3"/>
  <c r="CE104" i="1"/>
  <c r="CE105" i="1"/>
  <c r="CE103" i="1"/>
  <c r="BJ68" i="3"/>
  <c r="BJ64" i="3"/>
  <c r="BJ106" i="3"/>
  <c r="BJ113" i="3"/>
  <c r="CE73" i="3"/>
  <c r="BJ13" i="4"/>
  <c r="BJ13" i="3"/>
  <c r="CE76" i="3"/>
  <c r="CE19" i="4"/>
  <c r="BJ81" i="3"/>
  <c r="BJ25" i="3"/>
  <c r="CE90" i="29"/>
  <c r="BJ109" i="29" l="1"/>
  <c r="CE113" i="3"/>
  <c r="BK128" i="1"/>
  <c r="CE25" i="3"/>
  <c r="BJ54" i="3"/>
  <c r="BJ29" i="4"/>
  <c r="CE22" i="4"/>
  <c r="BJ16" i="3"/>
  <c r="CE81" i="3"/>
  <c r="CE13" i="4"/>
  <c r="BJ10" i="3"/>
  <c r="CE101" i="3"/>
  <c r="CE100" i="3"/>
  <c r="CE13" i="3"/>
  <c r="BJ15" i="4"/>
  <c r="BJ82" i="3"/>
  <c r="BJ75" i="3"/>
  <c r="CE68" i="3"/>
  <c r="CE17" i="4"/>
  <c r="BJ24" i="3"/>
  <c r="CE112" i="3"/>
  <c r="BJ115" i="3"/>
  <c r="CE82" i="3" l="1"/>
  <c r="BJ12" i="4"/>
  <c r="BK111" i="3"/>
  <c r="CE115" i="3"/>
  <c r="BJ109" i="3"/>
  <c r="CE16" i="3"/>
  <c r="CE24" i="3"/>
  <c r="CE29" i="4"/>
  <c r="CE75" i="3"/>
  <c r="BJ77" i="3"/>
  <c r="CE15" i="4"/>
  <c r="BK63" i="29"/>
  <c r="BK101" i="1"/>
  <c r="BK98" i="3"/>
  <c r="BK188" i="1"/>
  <c r="BK66" i="3"/>
  <c r="BK186" i="1"/>
  <c r="BK130" i="1"/>
  <c r="BK51" i="3"/>
  <c r="BK129" i="1"/>
  <c r="BK60" i="3"/>
  <c r="CE10" i="3"/>
  <c r="BK20" i="3" l="1"/>
  <c r="CE109" i="3"/>
  <c r="BK80" i="3"/>
  <c r="BK73" i="3"/>
  <c r="BK76" i="3"/>
  <c r="BK105" i="3"/>
  <c r="CF111" i="3"/>
  <c r="BK189" i="1"/>
  <c r="BK192" i="1"/>
  <c r="BK191" i="1"/>
  <c r="BJ84" i="3"/>
  <c r="CE77" i="3"/>
  <c r="BK99" i="3"/>
  <c r="BK19" i="4"/>
  <c r="BK103" i="1"/>
  <c r="BK102" i="1"/>
  <c r="BK105" i="1"/>
  <c r="BK104" i="1"/>
  <c r="BK66" i="29"/>
  <c r="BK99" i="29"/>
  <c r="BK90" i="29"/>
  <c r="BK13" i="3" l="1"/>
  <c r="BK113" i="3"/>
  <c r="BK68" i="3"/>
  <c r="BK64" i="3"/>
  <c r="BK106" i="3"/>
  <c r="BK25" i="3"/>
  <c r="BK81" i="3"/>
  <c r="BK190" i="1"/>
  <c r="BK112" i="3"/>
  <c r="BK22" i="4"/>
  <c r="BK101" i="3"/>
  <c r="BK15" i="4"/>
  <c r="BK13" i="4"/>
  <c r="BK108" i="29"/>
  <c r="BK92" i="29"/>
  <c r="BK101" i="29"/>
  <c r="BJ85" i="3"/>
  <c r="CE84" i="3"/>
  <c r="BK17" i="4"/>
  <c r="BK109" i="29" l="1"/>
  <c r="BK82" i="3"/>
  <c r="CE85" i="3"/>
  <c r="BK16" i="3"/>
  <c r="BK75" i="3"/>
  <c r="BK12" i="4"/>
  <c r="BK10" i="3"/>
  <c r="BK29" i="4"/>
  <c r="BL128" i="1"/>
  <c r="BK54" i="3"/>
  <c r="BK115" i="3"/>
  <c r="BK24" i="3"/>
  <c r="BK77" i="3" l="1"/>
  <c r="BL111" i="3"/>
  <c r="BK109" i="3"/>
  <c r="BL66" i="3"/>
  <c r="BL98" i="3"/>
  <c r="BL63" i="29"/>
  <c r="BL130" i="1"/>
  <c r="BL60" i="3"/>
  <c r="BL129" i="1"/>
  <c r="BL51" i="3"/>
  <c r="BL101" i="1"/>
  <c r="BK84" i="3" l="1"/>
  <c r="BL20" i="3"/>
  <c r="BL105" i="3"/>
  <c r="BL99" i="29"/>
  <c r="BL90" i="29"/>
  <c r="BL19" i="4"/>
  <c r="BL102" i="1"/>
  <c r="BL104" i="1"/>
  <c r="BL103" i="1"/>
  <c r="BL105" i="1"/>
  <c r="BL99" i="3"/>
  <c r="BL80" i="3"/>
  <c r="BL73" i="3"/>
  <c r="BL76" i="3"/>
  <c r="BL13" i="3" l="1"/>
  <c r="BK85" i="3"/>
  <c r="BL13" i="4"/>
  <c r="BL22" i="4"/>
  <c r="BL112" i="3"/>
  <c r="BL101" i="3"/>
  <c r="BL15" i="4"/>
  <c r="BL68" i="3"/>
  <c r="BL64" i="3"/>
  <c r="BL106" i="3"/>
  <c r="BL113" i="3"/>
  <c r="BL17" i="4"/>
  <c r="BL81" i="3"/>
  <c r="BL25" i="3"/>
  <c r="BL10" i="3" l="1"/>
  <c r="BL75" i="3"/>
  <c r="BL115" i="3"/>
  <c r="BL29" i="4"/>
  <c r="BL24" i="3"/>
  <c r="BM128" i="1"/>
  <c r="BL54" i="3"/>
  <c r="BL16" i="3"/>
  <c r="BM98" i="3" l="1"/>
  <c r="BM66" i="3"/>
  <c r="BM188" i="1"/>
  <c r="BM101" i="1"/>
  <c r="BM63" i="29"/>
  <c r="BM129" i="1"/>
  <c r="BM130" i="1"/>
  <c r="BM186" i="1"/>
  <c r="BM51" i="3"/>
  <c r="BM60" i="3"/>
  <c r="BM111" i="3"/>
  <c r="BL109" i="3"/>
  <c r="BM20" i="3" l="1"/>
  <c r="BM105" i="3"/>
  <c r="BM66" i="29"/>
  <c r="BM99" i="29"/>
  <c r="BM90" i="29"/>
  <c r="BM19" i="4"/>
  <c r="BM104" i="1"/>
  <c r="BM103" i="1"/>
  <c r="BM102" i="1"/>
  <c r="BM105" i="1"/>
  <c r="BM189" i="1"/>
  <c r="BM192" i="1"/>
  <c r="BM73" i="3"/>
  <c r="BM76" i="3"/>
  <c r="BM80" i="3"/>
  <c r="BM99" i="3"/>
  <c r="BM13" i="3" l="1"/>
  <c r="BM108" i="29"/>
  <c r="BM92" i="29"/>
  <c r="BM68" i="3"/>
  <c r="BM113" i="3"/>
  <c r="BM106" i="3"/>
  <c r="BM64" i="3"/>
  <c r="BM190" i="1"/>
  <c r="BM13" i="4"/>
  <c r="BM22" i="4"/>
  <c r="BM112" i="3"/>
  <c r="BM101" i="3"/>
  <c r="BM17" i="4"/>
  <c r="BM25" i="3"/>
  <c r="BM81" i="3"/>
  <c r="BM15" i="4" l="1"/>
  <c r="BM109" i="29"/>
  <c r="BM29" i="4"/>
  <c r="BM24" i="3"/>
  <c r="BM10" i="3"/>
  <c r="BM75" i="3"/>
  <c r="BN128" i="1"/>
  <c r="BM54" i="3"/>
  <c r="BM82" i="3"/>
  <c r="BM16" i="3"/>
  <c r="BM115" i="3"/>
  <c r="BM77" i="3" l="1"/>
  <c r="BN111" i="3"/>
  <c r="BM109" i="3"/>
  <c r="BN98" i="3"/>
  <c r="BN101" i="1"/>
  <c r="BN66" i="3"/>
  <c r="BN63" i="29"/>
  <c r="BN51" i="3"/>
  <c r="BN188" i="1"/>
  <c r="BN130" i="1"/>
  <c r="BN60" i="3"/>
  <c r="BN186" i="1"/>
  <c r="BN129" i="1"/>
  <c r="CF128" i="1"/>
  <c r="BM84" i="3" l="1"/>
  <c r="BN20" i="3"/>
  <c r="BN105" i="3"/>
  <c r="CF20" i="3"/>
  <c r="BN189" i="1"/>
  <c r="BN192" i="1"/>
  <c r="BN191" i="1"/>
  <c r="CF131" i="1"/>
  <c r="CF130" i="1"/>
  <c r="CF101" i="1"/>
  <c r="BN66" i="29"/>
  <c r="BN90" i="29"/>
  <c r="BN99" i="29"/>
  <c r="CF63" i="29"/>
  <c r="BN76" i="3"/>
  <c r="BN73" i="3"/>
  <c r="BN80" i="3"/>
  <c r="CF66" i="3"/>
  <c r="BN19" i="4"/>
  <c r="BN102" i="1"/>
  <c r="BN105" i="1"/>
  <c r="BN104" i="1"/>
  <c r="BN103" i="1"/>
  <c r="BN99" i="3"/>
  <c r="CF98" i="3"/>
  <c r="CF19" i="4" l="1"/>
  <c r="BN25" i="3"/>
  <c r="BN81" i="3"/>
  <c r="BN108" i="29"/>
  <c r="BN92" i="29"/>
  <c r="BN101" i="29"/>
  <c r="CF73" i="3"/>
  <c r="BN13" i="4"/>
  <c r="BN68" i="3"/>
  <c r="BN113" i="3"/>
  <c r="BN106" i="3"/>
  <c r="BN64" i="3"/>
  <c r="BN17" i="4"/>
  <c r="CF80" i="3"/>
  <c r="BN13" i="3"/>
  <c r="CF76" i="3"/>
  <c r="BN190" i="1"/>
  <c r="BN22" i="4"/>
  <c r="BN101" i="3"/>
  <c r="BN112" i="3"/>
  <c r="CF99" i="3"/>
  <c r="CF104" i="1"/>
  <c r="CF103" i="1"/>
  <c r="CF105" i="1"/>
  <c r="CF90" i="29"/>
  <c r="BN109" i="29" l="1"/>
  <c r="BN16" i="3"/>
  <c r="CF113" i="3"/>
  <c r="CF81" i="3"/>
  <c r="BN82" i="3"/>
  <c r="CF112" i="3"/>
  <c r="BN115" i="3"/>
  <c r="CF17" i="4"/>
  <c r="BN24" i="3"/>
  <c r="CF25" i="3"/>
  <c r="BN54" i="3"/>
  <c r="CF13" i="3"/>
  <c r="BN15" i="4"/>
  <c r="BN29" i="4"/>
  <c r="CF22" i="4"/>
  <c r="BN75" i="3"/>
  <c r="CF68" i="3"/>
  <c r="CF13" i="4"/>
  <c r="BN10" i="3"/>
  <c r="CF100" i="3"/>
  <c r="CF101" i="3"/>
  <c r="CF16" i="3" l="1"/>
  <c r="CF82" i="3"/>
  <c r="BN12" i="4"/>
  <c r="CF29" i="4"/>
  <c r="CF115" i="3"/>
  <c r="BN109" i="3"/>
  <c r="CF75" i="3"/>
  <c r="BN77" i="3"/>
  <c r="CF24" i="3"/>
  <c r="CF15" i="4"/>
  <c r="CF10" i="3"/>
  <c r="CF109" i="3" l="1"/>
  <c r="BN84" i="3"/>
  <c r="CF77" i="3"/>
  <c r="BN85" i="3" l="1"/>
  <c r="CF84" i="3"/>
  <c r="CF85" i="3" l="1"/>
  <c r="CB18" i="1" l="1"/>
  <c r="CB20" i="1" s="1"/>
  <c r="AV27" i="1"/>
  <c r="AV16" i="1" l="1"/>
  <c r="AV21" i="1"/>
  <c r="AZ16" i="1"/>
  <c r="BD16" i="1" s="1"/>
  <c r="BD13" i="1" s="1"/>
  <c r="AV26" i="1"/>
  <c r="AW53" i="1"/>
  <c r="CB52" i="1"/>
  <c r="AV56" i="1" s="1"/>
  <c r="CB21" i="1"/>
  <c r="BD18" i="1" l="1"/>
  <c r="CD13" i="1"/>
  <c r="BE14" i="1"/>
  <c r="BD14" i="1"/>
  <c r="BD27" i="1"/>
  <c r="BD26" i="1" s="1"/>
  <c r="BD52" i="1"/>
  <c r="BH16" i="1"/>
  <c r="AZ13" i="1"/>
  <c r="CB89" i="1"/>
  <c r="AX56" i="1"/>
  <c r="AU56" i="1"/>
  <c r="AW56" i="1"/>
  <c r="CB54" i="1"/>
  <c r="CB55" i="1"/>
  <c r="BL16" i="1" l="1"/>
  <c r="BL13" i="1" s="1"/>
  <c r="BH13" i="1"/>
  <c r="CD18" i="1"/>
  <c r="BD19" i="1"/>
  <c r="BE19" i="1"/>
  <c r="BD21" i="1"/>
  <c r="BD53" i="1"/>
  <c r="BE53" i="1"/>
  <c r="BD55" i="1"/>
  <c r="CD16" i="1"/>
  <c r="AZ18" i="1"/>
  <c r="AZ27" i="1" s="1"/>
  <c r="AZ26" i="1" s="1"/>
  <c r="AZ15" i="1"/>
  <c r="BA14" i="1"/>
  <c r="CC13" i="1"/>
  <c r="AZ14" i="1"/>
  <c r="BD15" i="1"/>
  <c r="CD52" i="1"/>
  <c r="AZ20" i="1" l="1"/>
  <c r="AZ19" i="1"/>
  <c r="BA19" i="1"/>
  <c r="CC18" i="1"/>
  <c r="AZ21" i="1"/>
  <c r="CC15" i="1"/>
  <c r="CC16" i="1"/>
  <c r="CD15" i="1"/>
  <c r="BH18" i="1"/>
  <c r="BH15" i="1"/>
  <c r="BI14" i="1"/>
  <c r="BH52" i="1"/>
  <c r="CE52" i="1" s="1"/>
  <c r="BH27" i="1"/>
  <c r="BH26" i="1" s="1"/>
  <c r="BH14" i="1"/>
  <c r="CE13" i="1"/>
  <c r="BD20" i="1"/>
  <c r="AZ52" i="1"/>
  <c r="CD21" i="1"/>
  <c r="BL18" i="1"/>
  <c r="BL14" i="1"/>
  <c r="BL15" i="1"/>
  <c r="BL52" i="1"/>
  <c r="BM14" i="1"/>
  <c r="CF13" i="1"/>
  <c r="CF16" i="1" s="1"/>
  <c r="CD55" i="1"/>
  <c r="CD89" i="1"/>
  <c r="BL54" i="1" l="1"/>
  <c r="BM53" i="1"/>
  <c r="BL55" i="1"/>
  <c r="BL53" i="1"/>
  <c r="BM19" i="1"/>
  <c r="CF18" i="1"/>
  <c r="CF21" i="1" s="1"/>
  <c r="BL19" i="1"/>
  <c r="BL20" i="1"/>
  <c r="CC21" i="1"/>
  <c r="CD20" i="1"/>
  <c r="CC20" i="1"/>
  <c r="BL27" i="1"/>
  <c r="BL26" i="1" s="1"/>
  <c r="CE16" i="1"/>
  <c r="CF15" i="1"/>
  <c r="CE15" i="1"/>
  <c r="BH55" i="1"/>
  <c r="BH53" i="1"/>
  <c r="BI53" i="1"/>
  <c r="BH54" i="1"/>
  <c r="AZ53" i="1"/>
  <c r="AZ55" i="1"/>
  <c r="BA53" i="1"/>
  <c r="AZ54" i="1"/>
  <c r="CC52" i="1"/>
  <c r="AZ56" i="1" s="1"/>
  <c r="BD54" i="1"/>
  <c r="BH19" i="1"/>
  <c r="BI19" i="1"/>
  <c r="CE18" i="1"/>
  <c r="BH20" i="1"/>
  <c r="BH21" i="1"/>
  <c r="CF52" i="1"/>
  <c r="CF54" i="1" s="1"/>
  <c r="CE89" i="1"/>
  <c r="CE55" i="1"/>
  <c r="CE54" i="1"/>
  <c r="CE21" i="1" l="1"/>
  <c r="CF20" i="1"/>
  <c r="CE20" i="1"/>
  <c r="CC55" i="1"/>
  <c r="CC54" i="1"/>
  <c r="BA56" i="1"/>
  <c r="CC89" i="1"/>
  <c r="BB56" i="1"/>
  <c r="AY56" i="1"/>
  <c r="CD54" i="1"/>
  <c r="BL21" i="1"/>
  <c r="CF55" i="1"/>
  <c r="CF89" i="1"/>
  <c r="CB273" i="1" l="1"/>
  <c r="AV258" i="1" l="1"/>
  <c r="CB283" i="1"/>
  <c r="CB259" i="1"/>
  <c r="CB258" i="1" s="1"/>
  <c r="AV11" i="29" l="1"/>
  <c r="AV12" i="29" s="1"/>
  <c r="AV21" i="29" s="1"/>
  <c r="AV223" i="1"/>
  <c r="AV67" i="3"/>
  <c r="CB67" i="3" s="1"/>
  <c r="AV284" i="1"/>
  <c r="AV218" i="1"/>
  <c r="AV274" i="1"/>
  <c r="AV260" i="1"/>
  <c r="AZ260" i="1" s="1"/>
  <c r="CB211" i="1"/>
  <c r="CB284" i="1" s="1"/>
  <c r="AV309" i="1"/>
  <c r="AV296" i="1" s="1"/>
  <c r="AV11" i="4"/>
  <c r="AV70" i="4"/>
  <c r="CB309" i="1"/>
  <c r="CB70" i="4"/>
  <c r="AW14" i="4"/>
  <c r="AV86" i="4" l="1"/>
  <c r="AV87" i="4"/>
  <c r="AV219" i="1"/>
  <c r="AV240" i="1"/>
  <c r="AV94" i="3"/>
  <c r="AV91" i="3"/>
  <c r="AV24" i="29"/>
  <c r="AV25" i="29" s="1"/>
  <c r="CB223" i="1"/>
  <c r="CB260" i="1"/>
  <c r="BD260" i="1"/>
  <c r="CB218" i="1"/>
  <c r="CB274" i="1"/>
  <c r="AW16" i="4"/>
  <c r="AV65" i="29"/>
  <c r="CB11" i="29"/>
  <c r="AV48" i="29"/>
  <c r="AV39" i="29"/>
  <c r="AW48" i="29"/>
  <c r="CB219" i="1"/>
  <c r="CB240" i="1"/>
  <c r="CB11" i="4"/>
  <c r="AV12" i="4"/>
  <c r="CB14" i="4"/>
  <c r="CB296" i="1"/>
  <c r="AV52" i="4" l="1"/>
  <c r="AW242" i="1"/>
  <c r="AZ94" i="3"/>
  <c r="AV241" i="1"/>
  <c r="AV291" i="1"/>
  <c r="AV290" i="1" s="1"/>
  <c r="AV28" i="29" s="1"/>
  <c r="AV242" i="1"/>
  <c r="AV243" i="1"/>
  <c r="AV220" i="1"/>
  <c r="AV56" i="29" s="1"/>
  <c r="AZ219" i="1"/>
  <c r="AW87" i="4"/>
  <c r="AX87" i="4"/>
  <c r="AY87" i="4" s="1"/>
  <c r="AZ86" i="4"/>
  <c r="CB16" i="4"/>
  <c r="AW12" i="4"/>
  <c r="BH260" i="1"/>
  <c r="CB65" i="29"/>
  <c r="AW100" i="29"/>
  <c r="AV91" i="29"/>
  <c r="AV100" i="29"/>
  <c r="AV66" i="29"/>
  <c r="CB12" i="29"/>
  <c r="CB39" i="29"/>
  <c r="AW295" i="1"/>
  <c r="AW298" i="1" s="1"/>
  <c r="CB36" i="4"/>
  <c r="AW23" i="3"/>
  <c r="AV27" i="3"/>
  <c r="CB52" i="4"/>
  <c r="CB243" i="1"/>
  <c r="CB241" i="1"/>
  <c r="AW85" i="3"/>
  <c r="CB220" i="1"/>
  <c r="CB56" i="29" s="1"/>
  <c r="AZ87" i="4" l="1"/>
  <c r="BD219" i="1"/>
  <c r="AZ218" i="1"/>
  <c r="BD86" i="4"/>
  <c r="AY37" i="4"/>
  <c r="AX37" i="4"/>
  <c r="BA87" i="4"/>
  <c r="BB87" i="4" s="1"/>
  <c r="BC87" i="4" s="1"/>
  <c r="AW37" i="4"/>
  <c r="AV246" i="1"/>
  <c r="AV247" i="1"/>
  <c r="AV248" i="1"/>
  <c r="BD94" i="3"/>
  <c r="BL260" i="1"/>
  <c r="CB12" i="4"/>
  <c r="AX23" i="3"/>
  <c r="AW27" i="3"/>
  <c r="AW300" i="1"/>
  <c r="AX295" i="1"/>
  <c r="AX298" i="1" s="1"/>
  <c r="CB40" i="29"/>
  <c r="CB21" i="29"/>
  <c r="CB55" i="29"/>
  <c r="CB91" i="29"/>
  <c r="CB66" i="29"/>
  <c r="AV34" i="3"/>
  <c r="AV92" i="29"/>
  <c r="AV101" i="29"/>
  <c r="AW101" i="29"/>
  <c r="AV108" i="29"/>
  <c r="BH219" i="1" l="1"/>
  <c r="BD218" i="1"/>
  <c r="CB37" i="4"/>
  <c r="BD87" i="4"/>
  <c r="AZ211" i="1"/>
  <c r="AZ240" i="1"/>
  <c r="BH94" i="3"/>
  <c r="BE87" i="4"/>
  <c r="BA37" i="4"/>
  <c r="BB37" i="4"/>
  <c r="BC37" i="4"/>
  <c r="BH86" i="4"/>
  <c r="CB298" i="1"/>
  <c r="AX300" i="1"/>
  <c r="AY295" i="1"/>
  <c r="AY298" i="1" s="1"/>
  <c r="AW39" i="4"/>
  <c r="CB108" i="29"/>
  <c r="CB92" i="29"/>
  <c r="AW34" i="3"/>
  <c r="AV109" i="29"/>
  <c r="CB42" i="29"/>
  <c r="CB57" i="29"/>
  <c r="AY23" i="3"/>
  <c r="AX27" i="3"/>
  <c r="CB23" i="3"/>
  <c r="AZ243" i="1" l="1"/>
  <c r="AZ242" i="1"/>
  <c r="AZ52" i="4"/>
  <c r="AZ241" i="1"/>
  <c r="BA242" i="1"/>
  <c r="BF87" i="4"/>
  <c r="BG87" i="4" s="1"/>
  <c r="AZ11" i="29"/>
  <c r="CC211" i="1"/>
  <c r="AZ223" i="1"/>
  <c r="AZ283" i="1"/>
  <c r="CC283" i="1" s="1"/>
  <c r="AZ67" i="3"/>
  <c r="AZ273" i="1"/>
  <c r="CC273" i="1" s="1"/>
  <c r="AZ259" i="1"/>
  <c r="BD211" i="1"/>
  <c r="BD240" i="1"/>
  <c r="BL219" i="1"/>
  <c r="BL218" i="1" s="1"/>
  <c r="BH218" i="1"/>
  <c r="BL86" i="4"/>
  <c r="BF37" i="4"/>
  <c r="BE37" i="4"/>
  <c r="BL94" i="3"/>
  <c r="AW41" i="4"/>
  <c r="AZ295" i="1"/>
  <c r="AY300" i="1"/>
  <c r="AX39" i="4"/>
  <c r="CB39" i="4" s="1"/>
  <c r="CB300" i="1"/>
  <c r="CC295" i="1"/>
  <c r="AX34" i="3"/>
  <c r="CB27" i="3"/>
  <c r="CB109" i="29"/>
  <c r="AY27" i="3"/>
  <c r="CC284" i="1" l="1"/>
  <c r="AZ183" i="1"/>
  <c r="BG37" i="4"/>
  <c r="BH211" i="1"/>
  <c r="BH240" i="1"/>
  <c r="BH243" i="1" s="1"/>
  <c r="BL211" i="1"/>
  <c r="BL240" i="1"/>
  <c r="BD242" i="1"/>
  <c r="BE242" i="1"/>
  <c r="BD52" i="4"/>
  <c r="BD241" i="1"/>
  <c r="BD243" i="1"/>
  <c r="CD211" i="1"/>
  <c r="BD11" i="29"/>
  <c r="BD273" i="1"/>
  <c r="CD273" i="1" s="1"/>
  <c r="BD67" i="3"/>
  <c r="BD223" i="1"/>
  <c r="BD283" i="1"/>
  <c r="CD283" i="1" s="1"/>
  <c r="BD259" i="1"/>
  <c r="CC218" i="1"/>
  <c r="CC223" i="1"/>
  <c r="AZ184" i="1"/>
  <c r="AZ188" i="1"/>
  <c r="AZ186" i="1"/>
  <c r="CC183" i="1"/>
  <c r="BA184" i="1"/>
  <c r="AZ185" i="1"/>
  <c r="AZ48" i="29"/>
  <c r="CC11" i="29"/>
  <c r="BA48" i="29"/>
  <c r="AZ39" i="29"/>
  <c r="AZ65" i="29"/>
  <c r="CC259" i="1"/>
  <c r="AZ258" i="1"/>
  <c r="CC274" i="1"/>
  <c r="BH87" i="4"/>
  <c r="AZ74" i="3"/>
  <c r="CC67" i="3"/>
  <c r="AZ79" i="3"/>
  <c r="AY39" i="4"/>
  <c r="AX41" i="4"/>
  <c r="AY34" i="3"/>
  <c r="CB34" i="3"/>
  <c r="BD183" i="1" l="1"/>
  <c r="CC219" i="1"/>
  <c r="CC220" i="1" s="1"/>
  <c r="CC56" i="29" s="1"/>
  <c r="CC240" i="1"/>
  <c r="CD11" i="29"/>
  <c r="CD39" i="29" s="1"/>
  <c r="BD48" i="29"/>
  <c r="BE48" i="29"/>
  <c r="BD65" i="29"/>
  <c r="BM242" i="1"/>
  <c r="BL242" i="1"/>
  <c r="BL241" i="1"/>
  <c r="BL52" i="4"/>
  <c r="CC12" i="29"/>
  <c r="CC39" i="29"/>
  <c r="AZ189" i="1"/>
  <c r="AZ190" i="1" s="1"/>
  <c r="AZ192" i="1"/>
  <c r="AZ191" i="1"/>
  <c r="BA191" i="1"/>
  <c r="BE184" i="1"/>
  <c r="CD183" i="1"/>
  <c r="CD185" i="1" s="1"/>
  <c r="BD186" i="1"/>
  <c r="BD184" i="1"/>
  <c r="BD188" i="1"/>
  <c r="CD223" i="1"/>
  <c r="CD218" i="1"/>
  <c r="BL67" i="3"/>
  <c r="BL283" i="1"/>
  <c r="CF283" i="1" s="1"/>
  <c r="CF284" i="1" s="1"/>
  <c r="BL11" i="29"/>
  <c r="BL223" i="1"/>
  <c r="CF211" i="1"/>
  <c r="BL273" i="1"/>
  <c r="CF273" i="1" s="1"/>
  <c r="BL259" i="1"/>
  <c r="BI87" i="4"/>
  <c r="AZ16" i="4"/>
  <c r="BA16" i="4"/>
  <c r="AZ82" i="3"/>
  <c r="BD258" i="1"/>
  <c r="CD259" i="1"/>
  <c r="AZ309" i="1"/>
  <c r="AZ296" i="1" s="1"/>
  <c r="AZ11" i="4"/>
  <c r="AZ70" i="4"/>
  <c r="CD284" i="1"/>
  <c r="BA14" i="4"/>
  <c r="AZ14" i="4"/>
  <c r="AZ77" i="3"/>
  <c r="CC260" i="1"/>
  <c r="CC258" i="1"/>
  <c r="BH52" i="4"/>
  <c r="BI242" i="1"/>
  <c r="BH241" i="1"/>
  <c r="BH242" i="1"/>
  <c r="BL243" i="1"/>
  <c r="AZ91" i="29"/>
  <c r="AZ100" i="29"/>
  <c r="CC65" i="29"/>
  <c r="AZ66" i="29"/>
  <c r="BA100" i="29"/>
  <c r="BH223" i="1"/>
  <c r="BH11" i="29"/>
  <c r="CE211" i="1"/>
  <c r="BH67" i="3"/>
  <c r="BH283" i="1"/>
  <c r="CE283" i="1" s="1"/>
  <c r="BH273" i="1"/>
  <c r="CE273" i="1" s="1"/>
  <c r="BH259" i="1"/>
  <c r="BD185" i="1"/>
  <c r="BD74" i="3"/>
  <c r="CD67" i="3"/>
  <c r="BD79" i="3"/>
  <c r="BD39" i="29"/>
  <c r="CC185" i="1"/>
  <c r="CC186" i="1"/>
  <c r="CC188" i="1"/>
  <c r="CD274" i="1"/>
  <c r="AY41" i="4"/>
  <c r="CF274" i="1" l="1"/>
  <c r="BH183" i="1"/>
  <c r="BH188" i="1" s="1"/>
  <c r="BH185" i="1"/>
  <c r="BH184" i="1"/>
  <c r="BH186" i="1"/>
  <c r="BI184" i="1"/>
  <c r="CE218" i="1"/>
  <c r="CE223" i="1"/>
  <c r="CC91" i="29"/>
  <c r="CC66" i="29"/>
  <c r="CC309" i="1"/>
  <c r="CC70" i="4"/>
  <c r="BM48" i="29"/>
  <c r="CF11" i="29"/>
  <c r="BL48" i="29"/>
  <c r="BL65" i="29"/>
  <c r="BE100" i="29"/>
  <c r="CD65" i="29"/>
  <c r="BD66" i="29"/>
  <c r="BD100" i="29"/>
  <c r="BH91" i="29"/>
  <c r="BI48" i="29"/>
  <c r="BH48" i="29"/>
  <c r="CE11" i="29"/>
  <c r="BL39" i="29"/>
  <c r="BH65" i="29"/>
  <c r="AZ37" i="4"/>
  <c r="CC11" i="4"/>
  <c r="AZ36" i="4"/>
  <c r="BI37" i="4"/>
  <c r="BH39" i="29"/>
  <c r="BJ87" i="4"/>
  <c r="CC296" i="1"/>
  <c r="AZ298" i="1"/>
  <c r="BL183" i="1"/>
  <c r="BL185" i="1" s="1"/>
  <c r="BL74" i="3"/>
  <c r="CF67" i="3"/>
  <c r="BL79" i="3"/>
  <c r="CD186" i="1"/>
  <c r="CD188" i="1"/>
  <c r="CD192" i="1" s="1"/>
  <c r="CC55" i="29"/>
  <c r="CC21" i="29"/>
  <c r="CC40" i="29"/>
  <c r="AZ84" i="3"/>
  <c r="CD258" i="1"/>
  <c r="CD260" i="1"/>
  <c r="BL258" i="1"/>
  <c r="CF259" i="1"/>
  <c r="BH258" i="1"/>
  <c r="CE259" i="1"/>
  <c r="CC14" i="4"/>
  <c r="AZ12" i="4"/>
  <c r="BD309" i="1"/>
  <c r="BD296" i="1" s="1"/>
  <c r="CD296" i="1" s="1"/>
  <c r="BD70" i="4"/>
  <c r="BD11" i="4"/>
  <c r="CD12" i="29"/>
  <c r="BE16" i="4"/>
  <c r="BD16" i="4"/>
  <c r="BD82" i="3"/>
  <c r="CE274" i="1"/>
  <c r="BA12" i="4"/>
  <c r="CF223" i="1"/>
  <c r="CF218" i="1"/>
  <c r="CD240" i="1"/>
  <c r="CD219" i="1"/>
  <c r="CD220" i="1" s="1"/>
  <c r="CD56" i="29" s="1"/>
  <c r="CE284" i="1"/>
  <c r="AZ92" i="29"/>
  <c r="AZ101" i="29"/>
  <c r="AZ108" i="29"/>
  <c r="BA101" i="29"/>
  <c r="CC192" i="1"/>
  <c r="CC189" i="1"/>
  <c r="CC190" i="1" s="1"/>
  <c r="BD14" i="4"/>
  <c r="BE14" i="4"/>
  <c r="BD77" i="3"/>
  <c r="BH74" i="3"/>
  <c r="CE67" i="3"/>
  <c r="BH79" i="3"/>
  <c r="BD91" i="29"/>
  <c r="CC16" i="4"/>
  <c r="AZ23" i="3"/>
  <c r="BD192" i="1"/>
  <c r="BD191" i="1"/>
  <c r="BE191" i="1"/>
  <c r="BD189" i="1"/>
  <c r="BD190" i="1" s="1"/>
  <c r="CC241" i="1"/>
  <c r="CC52" i="4"/>
  <c r="CC243" i="1"/>
  <c r="CE183" i="1" l="1"/>
  <c r="CE185" i="1" s="1"/>
  <c r="AZ27" i="3"/>
  <c r="BA23" i="3"/>
  <c r="BD84" i="3"/>
  <c r="CD52" i="4"/>
  <c r="CD241" i="1"/>
  <c r="CD16" i="4"/>
  <c r="BM14" i="4"/>
  <c r="BL14" i="4"/>
  <c r="BL77" i="3"/>
  <c r="CE12" i="29"/>
  <c r="CF39" i="29"/>
  <c r="CD91" i="29"/>
  <c r="CD66" i="29"/>
  <c r="CD92" i="29" s="1"/>
  <c r="BH192" i="1"/>
  <c r="BH189" i="1"/>
  <c r="BH190" i="1" s="1"/>
  <c r="BH191" i="1"/>
  <c r="BI191" i="1"/>
  <c r="CF219" i="1"/>
  <c r="CF240" i="1"/>
  <c r="CC12" i="4"/>
  <c r="CD70" i="4"/>
  <c r="CD309" i="1"/>
  <c r="CC92" i="29"/>
  <c r="CC108" i="29"/>
  <c r="CD14" i="4"/>
  <c r="BD12" i="4"/>
  <c r="AZ109" i="29"/>
  <c r="CF183" i="1"/>
  <c r="BL186" i="1"/>
  <c r="BL188" i="1"/>
  <c r="BL192" i="1" s="1"/>
  <c r="BL184" i="1"/>
  <c r="BM184" i="1"/>
  <c r="BL100" i="29"/>
  <c r="BM100" i="29"/>
  <c r="CF65" i="29"/>
  <c r="BL66" i="29"/>
  <c r="CE39" i="29"/>
  <c r="AZ85" i="3"/>
  <c r="BA85" i="3"/>
  <c r="BA295" i="1"/>
  <c r="BA298" i="1" s="1"/>
  <c r="AZ300" i="1"/>
  <c r="CC36" i="4"/>
  <c r="BI16" i="4"/>
  <c r="BH16" i="4"/>
  <c r="BH82" i="3"/>
  <c r="CD21" i="29"/>
  <c r="CD55" i="29"/>
  <c r="CE260" i="1"/>
  <c r="CE258" i="1"/>
  <c r="CD189" i="1"/>
  <c r="CD190" i="1" s="1"/>
  <c r="CF12" i="29"/>
  <c r="BH70" i="4"/>
  <c r="BH309" i="1"/>
  <c r="BH296" i="1" s="1"/>
  <c r="CE296" i="1" s="1"/>
  <c r="BH11" i="4"/>
  <c r="BJ37" i="4"/>
  <c r="BK87" i="4"/>
  <c r="CC37" i="4"/>
  <c r="CD243" i="1"/>
  <c r="BH14" i="4"/>
  <c r="BI14" i="4"/>
  <c r="BH77" i="3"/>
  <c r="CD11" i="4"/>
  <c r="BD36" i="4"/>
  <c r="BD37" i="4"/>
  <c r="CF258" i="1"/>
  <c r="CF260" i="1"/>
  <c r="CD40" i="29"/>
  <c r="BL16" i="4"/>
  <c r="BM16" i="4"/>
  <c r="BL82" i="3"/>
  <c r="CE65" i="29"/>
  <c r="BI100" i="29"/>
  <c r="BH100" i="29"/>
  <c r="BL91" i="29"/>
  <c r="BH66" i="29"/>
  <c r="CE240" i="1"/>
  <c r="CE243" i="1" s="1"/>
  <c r="CE219" i="1"/>
  <c r="CE220" i="1" s="1"/>
  <c r="CE56" i="29" s="1"/>
  <c r="BE12" i="4"/>
  <c r="BL309" i="1"/>
  <c r="BL296" i="1" s="1"/>
  <c r="CF296" i="1" s="1"/>
  <c r="BL11" i="4"/>
  <c r="BL70" i="4"/>
  <c r="CC57" i="29"/>
  <c r="CC42" i="29"/>
  <c r="BD92" i="29"/>
  <c r="BD108" i="29"/>
  <c r="BD101" i="29"/>
  <c r="BE101" i="29"/>
  <c r="CE186" i="1" l="1"/>
  <c r="CE188" i="1"/>
  <c r="CE192" i="1" s="1"/>
  <c r="CD37" i="4"/>
  <c r="BA27" i="3"/>
  <c r="BB23" i="3"/>
  <c r="AZ34" i="3"/>
  <c r="BD109" i="29"/>
  <c r="BH92" i="29"/>
  <c r="BL92" i="29"/>
  <c r="BH101" i="29"/>
  <c r="BH108" i="29"/>
  <c r="BI101" i="29"/>
  <c r="CF16" i="4"/>
  <c r="BK37" i="4"/>
  <c r="BL87" i="4"/>
  <c r="CF40" i="29"/>
  <c r="CF21" i="29"/>
  <c r="CF55" i="29"/>
  <c r="CD57" i="29"/>
  <c r="BM191" i="1"/>
  <c r="BL191" i="1"/>
  <c r="BL189" i="1"/>
  <c r="BL190" i="1" s="1"/>
  <c r="CD36" i="4"/>
  <c r="BH84" i="3"/>
  <c r="BL108" i="29"/>
  <c r="BM101" i="29"/>
  <c r="BL101" i="29"/>
  <c r="CE21" i="29"/>
  <c r="CE42" i="29" s="1"/>
  <c r="CE55" i="29"/>
  <c r="BI12" i="4"/>
  <c r="CF66" i="29"/>
  <c r="CF188" i="1"/>
  <c r="CF189" i="1" s="1"/>
  <c r="CF186" i="1"/>
  <c r="BL84" i="3"/>
  <c r="CE14" i="4"/>
  <c r="BH12" i="4"/>
  <c r="CE70" i="4"/>
  <c r="CE309" i="1"/>
  <c r="AZ39" i="4"/>
  <c r="CC109" i="29"/>
  <c r="CD108" i="29"/>
  <c r="CF14" i="4"/>
  <c r="BL12" i="4"/>
  <c r="CE52" i="4"/>
  <c r="CE241" i="1"/>
  <c r="CE189" i="1"/>
  <c r="CE190" i="1" s="1"/>
  <c r="CE66" i="29"/>
  <c r="CE92" i="29" s="1"/>
  <c r="CF91" i="29"/>
  <c r="CF70" i="4"/>
  <c r="CF309" i="1"/>
  <c r="BH36" i="4"/>
  <c r="CE11" i="4"/>
  <c r="BH37" i="4"/>
  <c r="BB295" i="1"/>
  <c r="BB298" i="1" s="1"/>
  <c r="BA300" i="1"/>
  <c r="CF243" i="1"/>
  <c r="CF241" i="1"/>
  <c r="CF52" i="4"/>
  <c r="CE91" i="29"/>
  <c r="BM12" i="4"/>
  <c r="BD85" i="3"/>
  <c r="BE85" i="3"/>
  <c r="BL36" i="4"/>
  <c r="CF11" i="4"/>
  <c r="CF185" i="1"/>
  <c r="CD42" i="29"/>
  <c r="CE40" i="29"/>
  <c r="CE16" i="4"/>
  <c r="CD12" i="4"/>
  <c r="CF220" i="1"/>
  <c r="CF56" i="29" s="1"/>
  <c r="CF192" i="1" l="1"/>
  <c r="CF42" i="29"/>
  <c r="CF57" i="29"/>
  <c r="BH109" i="29"/>
  <c r="CF36" i="4"/>
  <c r="BL109" i="29"/>
  <c r="AZ41" i="4"/>
  <c r="BA39" i="4"/>
  <c r="CE12" i="4"/>
  <c r="CE57" i="29"/>
  <c r="CD109" i="29"/>
  <c r="BB27" i="3"/>
  <c r="BC23" i="3"/>
  <c r="CC23" i="3"/>
  <c r="BC295" i="1"/>
  <c r="BC298" i="1" s="1"/>
  <c r="CC298" i="1"/>
  <c r="BB300" i="1"/>
  <c r="CC300" i="1" s="1"/>
  <c r="CF12" i="4"/>
  <c r="CF190" i="1"/>
  <c r="BA34" i="3"/>
  <c r="CE36" i="4"/>
  <c r="BH85" i="3"/>
  <c r="BI85" i="3"/>
  <c r="BL37" i="4"/>
  <c r="BM87" i="4"/>
  <c r="BN87" i="4" s="1"/>
  <c r="CE37" i="4"/>
  <c r="CF92" i="29"/>
  <c r="CE108" i="29"/>
  <c r="BL85" i="3"/>
  <c r="BM85" i="3"/>
  <c r="CF108" i="29"/>
  <c r="BA41" i="4" l="1"/>
  <c r="BC27" i="3"/>
  <c r="BD23" i="3"/>
  <c r="BC300" i="1"/>
  <c r="BD295" i="1"/>
  <c r="BD298" i="1" s="1"/>
  <c r="CF109" i="29"/>
  <c r="BN37" i="4"/>
  <c r="BM37" i="4"/>
  <c r="BB39" i="4"/>
  <c r="BB34" i="3"/>
  <c r="CC27" i="3"/>
  <c r="CE109" i="29"/>
  <c r="CD295" i="1"/>
  <c r="BB41" i="4" l="1"/>
  <c r="CC39" i="4"/>
  <c r="CC34" i="3"/>
  <c r="BC39" i="4"/>
  <c r="CF37" i="4"/>
  <c r="BE23" i="3"/>
  <c r="BD27" i="3"/>
  <c r="BD300" i="1"/>
  <c r="BE295" i="1"/>
  <c r="BE298" i="1" s="1"/>
  <c r="BC34" i="3"/>
  <c r="BE27" i="3" l="1"/>
  <c r="BF23" i="3"/>
  <c r="BE300" i="1"/>
  <c r="BF295" i="1"/>
  <c r="BF298" i="1" s="1"/>
  <c r="BD39" i="4"/>
  <c r="BC41" i="4"/>
  <c r="BD34" i="3"/>
  <c r="CC41" i="4"/>
  <c r="CD298" i="1" l="1"/>
  <c r="BF300" i="1"/>
  <c r="BG295" i="1"/>
  <c r="BG298" i="1" s="1"/>
  <c r="BG23" i="3"/>
  <c r="BF27" i="3"/>
  <c r="CD23" i="3"/>
  <c r="BE39" i="4"/>
  <c r="BE34" i="3"/>
  <c r="BD41" i="4"/>
  <c r="BH295" i="1" l="1"/>
  <c r="BH298" i="1" s="1"/>
  <c r="BG300" i="1"/>
  <c r="BF39" i="4"/>
  <c r="CE295" i="1"/>
  <c r="CD27" i="3"/>
  <c r="BF34" i="3"/>
  <c r="CD300" i="1"/>
  <c r="BE41" i="4"/>
  <c r="BH23" i="3"/>
  <c r="BG27" i="3"/>
  <c r="BG34" i="3" l="1"/>
  <c r="BF41" i="4"/>
  <c r="CD41" i="4" s="1"/>
  <c r="BH27" i="3"/>
  <c r="BI23" i="3"/>
  <c r="CD34" i="3"/>
  <c r="CD39" i="4"/>
  <c r="BG39" i="4"/>
  <c r="BH300" i="1"/>
  <c r="BI295" i="1"/>
  <c r="BI298" i="1" s="1"/>
  <c r="BG41" i="4" l="1"/>
  <c r="BH34" i="3"/>
  <c r="BI300" i="1"/>
  <c r="BJ295" i="1"/>
  <c r="BJ298" i="1" s="1"/>
  <c r="BI27" i="3"/>
  <c r="BJ23" i="3"/>
  <c r="BH39" i="4"/>
  <c r="CE23" i="3" l="1"/>
  <c r="BJ27" i="3"/>
  <c r="BK23" i="3"/>
  <c r="BK295" i="1"/>
  <c r="BK298" i="1" s="1"/>
  <c r="BJ300" i="1"/>
  <c r="CE300" i="1" s="1"/>
  <c r="CE298" i="1"/>
  <c r="BI34" i="3"/>
  <c r="BI39" i="4"/>
  <c r="BH41" i="4"/>
  <c r="BK27" i="3" l="1"/>
  <c r="BL23" i="3"/>
  <c r="CE27" i="3"/>
  <c r="BJ34" i="3"/>
  <c r="CF295" i="1"/>
  <c r="BJ39" i="4"/>
  <c r="BK300" i="1"/>
  <c r="BL295" i="1"/>
  <c r="BL298" i="1" s="1"/>
  <c r="BI41" i="4"/>
  <c r="CE39" i="4"/>
  <c r="BM295" i="1" l="1"/>
  <c r="BM298" i="1" s="1"/>
  <c r="BL300" i="1"/>
  <c r="BL27" i="3"/>
  <c r="BM23" i="3"/>
  <c r="BK39" i="4"/>
  <c r="BJ41" i="4"/>
  <c r="CE41" i="4" s="1"/>
  <c r="BK34" i="3"/>
  <c r="CE34" i="3"/>
  <c r="BN295" i="1" l="1"/>
  <c r="BN298" i="1" s="1"/>
  <c r="BM300" i="1"/>
  <c r="BM27" i="3"/>
  <c r="BN23" i="3"/>
  <c r="BL39" i="4"/>
  <c r="BK41" i="4"/>
  <c r="BL34" i="3"/>
  <c r="BM39" i="4" l="1"/>
  <c r="BN27" i="3"/>
  <c r="CF23" i="3"/>
  <c r="CF298" i="1"/>
  <c r="BN300" i="1"/>
  <c r="BM34" i="3"/>
  <c r="BL41" i="4"/>
  <c r="BM41" i="4" l="1"/>
  <c r="CF300" i="1"/>
  <c r="BN39" i="4"/>
  <c r="CF27" i="3"/>
  <c r="BN34" i="3"/>
  <c r="CF34" i="3" l="1"/>
  <c r="CF39" i="4"/>
  <c r="BN41" i="4"/>
  <c r="AV193" i="1"/>
  <c r="CF41" i="4" l="1"/>
  <c r="AV74" i="29"/>
  <c r="AV195" i="1"/>
  <c r="AV272" i="1"/>
  <c r="AV63" i="4" l="1"/>
  <c r="AV200" i="1"/>
  <c r="AV196" i="1"/>
  <c r="AV78" i="29"/>
  <c r="AV201" i="1" l="1"/>
  <c r="AV203" i="1"/>
  <c r="AV205" i="1"/>
  <c r="AV81" i="29"/>
  <c r="AV93" i="29"/>
  <c r="AV102" i="29"/>
  <c r="AV110" i="29"/>
  <c r="AV83" i="29" l="1"/>
  <c r="AV94" i="29"/>
  <c r="AV103" i="29"/>
  <c r="AV111" i="29"/>
  <c r="AV6" i="4"/>
  <c r="AV206" i="1"/>
  <c r="AV84" i="29" l="1"/>
  <c r="AW83" i="29"/>
  <c r="AX83" i="29"/>
  <c r="AV104" i="29" l="1"/>
  <c r="AV112" i="29"/>
  <c r="AV95" i="29"/>
  <c r="AV276" i="1" l="1"/>
  <c r="AW276" i="1" s="1"/>
  <c r="AX276" i="1" l="1"/>
  <c r="AW275" i="1" l="1"/>
  <c r="AY276" i="1"/>
  <c r="AW179" i="1" l="1"/>
  <c r="AW272" i="1"/>
  <c r="AW104" i="3"/>
  <c r="AZ276" i="1"/>
  <c r="AV20" i="4"/>
  <c r="AV54" i="4"/>
  <c r="AV65" i="4" l="1"/>
  <c r="AV56" i="4"/>
  <c r="AV58" i="4"/>
  <c r="AV19" i="29" s="1"/>
  <c r="AV55" i="4"/>
  <c r="AW103" i="3"/>
  <c r="AW18" i="3"/>
  <c r="AV48" i="4"/>
  <c r="AW72" i="29"/>
  <c r="AW74" i="29"/>
  <c r="AW195" i="1"/>
  <c r="BA276" i="1"/>
  <c r="AW8" i="4" l="1"/>
  <c r="AV59" i="4"/>
  <c r="AV61" i="4"/>
  <c r="AV60" i="4"/>
  <c r="BB276" i="1"/>
  <c r="AV72" i="4"/>
  <c r="AV49" i="4"/>
  <c r="AV50" i="4"/>
  <c r="AW63" i="4"/>
  <c r="AW196" i="1"/>
  <c r="AX275" i="1"/>
  <c r="AV76" i="29"/>
  <c r="AV66" i="4"/>
  <c r="AV67" i="4"/>
  <c r="AV68" i="4"/>
  <c r="AX193" i="1" l="1"/>
  <c r="AX179" i="1"/>
  <c r="AX104" i="3"/>
  <c r="AX272" i="1"/>
  <c r="CB275" i="1"/>
  <c r="AW54" i="4"/>
  <c r="AW65" i="4" s="1"/>
  <c r="AV73" i="4"/>
  <c r="AV75" i="4"/>
  <c r="AV74" i="4"/>
  <c r="AW102" i="29"/>
  <c r="AW93" i="29"/>
  <c r="AW110" i="29"/>
  <c r="BC276" i="1"/>
  <c r="AV41" i="29"/>
  <c r="AW68" i="4" l="1"/>
  <c r="AW67" i="4"/>
  <c r="AW76" i="29"/>
  <c r="AW66" i="4"/>
  <c r="CB193" i="1"/>
  <c r="CB272" i="1"/>
  <c r="AX103" i="3"/>
  <c r="CB104" i="3"/>
  <c r="AX18" i="3"/>
  <c r="AX72" i="29"/>
  <c r="CB179" i="1"/>
  <c r="AX195" i="1"/>
  <c r="AX74" i="29"/>
  <c r="BD276" i="1"/>
  <c r="AW55" i="4"/>
  <c r="AW58" i="4"/>
  <c r="AW56" i="4"/>
  <c r="CB74" i="29" l="1"/>
  <c r="CB195" i="1"/>
  <c r="CB18" i="3"/>
  <c r="AY275" i="1"/>
  <c r="AX63" i="4"/>
  <c r="AX196" i="1"/>
  <c r="BE276" i="1"/>
  <c r="CB72" i="29"/>
  <c r="AW19" i="29"/>
  <c r="AW60" i="4"/>
  <c r="AW61" i="4"/>
  <c r="AW59" i="4"/>
  <c r="AX78" i="29"/>
  <c r="AX8" i="4"/>
  <c r="CB103" i="3"/>
  <c r="BF276" i="1" l="1"/>
  <c r="CB63" i="4"/>
  <c r="CB196" i="1"/>
  <c r="AW41" i="29"/>
  <c r="AY193" i="1"/>
  <c r="AY104" i="3"/>
  <c r="AY179" i="1"/>
  <c r="AY272" i="1"/>
  <c r="CB78" i="29"/>
  <c r="CB105" i="3"/>
  <c r="AX54" i="4"/>
  <c r="CB8" i="4"/>
  <c r="AX93" i="29"/>
  <c r="AX110" i="29"/>
  <c r="AX102" i="29"/>
  <c r="AX58" i="4" l="1"/>
  <c r="AX55" i="4"/>
  <c r="AX56" i="4"/>
  <c r="BG276" i="1"/>
  <c r="AY74" i="29"/>
  <c r="AY195" i="1"/>
  <c r="CB106" i="3"/>
  <c r="CB107" i="3"/>
  <c r="AX65" i="4"/>
  <c r="CB93" i="29"/>
  <c r="CB110" i="29"/>
  <c r="CB54" i="4"/>
  <c r="AY72" i="29"/>
  <c r="AY103" i="3"/>
  <c r="AY18" i="3"/>
  <c r="AY63" i="4" l="1"/>
  <c r="AY196" i="1"/>
  <c r="AX66" i="4"/>
  <c r="AX67" i="4"/>
  <c r="AX76" i="29"/>
  <c r="AX68" i="4"/>
  <c r="AX59" i="4"/>
  <c r="AX61" i="4"/>
  <c r="AX60" i="4"/>
  <c r="AX19" i="29"/>
  <c r="AY78" i="29"/>
  <c r="AY8" i="4"/>
  <c r="CB58" i="4"/>
  <c r="CB55" i="4"/>
  <c r="CB65" i="4"/>
  <c r="AZ275" i="1"/>
  <c r="BH276" i="1"/>
  <c r="CB76" i="29" l="1"/>
  <c r="CB66" i="4"/>
  <c r="CB68" i="4"/>
  <c r="AZ193" i="1"/>
  <c r="AZ104" i="3"/>
  <c r="AZ179" i="1"/>
  <c r="AZ272" i="1"/>
  <c r="CB19" i="29"/>
  <c r="CB61" i="4"/>
  <c r="CB59" i="4"/>
  <c r="AY54" i="4"/>
  <c r="AY65" i="4" s="1"/>
  <c r="AX41" i="29"/>
  <c r="BI276" i="1"/>
  <c r="AY110" i="29"/>
  <c r="AY93" i="29"/>
  <c r="AY102" i="29"/>
  <c r="AY67" i="4" l="1"/>
  <c r="AY76" i="29"/>
  <c r="AY68" i="4"/>
  <c r="AY66" i="4"/>
  <c r="BJ276" i="1"/>
  <c r="AY56" i="4"/>
  <c r="AY55" i="4"/>
  <c r="AY58" i="4"/>
  <c r="AZ72" i="29"/>
  <c r="AZ103" i="3"/>
  <c r="AZ18" i="3"/>
  <c r="CB41" i="29"/>
  <c r="F9" i="2"/>
  <c r="AZ195" i="1"/>
  <c r="AZ74" i="29"/>
  <c r="AY59" i="4" l="1"/>
  <c r="AY19" i="29"/>
  <c r="AY61" i="4"/>
  <c r="AY60" i="4"/>
  <c r="BA275" i="1"/>
  <c r="AZ63" i="4"/>
  <c r="AZ196" i="1"/>
  <c r="AZ8" i="4"/>
  <c r="AZ78" i="29"/>
  <c r="F22" i="2"/>
  <c r="BK276" i="1"/>
  <c r="AZ93" i="29" l="1"/>
  <c r="AZ110" i="29"/>
  <c r="AZ102" i="29"/>
  <c r="BL276" i="1"/>
  <c r="BA193" i="1"/>
  <c r="BA179" i="1"/>
  <c r="BA104" i="3"/>
  <c r="BA272" i="1"/>
  <c r="AZ54" i="4"/>
  <c r="AZ65" i="4" s="1"/>
  <c r="AY41" i="29"/>
  <c r="BA72" i="29" l="1"/>
  <c r="BA103" i="3"/>
  <c r="BA18" i="3"/>
  <c r="AZ67" i="4"/>
  <c r="AZ68" i="4"/>
  <c r="AZ76" i="29"/>
  <c r="AZ66" i="4"/>
  <c r="BM276" i="1"/>
  <c r="AZ55" i="4"/>
  <c r="AZ56" i="4"/>
  <c r="AZ58" i="4"/>
  <c r="BA195" i="1"/>
  <c r="BA74" i="29"/>
  <c r="BN276" i="1" l="1"/>
  <c r="BA63" i="4"/>
  <c r="BA196" i="1"/>
  <c r="BA8" i="4"/>
  <c r="AZ61" i="4"/>
  <c r="AZ59" i="4"/>
  <c r="AZ60" i="4"/>
  <c r="AZ19" i="29"/>
  <c r="BA78" i="29"/>
  <c r="BB275" i="1"/>
  <c r="BA110" i="29" l="1"/>
  <c r="BA93" i="29"/>
  <c r="BA102" i="29"/>
  <c r="BB193" i="1"/>
  <c r="BB179" i="1"/>
  <c r="BB104" i="3"/>
  <c r="BB272" i="1"/>
  <c r="CC275" i="1"/>
  <c r="BA54" i="4"/>
  <c r="BA65" i="4" s="1"/>
  <c r="AZ41" i="29"/>
  <c r="BB103" i="3" l="1"/>
  <c r="CC104" i="3"/>
  <c r="BB18" i="3"/>
  <c r="CC272" i="1"/>
  <c r="CC193" i="1"/>
  <c r="BA67" i="4"/>
  <c r="BA66" i="4"/>
  <c r="BA68" i="4"/>
  <c r="BA76" i="29"/>
  <c r="BB72" i="29"/>
  <c r="CC179" i="1"/>
  <c r="BB195" i="1"/>
  <c r="BB74" i="29"/>
  <c r="BA56" i="4"/>
  <c r="BA58" i="4"/>
  <c r="BA55" i="4"/>
  <c r="CC18" i="3" l="1"/>
  <c r="BC275" i="1"/>
  <c r="BB78" i="29"/>
  <c r="CC72" i="29"/>
  <c r="BB8" i="4"/>
  <c r="CC103" i="3"/>
  <c r="BA59" i="4"/>
  <c r="BA61" i="4"/>
  <c r="BA19" i="29"/>
  <c r="BA60" i="4"/>
  <c r="BB63" i="4"/>
  <c r="BB196" i="1"/>
  <c r="CC195" i="1"/>
  <c r="CC74" i="29"/>
  <c r="CC105" i="3" l="1"/>
  <c r="CC78" i="29"/>
  <c r="BB54" i="4"/>
  <c r="BB65" i="4" s="1"/>
  <c r="CC8" i="4"/>
  <c r="BA41" i="29"/>
  <c r="CC63" i="4"/>
  <c r="CC196" i="1"/>
  <c r="BC193" i="1"/>
  <c r="BC179" i="1"/>
  <c r="BC104" i="3"/>
  <c r="BC272" i="1"/>
  <c r="BB110" i="29"/>
  <c r="BB93" i="29"/>
  <c r="BB102" i="29"/>
  <c r="CC110" i="29" l="1"/>
  <c r="CC93" i="29"/>
  <c r="BC103" i="3"/>
  <c r="BC18" i="3"/>
  <c r="BC72" i="29"/>
  <c r="CC107" i="3"/>
  <c r="CC106" i="3"/>
  <c r="BC195" i="1"/>
  <c r="BC74" i="29"/>
  <c r="CC54" i="4"/>
  <c r="BB68" i="4"/>
  <c r="BB76" i="29"/>
  <c r="BB66" i="4"/>
  <c r="BB67" i="4"/>
  <c r="BB58" i="4"/>
  <c r="BB55" i="4"/>
  <c r="BB56" i="4"/>
  <c r="BD275" i="1" l="1"/>
  <c r="CC58" i="4"/>
  <c r="CC55" i="4"/>
  <c r="CC65" i="4"/>
  <c r="BC8" i="4"/>
  <c r="BB19" i="29"/>
  <c r="BB61" i="4"/>
  <c r="BB59" i="4"/>
  <c r="BB60" i="4"/>
  <c r="BC78" i="29"/>
  <c r="BC63" i="4"/>
  <c r="BC196" i="1"/>
  <c r="BB41" i="29" l="1"/>
  <c r="BD193" i="1"/>
  <c r="BD104" i="3"/>
  <c r="BD179" i="1"/>
  <c r="BD272" i="1"/>
  <c r="BC54" i="4"/>
  <c r="BC65" i="4" s="1"/>
  <c r="BC110" i="29"/>
  <c r="BC93" i="29"/>
  <c r="BC102" i="29"/>
  <c r="CC76" i="29"/>
  <c r="CC66" i="4"/>
  <c r="CC68" i="4"/>
  <c r="CC19" i="29"/>
  <c r="CC61" i="4"/>
  <c r="CC59" i="4"/>
  <c r="BD72" i="29" l="1"/>
  <c r="BD103" i="3"/>
  <c r="BD18" i="3"/>
  <c r="BC58" i="4"/>
  <c r="BC55" i="4"/>
  <c r="BC56" i="4"/>
  <c r="CC41" i="29"/>
  <c r="G9" i="2"/>
  <c r="BD195" i="1"/>
  <c r="BD74" i="29"/>
  <c r="BC66" i="4"/>
  <c r="BC68" i="4"/>
  <c r="BC76" i="29"/>
  <c r="BC67" i="4"/>
  <c r="BD78" i="29" l="1"/>
  <c r="BD8" i="4"/>
  <c r="BD63" i="4"/>
  <c r="BD196" i="1"/>
  <c r="BC60" i="4"/>
  <c r="BC19" i="29"/>
  <c r="BC61" i="4"/>
  <c r="BC59" i="4"/>
  <c r="BE275" i="1"/>
  <c r="BE193" i="1" l="1"/>
  <c r="BE179" i="1"/>
  <c r="BE104" i="3"/>
  <c r="BE272" i="1"/>
  <c r="BD110" i="29"/>
  <c r="BD93" i="29"/>
  <c r="BD102" i="29"/>
  <c r="BD54" i="4"/>
  <c r="BD65" i="4" s="1"/>
  <c r="BE103" i="3" l="1"/>
  <c r="BE18" i="3"/>
  <c r="BE72" i="29"/>
  <c r="BE74" i="29"/>
  <c r="BE195" i="1"/>
  <c r="BD68" i="4"/>
  <c r="BD76" i="29"/>
  <c r="BD66" i="4"/>
  <c r="BD67" i="4"/>
  <c r="BD55" i="4"/>
  <c r="BD56" i="4"/>
  <c r="BD58" i="4"/>
  <c r="BF275" i="1" l="1"/>
  <c r="BE63" i="4"/>
  <c r="BE196" i="1"/>
  <c r="BD60" i="4"/>
  <c r="BD61" i="4"/>
  <c r="BD19" i="29"/>
  <c r="BD59" i="4"/>
  <c r="BE78" i="29"/>
  <c r="BE8" i="4"/>
  <c r="BF193" i="1" l="1"/>
  <c r="BF104" i="3"/>
  <c r="BF179" i="1"/>
  <c r="BF272" i="1"/>
  <c r="CD275" i="1"/>
  <c r="BE110" i="29"/>
  <c r="BE93" i="29"/>
  <c r="BE102" i="29"/>
  <c r="BE54" i="4"/>
  <c r="CD193" i="1" l="1"/>
  <c r="CD272" i="1"/>
  <c r="BF72" i="29"/>
  <c r="CD179" i="1"/>
  <c r="BF103" i="3"/>
  <c r="CD104" i="3"/>
  <c r="BF18" i="3"/>
  <c r="BF74" i="29"/>
  <c r="BF195" i="1"/>
  <c r="BE58" i="4"/>
  <c r="BE56" i="4"/>
  <c r="BE55" i="4"/>
  <c r="BE65" i="4"/>
  <c r="BF63" i="4" l="1"/>
  <c r="BF196" i="1"/>
  <c r="CD72" i="29"/>
  <c r="BF78" i="29"/>
  <c r="BF8" i="4"/>
  <c r="CD103" i="3"/>
  <c r="BE60" i="4"/>
  <c r="BE59" i="4"/>
  <c r="BE19" i="29"/>
  <c r="BE61" i="4"/>
  <c r="CD195" i="1"/>
  <c r="CD74" i="29"/>
  <c r="BE67" i="4"/>
  <c r="BE68" i="4"/>
  <c r="BE76" i="29"/>
  <c r="BE66" i="4"/>
  <c r="CD18" i="3"/>
  <c r="BG275" i="1"/>
  <c r="BF110" i="29" l="1"/>
  <c r="BF93" i="29"/>
  <c r="BF102" i="29"/>
  <c r="BG193" i="1"/>
  <c r="BG179" i="1"/>
  <c r="BG104" i="3"/>
  <c r="BG272" i="1"/>
  <c r="CD105" i="3"/>
  <c r="CD78" i="29"/>
  <c r="CD63" i="4"/>
  <c r="CD196" i="1"/>
  <c r="BF54" i="4"/>
  <c r="CD8" i="4"/>
  <c r="CD110" i="29" l="1"/>
  <c r="CD93" i="29"/>
  <c r="BF58" i="4"/>
  <c r="BF55" i="4"/>
  <c r="BF56" i="4"/>
  <c r="BF65" i="4"/>
  <c r="CD54" i="4"/>
  <c r="CD65" i="4" s="1"/>
  <c r="BG103" i="3"/>
  <c r="BG18" i="3"/>
  <c r="BG72" i="29"/>
  <c r="CD106" i="3"/>
  <c r="CD107" i="3"/>
  <c r="BG74" i="29"/>
  <c r="BG195" i="1"/>
  <c r="BF19" i="29" l="1"/>
  <c r="BF59" i="4"/>
  <c r="BF60" i="4"/>
  <c r="BF61" i="4"/>
  <c r="BG63" i="4"/>
  <c r="BG196" i="1"/>
  <c r="CD58" i="4"/>
  <c r="CD55" i="4"/>
  <c r="BG8" i="4"/>
  <c r="BH275" i="1"/>
  <c r="BG78" i="29"/>
  <c r="BF76" i="29"/>
  <c r="BF68" i="4"/>
  <c r="BF67" i="4"/>
  <c r="BF66" i="4"/>
  <c r="CD76" i="29"/>
  <c r="CD68" i="4"/>
  <c r="CD66" i="4"/>
  <c r="BG110" i="29" l="1"/>
  <c r="BG93" i="29"/>
  <c r="BG102" i="29"/>
  <c r="BG54" i="4"/>
  <c r="BH193" i="1"/>
  <c r="BH179" i="1"/>
  <c r="BH104" i="3"/>
  <c r="BH272" i="1"/>
  <c r="CD19" i="29"/>
  <c r="CD59" i="4"/>
  <c r="CD61" i="4"/>
  <c r="BH195" i="1" l="1"/>
  <c r="BH74" i="29"/>
  <c r="BH103" i="3"/>
  <c r="BH18" i="3"/>
  <c r="BH72" i="29"/>
  <c r="BG56" i="4"/>
  <c r="BG55" i="4"/>
  <c r="BG58" i="4"/>
  <c r="CD41" i="29"/>
  <c r="H9" i="2"/>
  <c r="BG65" i="4"/>
  <c r="BH78" i="29" l="1"/>
  <c r="BG76" i="29"/>
  <c r="BG68" i="4"/>
  <c r="BG66" i="4"/>
  <c r="BG67" i="4"/>
  <c r="BH63" i="4"/>
  <c r="BH196" i="1"/>
  <c r="BG61" i="4"/>
  <c r="BG60" i="4"/>
  <c r="BG59" i="4"/>
  <c r="BG19" i="29"/>
  <c r="BI275" i="1"/>
  <c r="BH8" i="4"/>
  <c r="BH110" i="29" l="1"/>
  <c r="BH93" i="29"/>
  <c r="BH102" i="29"/>
  <c r="BH54" i="4"/>
  <c r="BH65" i="4" s="1"/>
  <c r="BI193" i="1"/>
  <c r="BI104" i="3"/>
  <c r="BI179" i="1"/>
  <c r="BI272" i="1"/>
  <c r="BH68" i="4" l="1"/>
  <c r="BH67" i="4"/>
  <c r="BH66" i="4"/>
  <c r="BH76" i="29"/>
  <c r="BH58" i="4"/>
  <c r="BH55" i="4"/>
  <c r="BH56" i="4"/>
  <c r="BI103" i="3"/>
  <c r="BI18" i="3"/>
  <c r="BI195" i="1"/>
  <c r="BI74" i="29"/>
  <c r="BI72" i="29"/>
  <c r="BI63" i="4" l="1"/>
  <c r="BI196" i="1"/>
  <c r="BI78" i="29"/>
  <c r="BI8" i="4"/>
  <c r="BH19" i="29"/>
  <c r="BH59" i="4"/>
  <c r="BH61" i="4"/>
  <c r="BH60" i="4"/>
  <c r="BJ275" i="1"/>
  <c r="BI110" i="29" l="1"/>
  <c r="BI93" i="29"/>
  <c r="BI102" i="29"/>
  <c r="BI54" i="4"/>
  <c r="BJ193" i="1"/>
  <c r="BJ104" i="3"/>
  <c r="BJ179" i="1"/>
  <c r="BJ272" i="1"/>
  <c r="CE275" i="1"/>
  <c r="BJ195" i="1" l="1"/>
  <c r="BJ74" i="29"/>
  <c r="BI56" i="4"/>
  <c r="BI58" i="4"/>
  <c r="BI55" i="4"/>
  <c r="CE193" i="1"/>
  <c r="CE272" i="1"/>
  <c r="BJ72" i="29"/>
  <c r="CE179" i="1"/>
  <c r="BI65" i="4"/>
  <c r="BJ103" i="3"/>
  <c r="CE104" i="3"/>
  <c r="BJ18" i="3"/>
  <c r="CE72" i="29" l="1"/>
  <c r="CE74" i="29"/>
  <c r="CE195" i="1"/>
  <c r="CE18" i="3"/>
  <c r="BK275" i="1"/>
  <c r="BJ63" i="4"/>
  <c r="BJ196" i="1"/>
  <c r="BJ78" i="29"/>
  <c r="BJ8" i="4"/>
  <c r="CE103" i="3"/>
  <c r="BI76" i="29"/>
  <c r="BI66" i="4"/>
  <c r="BI67" i="4"/>
  <c r="BI68" i="4"/>
  <c r="BI61" i="4"/>
  <c r="BI19" i="29"/>
  <c r="BI60" i="4"/>
  <c r="BI59" i="4"/>
  <c r="BK193" i="1" l="1"/>
  <c r="BK179" i="1"/>
  <c r="BK104" i="3"/>
  <c r="BK272" i="1"/>
  <c r="CE78" i="29"/>
  <c r="BJ110" i="29"/>
  <c r="BJ93" i="29"/>
  <c r="BJ102" i="29"/>
  <c r="BJ54" i="4"/>
  <c r="BJ65" i="4" s="1"/>
  <c r="CE8" i="4"/>
  <c r="CE105" i="3"/>
  <c r="CE63" i="4"/>
  <c r="CE196" i="1"/>
  <c r="BJ76" i="29" l="1"/>
  <c r="BJ68" i="4"/>
  <c r="BJ67" i="4"/>
  <c r="BJ66" i="4"/>
  <c r="BK103" i="3"/>
  <c r="BK18" i="3"/>
  <c r="BK72" i="29"/>
  <c r="CE107" i="3"/>
  <c r="CE106" i="3"/>
  <c r="CE54" i="4"/>
  <c r="CE65" i="4" s="1"/>
  <c r="BK74" i="29"/>
  <c r="BK195" i="1"/>
  <c r="BJ58" i="4"/>
  <c r="BJ56" i="4"/>
  <c r="BJ55" i="4"/>
  <c r="CE110" i="29"/>
  <c r="CE93" i="29"/>
  <c r="BK8" i="4" l="1"/>
  <c r="CE58" i="4"/>
  <c r="CE55" i="4"/>
  <c r="BJ60" i="4"/>
  <c r="BJ59" i="4"/>
  <c r="BJ61" i="4"/>
  <c r="BJ19" i="29"/>
  <c r="BK78" i="29"/>
  <c r="CE66" i="4"/>
  <c r="CE76" i="29"/>
  <c r="CE68" i="4"/>
  <c r="BK63" i="4"/>
  <c r="BK196" i="1"/>
  <c r="BL275" i="1"/>
  <c r="BK54" i="4" l="1"/>
  <c r="BK65" i="4" s="1"/>
  <c r="BK110" i="29"/>
  <c r="BK93" i="29"/>
  <c r="BK102" i="29"/>
  <c r="BL193" i="1"/>
  <c r="BL179" i="1"/>
  <c r="BL104" i="3"/>
  <c r="BL272" i="1"/>
  <c r="CE19" i="29"/>
  <c r="CE61" i="4"/>
  <c r="CE59" i="4"/>
  <c r="BL103" i="3" l="1"/>
  <c r="BL18" i="3"/>
  <c r="BK58" i="4"/>
  <c r="BK55" i="4"/>
  <c r="BK56" i="4"/>
  <c r="BK68" i="4"/>
  <c r="BK66" i="4"/>
  <c r="BK76" i="29"/>
  <c r="BK67" i="4"/>
  <c r="BL72" i="29"/>
  <c r="BL195" i="1"/>
  <c r="BL74" i="29"/>
  <c r="CE41" i="29"/>
  <c r="I9" i="2"/>
  <c r="BL63" i="4" l="1"/>
  <c r="BL196" i="1"/>
  <c r="BK61" i="4"/>
  <c r="BK60" i="4"/>
  <c r="BK19" i="29"/>
  <c r="BK59" i="4"/>
  <c r="BM275" i="1"/>
  <c r="BL8" i="4"/>
  <c r="BL78" i="29"/>
  <c r="BM193" i="1" l="1"/>
  <c r="BM104" i="3"/>
  <c r="BM179" i="1"/>
  <c r="BM272" i="1"/>
  <c r="BL54" i="4"/>
  <c r="BL110" i="29"/>
  <c r="BL93" i="29"/>
  <c r="BL102" i="29"/>
  <c r="BL56" i="4" l="1"/>
  <c r="BL55" i="4"/>
  <c r="BL58" i="4"/>
  <c r="BM72" i="29"/>
  <c r="BM103" i="3"/>
  <c r="BM18" i="3"/>
  <c r="BM74" i="29"/>
  <c r="BM195" i="1"/>
  <c r="BL65" i="4"/>
  <c r="BM78" i="29" l="1"/>
  <c r="BN275" i="1"/>
  <c r="BM63" i="4"/>
  <c r="BM196" i="1"/>
  <c r="BL60" i="4"/>
  <c r="BL59" i="4"/>
  <c r="BL19" i="29"/>
  <c r="BL61" i="4"/>
  <c r="BL67" i="4"/>
  <c r="BL68" i="4"/>
  <c r="BL66" i="4"/>
  <c r="BL76" i="29"/>
  <c r="BM8" i="4"/>
  <c r="BM54" i="4" l="1"/>
  <c r="BM110" i="29"/>
  <c r="BM93" i="29"/>
  <c r="BM102" i="29"/>
  <c r="BN193" i="1"/>
  <c r="BN179" i="1"/>
  <c r="BN104" i="3"/>
  <c r="BN272" i="1"/>
  <c r="CF275" i="1"/>
  <c r="BN72" i="29" l="1"/>
  <c r="CF179" i="1"/>
  <c r="BM56" i="4"/>
  <c r="BM55" i="4"/>
  <c r="BM58" i="4"/>
  <c r="BN74" i="29"/>
  <c r="BN195" i="1"/>
  <c r="CF193" i="1"/>
  <c r="CF272" i="1"/>
  <c r="BM65" i="4"/>
  <c r="BN103" i="3"/>
  <c r="CF104" i="3"/>
  <c r="BN18" i="3"/>
  <c r="CF74" i="29" l="1"/>
  <c r="CF195" i="1"/>
  <c r="BM61" i="4"/>
  <c r="BM59" i="4"/>
  <c r="BM19" i="29"/>
  <c r="BM60" i="4"/>
  <c r="BM67" i="4"/>
  <c r="BM66" i="4"/>
  <c r="BM76" i="29"/>
  <c r="BM68" i="4"/>
  <c r="BN78" i="29"/>
  <c r="BN8" i="4"/>
  <c r="CF103" i="3"/>
  <c r="CF18" i="3"/>
  <c r="BN63" i="4"/>
  <c r="BN196" i="1"/>
  <c r="CF72" i="29"/>
  <c r="CF105" i="3" l="1"/>
  <c r="BN54" i="4"/>
  <c r="BN65" i="4" s="1"/>
  <c r="CF8" i="4"/>
  <c r="CF63" i="4"/>
  <c r="CF196" i="1"/>
  <c r="BN110" i="29"/>
  <c r="BN93" i="29"/>
  <c r="BN102" i="29"/>
  <c r="CF78" i="29"/>
  <c r="BN76" i="29" l="1"/>
  <c r="BN67" i="4"/>
  <c r="BN68" i="4"/>
  <c r="BN66" i="4"/>
  <c r="CF107" i="3"/>
  <c r="CF106" i="3"/>
  <c r="BN58" i="4"/>
  <c r="BN56" i="4"/>
  <c r="BN55" i="4"/>
  <c r="CF110" i="29"/>
  <c r="CF93" i="29"/>
  <c r="CF54" i="4"/>
  <c r="CF58" i="4" l="1"/>
  <c r="CF55" i="4"/>
  <c r="BN19" i="29"/>
  <c r="BN61" i="4"/>
  <c r="BN59" i="4"/>
  <c r="BN60" i="4"/>
  <c r="CF65" i="4"/>
  <c r="CF76" i="29" l="1"/>
  <c r="CF66" i="4"/>
  <c r="CF68" i="4"/>
  <c r="CF19" i="29"/>
  <c r="CF59" i="4"/>
  <c r="CF61" i="4"/>
  <c r="J9" i="2" l="1"/>
  <c r="CF41" i="29"/>
  <c r="AV87" i="29" l="1"/>
  <c r="AV209" i="1"/>
  <c r="AV301" i="1"/>
  <c r="AV208" i="1" l="1"/>
  <c r="AV86" i="29"/>
  <c r="AV96" i="29" l="1"/>
  <c r="AV105" i="29"/>
  <c r="AV58" i="29" l="1"/>
  <c r="AV57" i="29"/>
  <c r="AV43" i="29"/>
  <c r="AV51" i="29"/>
  <c r="AV42" i="29"/>
  <c r="AW50" i="29"/>
  <c r="AV50" i="29"/>
  <c r="AV40" i="29"/>
  <c r="AV49" i="29"/>
  <c r="AW49" i="29"/>
  <c r="AV55" i="29"/>
  <c r="AZ55" i="29" s="1"/>
  <c r="BD55" i="29" l="1"/>
  <c r="AZ12" i="29"/>
  <c r="AZ40" i="29" l="1"/>
  <c r="AZ21" i="29"/>
  <c r="AZ49" i="29"/>
  <c r="BA49" i="29"/>
  <c r="BH55" i="29"/>
  <c r="BD12" i="29"/>
  <c r="BD49" i="29" l="1"/>
  <c r="BD21" i="29"/>
  <c r="BD42" i="29" s="1"/>
  <c r="BE49" i="29"/>
  <c r="AZ57" i="29"/>
  <c r="AZ50" i="29"/>
  <c r="BA50" i="29"/>
  <c r="AZ42" i="29"/>
  <c r="BH12" i="29"/>
  <c r="BL55" i="29"/>
  <c r="BD40" i="29"/>
  <c r="BL12" i="29" l="1"/>
  <c r="BH49" i="29"/>
  <c r="BI49" i="29"/>
  <c r="BH21" i="29"/>
  <c r="BL40" i="29"/>
  <c r="BD57" i="29"/>
  <c r="BD50" i="29"/>
  <c r="BE50" i="29"/>
  <c r="BH40" i="29"/>
  <c r="BH50" i="29" l="1"/>
  <c r="BH57" i="29"/>
  <c r="BI50" i="29"/>
  <c r="BH42" i="29"/>
  <c r="BM49" i="29"/>
  <c r="BL49" i="29"/>
  <c r="BL21" i="29"/>
  <c r="BL42" i="29" s="1"/>
  <c r="BM50" i="29" l="1"/>
  <c r="BL57" i="29"/>
  <c r="BL50" i="29"/>
  <c r="AV41" i="4"/>
  <c r="AV44" i="4" s="1"/>
  <c r="CB15" i="9"/>
  <c r="CB32" i="4"/>
  <c r="AV15" i="9"/>
  <c r="AV16" i="9" s="1"/>
  <c r="AV17" i="9" l="1"/>
  <c r="AW14" i="9"/>
  <c r="AV45" i="4"/>
  <c r="AW16" i="9"/>
  <c r="AX14" i="9" s="1"/>
  <c r="CB41" i="4"/>
  <c r="AV19" i="9" l="1"/>
  <c r="AV22" i="9" s="1"/>
  <c r="AV30" i="9" s="1"/>
  <c r="AW17" i="9"/>
  <c r="AW19" i="9" s="1"/>
  <c r="AW22" i="9" s="1"/>
  <c r="AW30" i="9" s="1"/>
  <c r="AW7" i="9"/>
  <c r="AV7" i="3"/>
  <c r="AV36" i="9" s="1"/>
  <c r="AV8" i="9"/>
  <c r="AV11" i="9" s="1"/>
  <c r="AX16" i="9"/>
  <c r="AV35" i="9" l="1"/>
  <c r="AV37" i="9"/>
  <c r="AV39" i="9"/>
  <c r="AV77" i="4"/>
  <c r="AY14" i="9"/>
  <c r="CB16" i="9"/>
  <c r="CB17" i="9" s="1"/>
  <c r="AV14" i="3"/>
  <c r="AV48" i="3"/>
  <c r="AX17" i="9"/>
  <c r="AX19" i="9" s="1"/>
  <c r="AV79" i="4" l="1"/>
  <c r="AV81" i="4"/>
  <c r="AV78" i="4"/>
  <c r="AV21" i="3"/>
  <c r="AV39" i="3" s="1"/>
  <c r="AW39" i="9"/>
  <c r="AW34" i="9"/>
  <c r="AX22" i="9"/>
  <c r="CB19" i="9"/>
  <c r="AY16" i="9"/>
  <c r="AZ14" i="9" s="1"/>
  <c r="AY17" i="9"/>
  <c r="AY19" i="9" s="1"/>
  <c r="CC14" i="9"/>
  <c r="CC18" i="9" s="1"/>
  <c r="AW39" i="3" l="1"/>
  <c r="AV43" i="3"/>
  <c r="AW41" i="9"/>
  <c r="AY22" i="9"/>
  <c r="AZ16" i="9"/>
  <c r="BA14" i="9" s="1"/>
  <c r="AX30" i="9"/>
  <c r="CB22" i="9"/>
  <c r="CB30" i="9" s="1"/>
  <c r="AV45" i="3" l="1"/>
  <c r="AX39" i="3"/>
  <c r="AW198" i="1"/>
  <c r="AY30" i="9"/>
  <c r="AZ17" i="9"/>
  <c r="AZ19" i="9" s="1"/>
  <c r="BA16" i="9"/>
  <c r="BB14" i="9" s="1"/>
  <c r="AV46" i="3" l="1"/>
  <c r="AY39" i="3"/>
  <c r="CB39" i="3"/>
  <c r="AW291" i="1"/>
  <c r="AW79" i="29"/>
  <c r="AW200" i="1"/>
  <c r="AW22" i="29"/>
  <c r="BB16" i="9"/>
  <c r="BA17" i="9"/>
  <c r="BA19" i="9" s="1"/>
  <c r="BA22" i="9" s="1"/>
  <c r="BA30" i="9" s="1"/>
  <c r="AZ22" i="9"/>
  <c r="AZ39" i="3" l="1"/>
  <c r="AW81" i="29"/>
  <c r="AW202" i="1"/>
  <c r="AW205" i="1" s="1"/>
  <c r="AW201" i="1"/>
  <c r="AW24" i="29"/>
  <c r="AZ30" i="9"/>
  <c r="AW248" i="1"/>
  <c r="AW247" i="1"/>
  <c r="AW246" i="1"/>
  <c r="BC14" i="9"/>
  <c r="CC16" i="9"/>
  <c r="CC17" i="9" s="1"/>
  <c r="BB17" i="9"/>
  <c r="BB19" i="9" s="1"/>
  <c r="BA39" i="3" l="1"/>
  <c r="AW206" i="1"/>
  <c r="AW6" i="4"/>
  <c r="BB22" i="9"/>
  <c r="CC19" i="9"/>
  <c r="AW25" i="29"/>
  <c r="AW94" i="29"/>
  <c r="AW103" i="29"/>
  <c r="AW111" i="29"/>
  <c r="AW82" i="29"/>
  <c r="AW84" i="29" s="1"/>
  <c r="AW290" i="1"/>
  <c r="BC16" i="9"/>
  <c r="BD14" i="9" s="1"/>
  <c r="CD14" i="9"/>
  <c r="CD18" i="9" s="1"/>
  <c r="BB39" i="3" l="1"/>
  <c r="BC17" i="9"/>
  <c r="BC19" i="9" s="1"/>
  <c r="BC22" i="9" s="1"/>
  <c r="BB30" i="9"/>
  <c r="CC22" i="9"/>
  <c r="CC30" i="9" s="1"/>
  <c r="AW41" i="3"/>
  <c r="AW20" i="4"/>
  <c r="AW28" i="29"/>
  <c r="AW301" i="1"/>
  <c r="AW112" i="29"/>
  <c r="AW104" i="29"/>
  <c r="AW95" i="29"/>
  <c r="AW303" i="1"/>
  <c r="BD16" i="9"/>
  <c r="BE14" i="9" s="1"/>
  <c r="CC39" i="3" l="1"/>
  <c r="BC39" i="3"/>
  <c r="BD17" i="9"/>
  <c r="BD19" i="9" s="1"/>
  <c r="BD22" i="9" s="1"/>
  <c r="BD30" i="9" s="1"/>
  <c r="AW43" i="3"/>
  <c r="AW48" i="4"/>
  <c r="AW44" i="4"/>
  <c r="BE16" i="9"/>
  <c r="BF14" i="9" s="1"/>
  <c r="BC30" i="9"/>
  <c r="AW302" i="1"/>
  <c r="AW58" i="29"/>
  <c r="AW43" i="29"/>
  <c r="AW51" i="29"/>
  <c r="BD39" i="3" l="1"/>
  <c r="AW45" i="3"/>
  <c r="BF16" i="9"/>
  <c r="BE17" i="9"/>
  <c r="BE19" i="9" s="1"/>
  <c r="AW77" i="4"/>
  <c r="AW72" i="4"/>
  <c r="AW49" i="4"/>
  <c r="AW50" i="4"/>
  <c r="AW45" i="4"/>
  <c r="AW209" i="1"/>
  <c r="AW304" i="1"/>
  <c r="AW87" i="29"/>
  <c r="BE39" i="3" l="1"/>
  <c r="CD16" i="9"/>
  <c r="CD17" i="9" s="1"/>
  <c r="BG14" i="9"/>
  <c r="AW7" i="3"/>
  <c r="AX7" i="9"/>
  <c r="AW8" i="9"/>
  <c r="AW11" i="9" s="1"/>
  <c r="AW75" i="4"/>
  <c r="AW73" i="4"/>
  <c r="AW74" i="4"/>
  <c r="BF17" i="9"/>
  <c r="BF19" i="9" s="1"/>
  <c r="BF22" i="9" s="1"/>
  <c r="BF30" i="9" s="1"/>
  <c r="AW86" i="29"/>
  <c r="AW208" i="1"/>
  <c r="AW78" i="4"/>
  <c r="AW81" i="4"/>
  <c r="AW79" i="4"/>
  <c r="AW254" i="1"/>
  <c r="AW33" i="29"/>
  <c r="BE22" i="9"/>
  <c r="BF39" i="3" l="1"/>
  <c r="CE14" i="9"/>
  <c r="CE18" i="9" s="1"/>
  <c r="BG16" i="9"/>
  <c r="BH14" i="9" s="1"/>
  <c r="BG17" i="9"/>
  <c r="BG19" i="9" s="1"/>
  <c r="AW32" i="29"/>
  <c r="AW250" i="1"/>
  <c r="CD19" i="9"/>
  <c r="AW36" i="9"/>
  <c r="AW14" i="3"/>
  <c r="AW48" i="3"/>
  <c r="AW96" i="29"/>
  <c r="AW105" i="29"/>
  <c r="BE30" i="9"/>
  <c r="CD22" i="9"/>
  <c r="CD30" i="9" s="1"/>
  <c r="CD39" i="3" l="1"/>
  <c r="BG39" i="3"/>
  <c r="BG22" i="9"/>
  <c r="AW252" i="1"/>
  <c r="AW21" i="3"/>
  <c r="BH16" i="9"/>
  <c r="BI14" i="9" s="1"/>
  <c r="AW44" i="29"/>
  <c r="AX34" i="9"/>
  <c r="AW35" i="9"/>
  <c r="AX39" i="9"/>
  <c r="AW37" i="9"/>
  <c r="BH39" i="3" l="1"/>
  <c r="AW46" i="3"/>
  <c r="AX41" i="9"/>
  <c r="BI16" i="9"/>
  <c r="BJ14" i="9" s="1"/>
  <c r="BH17" i="9"/>
  <c r="BH19" i="9" s="1"/>
  <c r="BG30" i="9"/>
  <c r="BI39" i="3" l="1"/>
  <c r="BI17" i="9"/>
  <c r="BI19" i="9" s="1"/>
  <c r="BI22" i="9" s="1"/>
  <c r="BI30" i="9" s="1"/>
  <c r="AX198" i="1"/>
  <c r="BH22" i="9"/>
  <c r="BJ16" i="9"/>
  <c r="BJ17" i="9" s="1"/>
  <c r="BJ19" i="9" s="1"/>
  <c r="BJ22" i="9" s="1"/>
  <c r="BJ30" i="9" s="1"/>
  <c r="BJ39" i="3" l="1"/>
  <c r="AX200" i="1"/>
  <c r="AX22" i="29"/>
  <c r="AX79" i="29"/>
  <c r="AX291" i="1"/>
  <c r="CB291" i="1" s="1"/>
  <c r="CB198" i="1"/>
  <c r="CE16" i="9"/>
  <c r="CE17" i="9" s="1"/>
  <c r="BK14" i="9"/>
  <c r="BH30" i="9"/>
  <c r="CE22" i="9"/>
  <c r="CE30" i="9" s="1"/>
  <c r="CE19" i="9"/>
  <c r="AX245" i="1" l="1"/>
  <c r="BK39" i="3"/>
  <c r="CE39" i="3"/>
  <c r="CB292" i="1"/>
  <c r="CB200" i="1"/>
  <c r="CB245" i="1"/>
  <c r="AX24" i="29"/>
  <c r="CB22" i="29"/>
  <c r="AX81" i="29"/>
  <c r="CB79" i="29"/>
  <c r="AX202" i="1"/>
  <c r="AX201" i="1"/>
  <c r="CF14" i="9"/>
  <c r="CF18" i="9" s="1"/>
  <c r="BK16" i="9"/>
  <c r="BL14" i="9" s="1"/>
  <c r="BL39" i="3" l="1"/>
  <c r="BK17" i="9"/>
  <c r="BK19" i="9" s="1"/>
  <c r="AX290" i="1"/>
  <c r="CB202" i="1"/>
  <c r="CB205" i="1" s="1"/>
  <c r="CB248" i="1"/>
  <c r="CB246" i="1"/>
  <c r="AX25" i="29"/>
  <c r="AX30" i="29" s="1"/>
  <c r="AX205" i="1"/>
  <c r="CB201" i="1"/>
  <c r="AX248" i="1"/>
  <c r="AX246" i="1"/>
  <c r="AX247" i="1"/>
  <c r="BK22" i="9"/>
  <c r="CB24" i="29"/>
  <c r="CB81" i="29"/>
  <c r="BL16" i="9"/>
  <c r="BM14" i="9" s="1"/>
  <c r="AX111" i="29"/>
  <c r="AX94" i="29"/>
  <c r="AX82" i="29"/>
  <c r="AX84" i="29" s="1"/>
  <c r="AX103" i="29"/>
  <c r="BM39" i="3" l="1"/>
  <c r="CB94" i="29"/>
  <c r="CB111" i="29"/>
  <c r="AX28" i="29"/>
  <c r="CB290" i="1"/>
  <c r="CB28" i="29" s="1"/>
  <c r="BM16" i="9"/>
  <c r="BN14" i="9" s="1"/>
  <c r="BK30" i="9"/>
  <c r="AX6" i="4"/>
  <c r="AX206" i="1"/>
  <c r="BL17" i="9"/>
  <c r="BL19" i="9" s="1"/>
  <c r="AX301" i="1"/>
  <c r="AX303" i="1"/>
  <c r="AX95" i="29"/>
  <c r="AX112" i="29"/>
  <c r="AX104" i="29"/>
  <c r="CB25" i="29"/>
  <c r="CB206" i="1"/>
  <c r="CB82" i="29"/>
  <c r="CB203" i="1"/>
  <c r="BN39" i="3" l="1"/>
  <c r="AX302" i="1"/>
  <c r="CB301" i="1"/>
  <c r="CB26" i="29"/>
  <c r="CB30" i="29"/>
  <c r="AX20" i="4"/>
  <c r="CB6" i="4"/>
  <c r="AX41" i="3"/>
  <c r="BN16" i="9"/>
  <c r="CF16" i="9" s="1"/>
  <c r="CF17" i="9" s="1"/>
  <c r="AX58" i="29"/>
  <c r="AX43" i="29"/>
  <c r="AX51" i="29"/>
  <c r="BL22" i="9"/>
  <c r="CB83" i="29"/>
  <c r="BM17" i="9"/>
  <c r="BM19" i="9" s="1"/>
  <c r="BM22" i="9" s="1"/>
  <c r="BM30" i="9" s="1"/>
  <c r="CB84" i="29"/>
  <c r="CF39" i="3" l="1"/>
  <c r="BL30" i="9"/>
  <c r="AX209" i="1"/>
  <c r="AX87" i="29"/>
  <c r="AX304" i="1"/>
  <c r="CB302" i="1"/>
  <c r="AX43" i="3"/>
  <c r="CB41" i="3"/>
  <c r="CB20" i="4"/>
  <c r="AX44" i="4"/>
  <c r="AX48" i="4"/>
  <c r="BN17" i="9"/>
  <c r="BN19" i="9" s="1"/>
  <c r="BN22" i="9" s="1"/>
  <c r="BN30" i="9" s="1"/>
  <c r="CB112" i="29"/>
  <c r="CB95" i="29"/>
  <c r="CB43" i="29"/>
  <c r="CB58" i="29"/>
  <c r="CF22" i="9" l="1"/>
  <c r="CF30" i="9" s="1"/>
  <c r="AX45" i="3"/>
  <c r="CB43" i="3"/>
  <c r="AX45" i="4"/>
  <c r="CB87" i="29"/>
  <c r="AX86" i="29"/>
  <c r="CB209" i="1"/>
  <c r="AX208" i="1"/>
  <c r="AX72" i="4"/>
  <c r="AX77" i="4"/>
  <c r="AX49" i="4"/>
  <c r="AX50" i="4"/>
  <c r="AX33" i="29"/>
  <c r="AX254" i="1"/>
  <c r="CB44" i="4"/>
  <c r="CB48" i="4"/>
  <c r="CF19" i="9"/>
  <c r="CB45" i="4" l="1"/>
  <c r="F17" i="2"/>
  <c r="AX250" i="1"/>
  <c r="AX81" i="4"/>
  <c r="AX79" i="4"/>
  <c r="AX78" i="4"/>
  <c r="CB45" i="3"/>
  <c r="AX32" i="29"/>
  <c r="CB86" i="29"/>
  <c r="AX96" i="29"/>
  <c r="AX105" i="29"/>
  <c r="AX75" i="4"/>
  <c r="AX73" i="4"/>
  <c r="AX74" i="4"/>
  <c r="CB72" i="4"/>
  <c r="CB77" i="4"/>
  <c r="CB49" i="4"/>
  <c r="CB208" i="1"/>
  <c r="AX7" i="3"/>
  <c r="AX8" i="9"/>
  <c r="AY7" i="9"/>
  <c r="AX44" i="29" l="1"/>
  <c r="AX52" i="29"/>
  <c r="CB73" i="4"/>
  <c r="CB75" i="4"/>
  <c r="CB8" i="9"/>
  <c r="CC7" i="9" s="1"/>
  <c r="AX11" i="9"/>
  <c r="CB11" i="9" s="1"/>
  <c r="AX252" i="1"/>
  <c r="AX251" i="1"/>
  <c r="F10" i="2"/>
  <c r="CB81" i="4"/>
  <c r="CB79" i="4"/>
  <c r="CB96" i="29"/>
  <c r="CB7" i="3"/>
  <c r="AX48" i="3"/>
  <c r="AX36" i="9"/>
  <c r="AX14" i="3"/>
  <c r="AY39" i="9" l="1"/>
  <c r="AX37" i="9"/>
  <c r="AX35" i="9"/>
  <c r="CB35" i="9" s="1"/>
  <c r="CB36" i="9"/>
  <c r="CB37" i="9" s="1"/>
  <c r="AY34" i="9"/>
  <c r="CC34" i="9" s="1"/>
  <c r="F11" i="2"/>
  <c r="F23" i="2"/>
  <c r="CB14" i="3"/>
  <c r="AX21" i="3"/>
  <c r="CB48" i="3"/>
  <c r="F24" i="2" l="1"/>
  <c r="AY41" i="9"/>
  <c r="CB21" i="3"/>
  <c r="AX46" i="3"/>
  <c r="F15" i="2"/>
  <c r="F18" i="2" l="1"/>
  <c r="AY198" i="1"/>
  <c r="CB46" i="3"/>
  <c r="AY291" i="1" l="1"/>
  <c r="AY245" i="1" s="1"/>
  <c r="AY200" i="1"/>
  <c r="AY79" i="29"/>
  <c r="AY22" i="29"/>
  <c r="G22" i="2"/>
  <c r="G21" i="2"/>
  <c r="AY202" i="1" l="1"/>
  <c r="AY201" i="1"/>
  <c r="AY246" i="1"/>
  <c r="AY248" i="1"/>
  <c r="AY247" i="1"/>
  <c r="AY24" i="29"/>
  <c r="AY81" i="29"/>
  <c r="AY290" i="1" l="1"/>
  <c r="AY205" i="1"/>
  <c r="AY94" i="29"/>
  <c r="AY82" i="29"/>
  <c r="AY111" i="29"/>
  <c r="AY103" i="29"/>
  <c r="AY25" i="29"/>
  <c r="AY30" i="29" s="1"/>
  <c r="AY206" i="1" l="1"/>
  <c r="AY6" i="4"/>
  <c r="AY28" i="29"/>
  <c r="AY84" i="29"/>
  <c r="AY20" i="4" l="1"/>
  <c r="AY41" i="3"/>
  <c r="AY303" i="1"/>
  <c r="AY301" i="1"/>
  <c r="AY112" i="29"/>
  <c r="AY95" i="29"/>
  <c r="AY104" i="29"/>
  <c r="AY43" i="29"/>
  <c r="AY58" i="29"/>
  <c r="AY51" i="29"/>
  <c r="AY43" i="3" l="1"/>
  <c r="AY44" i="4"/>
  <c r="AY48" i="4"/>
  <c r="AY302" i="1"/>
  <c r="AY45" i="3" l="1"/>
  <c r="AY87" i="29"/>
  <c r="AY209" i="1"/>
  <c r="AY304" i="1"/>
  <c r="AY77" i="4"/>
  <c r="AY72" i="4"/>
  <c r="AY49" i="4"/>
  <c r="AY50" i="4"/>
  <c r="AY45" i="4"/>
  <c r="AY7" i="3" l="1"/>
  <c r="AZ7" i="9"/>
  <c r="AY8" i="9"/>
  <c r="AY11" i="9" s="1"/>
  <c r="AY74" i="4"/>
  <c r="AY75" i="4"/>
  <c r="AY73" i="4"/>
  <c r="AY208" i="1"/>
  <c r="AY78" i="4"/>
  <c r="AY81" i="4"/>
  <c r="AY79" i="4"/>
  <c r="AY33" i="29"/>
  <c r="AY254" i="1"/>
  <c r="AY86" i="29"/>
  <c r="AY250" i="1" l="1"/>
  <c r="AY32" i="29"/>
  <c r="AY14" i="3"/>
  <c r="AY36" i="9"/>
  <c r="AY48" i="3"/>
  <c r="AY96" i="29"/>
  <c r="AY105" i="29"/>
  <c r="AY35" i="9" l="1"/>
  <c r="AZ34" i="9"/>
  <c r="AY37" i="9"/>
  <c r="AY21" i="3"/>
  <c r="AY44" i="29"/>
  <c r="AY52" i="29"/>
  <c r="AY252" i="1"/>
  <c r="AY251" i="1"/>
  <c r="AY46" i="3" l="1"/>
  <c r="AV38" i="9" l="1"/>
  <c r="AZ38" i="9" s="1"/>
  <c r="AZ39" i="9" s="1"/>
  <c r="AZ41" i="9" s="1"/>
  <c r="CB41" i="9"/>
  <c r="CB39" i="9"/>
  <c r="CB38" i="9" s="1"/>
  <c r="AZ198" i="1" l="1"/>
  <c r="AZ291" i="1" l="1"/>
  <c r="AZ245" i="1" s="1"/>
  <c r="AZ79" i="29"/>
  <c r="AZ200" i="1"/>
  <c r="AZ22" i="29"/>
  <c r="AZ24" i="29" l="1"/>
  <c r="AZ202" i="1"/>
  <c r="AZ201" i="1"/>
  <c r="AZ81" i="29"/>
  <c r="AZ247" i="1" l="1"/>
  <c r="AZ248" i="1"/>
  <c r="AZ246" i="1"/>
  <c r="AZ290" i="1"/>
  <c r="AZ205" i="1"/>
  <c r="AZ94" i="29"/>
  <c r="AZ103" i="29"/>
  <c r="AZ82" i="29"/>
  <c r="AZ84" i="29" s="1"/>
  <c r="AZ111" i="29"/>
  <c r="AZ25" i="29"/>
  <c r="AZ30" i="29" s="1"/>
  <c r="AZ28" i="29" l="1"/>
  <c r="AZ6" i="4"/>
  <c r="AZ206" i="1"/>
  <c r="AZ303" i="1"/>
  <c r="AZ301" i="1"/>
  <c r="AZ104" i="29"/>
  <c r="AZ95" i="29"/>
  <c r="AZ112" i="29"/>
  <c r="AZ41" i="3" l="1"/>
  <c r="AZ20" i="4"/>
  <c r="AZ58" i="29"/>
  <c r="AZ43" i="29"/>
  <c r="AZ51" i="29"/>
  <c r="AZ302" i="1"/>
  <c r="AZ44" i="4" l="1"/>
  <c r="AZ48" i="4"/>
  <c r="AZ43" i="3"/>
  <c r="AZ209" i="1"/>
  <c r="AZ304" i="1"/>
  <c r="AZ87" i="29"/>
  <c r="AZ208" i="1" l="1"/>
  <c r="AZ45" i="3"/>
  <c r="AZ72" i="4"/>
  <c r="AZ77" i="4"/>
  <c r="AZ49" i="4"/>
  <c r="AZ50" i="4"/>
  <c r="AZ86" i="29"/>
  <c r="AZ254" i="1"/>
  <c r="AZ33" i="29"/>
  <c r="AZ45" i="4"/>
  <c r="AZ73" i="4" l="1"/>
  <c r="AZ75" i="4"/>
  <c r="AZ74" i="4"/>
  <c r="AZ81" i="4"/>
  <c r="AZ79" i="4"/>
  <c r="AZ78" i="4"/>
  <c r="BA7" i="9"/>
  <c r="AZ7" i="3"/>
  <c r="AZ8" i="9"/>
  <c r="AZ11" i="9" s="1"/>
  <c r="AZ105" i="29"/>
  <c r="AZ96" i="29"/>
  <c r="AZ32" i="29"/>
  <c r="AZ250" i="1"/>
  <c r="AZ14" i="3" l="1"/>
  <c r="AZ36" i="9"/>
  <c r="AZ48" i="3"/>
  <c r="AZ251" i="1"/>
  <c r="AZ52" i="29"/>
  <c r="AZ35" i="9" l="1"/>
  <c r="BA39" i="9"/>
  <c r="BA34" i="9"/>
  <c r="AZ37" i="9"/>
  <c r="AZ21" i="3"/>
  <c r="BA41" i="9" l="1"/>
  <c r="AZ46" i="3"/>
  <c r="BA198" i="1" l="1"/>
  <c r="BA79" i="29" l="1"/>
  <c r="BA200" i="1"/>
  <c r="BA22" i="29"/>
  <c r="BA291" i="1"/>
  <c r="BA245" i="1" s="1"/>
  <c r="BA24" i="29" l="1"/>
  <c r="BA202" i="1"/>
  <c r="BA205" i="1" s="1"/>
  <c r="BA201" i="1"/>
  <c r="BA81" i="29"/>
  <c r="BA111" i="29" l="1"/>
  <c r="BA94" i="29"/>
  <c r="BA82" i="29"/>
  <c r="BA103" i="29"/>
  <c r="BA25" i="29"/>
  <c r="BA30" i="29" s="1"/>
  <c r="BA290" i="1"/>
  <c r="BA246" i="1"/>
  <c r="BA248" i="1"/>
  <c r="BA247" i="1"/>
  <c r="BA6" i="4"/>
  <c r="BA206" i="1"/>
  <c r="BA84" i="29" l="1"/>
  <c r="BA28" i="29"/>
  <c r="BA20" i="4"/>
  <c r="BA41" i="3"/>
  <c r="BA48" i="4" l="1"/>
  <c r="BA44" i="4"/>
  <c r="BA43" i="3"/>
  <c r="BA58" i="29"/>
  <c r="BA43" i="29"/>
  <c r="BA51" i="29"/>
  <c r="BA301" i="1"/>
  <c r="BA112" i="29"/>
  <c r="BA303" i="1"/>
  <c r="BA95" i="29"/>
  <c r="BA104" i="29"/>
  <c r="BA45" i="4" l="1"/>
  <c r="BA302" i="1"/>
  <c r="BA72" i="4"/>
  <c r="BA77" i="4"/>
  <c r="BA49" i="4"/>
  <c r="BA50" i="4"/>
  <c r="BA45" i="3"/>
  <c r="BA209" i="1" l="1"/>
  <c r="BA87" i="29"/>
  <c r="BA304" i="1"/>
  <c r="BA7" i="3"/>
  <c r="BB7" i="9"/>
  <c r="BA8" i="9"/>
  <c r="BA11" i="9" s="1"/>
  <c r="BA81" i="4"/>
  <c r="BA79" i="4"/>
  <c r="BA78" i="4"/>
  <c r="BA74" i="4"/>
  <c r="BA73" i="4"/>
  <c r="BA75" i="4"/>
  <c r="BA254" i="1" l="1"/>
  <c r="BA33" i="29"/>
  <c r="BA86" i="29"/>
  <c r="BA14" i="3"/>
  <c r="BA36" i="9"/>
  <c r="BA48" i="3"/>
  <c r="BA208" i="1"/>
  <c r="BA21" i="3" l="1"/>
  <c r="BA96" i="29"/>
  <c r="BA105" i="29"/>
  <c r="BA32" i="29"/>
  <c r="BB39" i="9"/>
  <c r="BA37" i="9"/>
  <c r="BA35" i="9"/>
  <c r="BB34" i="9"/>
  <c r="BA250" i="1"/>
  <c r="BA44" i="29" l="1"/>
  <c r="BA52" i="29"/>
  <c r="BB41" i="9"/>
  <c r="CC39" i="9"/>
  <c r="CC38" i="9" s="1"/>
  <c r="BA252" i="1"/>
  <c r="BA251" i="1"/>
  <c r="BA46" i="3"/>
  <c r="BB198" i="1" l="1"/>
  <c r="CC41" i="9"/>
  <c r="BB200" i="1" l="1"/>
  <c r="BB79" i="29"/>
  <c r="BB22" i="29"/>
  <c r="BB291" i="1"/>
  <c r="CC291" i="1" s="1"/>
  <c r="CC198" i="1"/>
  <c r="BB245" i="1" l="1"/>
  <c r="CC292" i="1"/>
  <c r="BB81" i="29"/>
  <c r="CC79" i="29"/>
  <c r="CC245" i="1"/>
  <c r="CC200" i="1"/>
  <c r="BB24" i="29"/>
  <c r="CC22" i="29"/>
  <c r="BB202" i="1"/>
  <c r="BB201" i="1"/>
  <c r="BB94" i="29" l="1"/>
  <c r="BB111" i="29"/>
  <c r="BB82" i="29"/>
  <c r="BB103" i="29"/>
  <c r="BB25" i="29"/>
  <c r="BB30" i="29" s="1"/>
  <c r="CC81" i="29"/>
  <c r="CC24" i="29"/>
  <c r="BB248" i="1"/>
  <c r="BB246" i="1"/>
  <c r="BB247" i="1"/>
  <c r="BB290" i="1"/>
  <c r="CC202" i="1"/>
  <c r="CC201" i="1"/>
  <c r="BB205" i="1"/>
  <c r="CC246" i="1"/>
  <c r="CC248" i="1"/>
  <c r="BB28" i="29" l="1"/>
  <c r="CC290" i="1"/>
  <c r="CC28" i="29" s="1"/>
  <c r="CC82" i="29"/>
  <c r="CC84" i="29" s="1"/>
  <c r="CC111" i="29"/>
  <c r="CC94" i="29"/>
  <c r="CC203" i="1"/>
  <c r="CC25" i="29"/>
  <c r="BB84" i="29"/>
  <c r="BB206" i="1"/>
  <c r="BB6" i="4"/>
  <c r="CC205" i="1"/>
  <c r="CC95" i="29" l="1"/>
  <c r="CC112" i="29"/>
  <c r="CC83" i="29"/>
  <c r="BB20" i="4"/>
  <c r="CC6" i="4"/>
  <c r="BB41" i="3"/>
  <c r="BB43" i="29"/>
  <c r="BB58" i="29"/>
  <c r="BB51" i="29"/>
  <c r="BB301" i="1"/>
  <c r="BB303" i="1"/>
  <c r="CC303" i="1" s="1"/>
  <c r="BB95" i="29"/>
  <c r="BB112" i="29"/>
  <c r="BB104" i="29"/>
  <c r="CC26" i="29"/>
  <c r="CC30" i="29"/>
  <c r="CC206" i="1"/>
  <c r="CC20" i="4" l="1"/>
  <c r="BB48" i="4"/>
  <c r="BB44" i="4"/>
  <c r="BB302" i="1"/>
  <c r="CC301" i="1"/>
  <c r="BB43" i="3"/>
  <c r="CC41" i="3"/>
  <c r="CC58" i="29"/>
  <c r="CC43" i="29"/>
  <c r="BB45" i="4" l="1"/>
  <c r="CC48" i="4"/>
  <c r="CC44" i="4"/>
  <c r="BB45" i="3"/>
  <c r="CC43" i="3"/>
  <c r="BB77" i="4"/>
  <c r="BB72" i="4"/>
  <c r="BB49" i="4"/>
  <c r="BB50" i="4"/>
  <c r="BB87" i="29"/>
  <c r="BB304" i="1"/>
  <c r="BB209" i="1"/>
  <c r="CC302" i="1"/>
  <c r="CC209" i="1" l="1"/>
  <c r="BB208" i="1"/>
  <c r="CC45" i="3"/>
  <c r="BB74" i="4"/>
  <c r="BB75" i="4"/>
  <c r="BB73" i="4"/>
  <c r="BB7" i="3"/>
  <c r="BB8" i="9"/>
  <c r="BC7" i="9"/>
  <c r="BB254" i="1"/>
  <c r="BB33" i="29"/>
  <c r="CC304" i="1"/>
  <c r="BB81" i="4"/>
  <c r="BB78" i="4"/>
  <c r="BB79" i="4"/>
  <c r="CC49" i="4"/>
  <c r="CC72" i="4"/>
  <c r="CC77" i="4"/>
  <c r="CC87" i="29"/>
  <c r="BB86" i="29"/>
  <c r="CC45" i="4"/>
  <c r="CC8" i="9" l="1"/>
  <c r="CD7" i="9" s="1"/>
  <c r="BB11" i="9"/>
  <c r="CC11" i="9" s="1"/>
  <c r="CC86" i="29"/>
  <c r="CC7" i="3"/>
  <c r="BB48" i="3"/>
  <c r="BB14" i="3"/>
  <c r="BB36" i="9"/>
  <c r="G10" i="2"/>
  <c r="CC81" i="4"/>
  <c r="CC79" i="4"/>
  <c r="CC208" i="1"/>
  <c r="BB96" i="29"/>
  <c r="BB105" i="29"/>
  <c r="CC75" i="4"/>
  <c r="CC73" i="4"/>
  <c r="CC33" i="29"/>
  <c r="BB32" i="29"/>
  <c r="G17" i="2"/>
  <c r="CC254" i="1"/>
  <c r="BB250" i="1"/>
  <c r="BB21" i="3" l="1"/>
  <c r="CC14" i="3"/>
  <c r="BB252" i="1"/>
  <c r="BB251" i="1"/>
  <c r="G23" i="2"/>
  <c r="CC96" i="29"/>
  <c r="CC32" i="29"/>
  <c r="G11" i="2"/>
  <c r="CC250" i="1"/>
  <c r="BC39" i="9"/>
  <c r="BC34" i="9"/>
  <c r="CD34" i="9" s="1"/>
  <c r="BB35" i="9"/>
  <c r="CC35" i="9" s="1"/>
  <c r="CC36" i="9"/>
  <c r="CC37" i="9" s="1"/>
  <c r="BB37" i="9"/>
  <c r="BB44" i="29"/>
  <c r="BB52" i="29"/>
  <c r="CC48" i="3"/>
  <c r="P15" i="2"/>
  <c r="R15" i="2" l="1"/>
  <c r="S15" i="2"/>
  <c r="BC41" i="9"/>
  <c r="G24" i="2"/>
  <c r="CC21" i="3"/>
  <c r="BB46" i="3"/>
  <c r="G15" i="2"/>
  <c r="G12" i="2"/>
  <c r="G25" i="2" l="1"/>
  <c r="P12" i="2"/>
  <c r="G18" i="2"/>
  <c r="BC198" i="1"/>
  <c r="CC46" i="3"/>
  <c r="H22" i="2" l="1"/>
  <c r="H21" i="2"/>
  <c r="R12" i="2"/>
  <c r="S12" i="2"/>
  <c r="BC291" i="1"/>
  <c r="BC245" i="1" s="1"/>
  <c r="BC22" i="29"/>
  <c r="BC200" i="1"/>
  <c r="BC79" i="29"/>
  <c r="BC202" i="1" l="1"/>
  <c r="BC205" i="1" s="1"/>
  <c r="BC201" i="1"/>
  <c r="BC246" i="1"/>
  <c r="BC248" i="1"/>
  <c r="BC247" i="1"/>
  <c r="BC24" i="29"/>
  <c r="BC81" i="29"/>
  <c r="BC25" i="29" l="1"/>
  <c r="BC6" i="4"/>
  <c r="BC206" i="1"/>
  <c r="BC290" i="1"/>
  <c r="BC94" i="29"/>
  <c r="BC111" i="29"/>
  <c r="BC82" i="29"/>
  <c r="BC84" i="29" s="1"/>
  <c r="BC103" i="29"/>
  <c r="BC303" i="1" l="1"/>
  <c r="BC301" i="1"/>
  <c r="BC95" i="29"/>
  <c r="BC112" i="29"/>
  <c r="BC104" i="29"/>
  <c r="BC28" i="29"/>
  <c r="BC20" i="4"/>
  <c r="BC41" i="3"/>
  <c r="BC30" i="29"/>
  <c r="BC48" i="4" l="1"/>
  <c r="BC44" i="4"/>
  <c r="BC302" i="1"/>
  <c r="BC43" i="29"/>
  <c r="BC58" i="29"/>
  <c r="BC51" i="29"/>
  <c r="BC43" i="3"/>
  <c r="BC77" i="4" l="1"/>
  <c r="BC72" i="4"/>
  <c r="BC49" i="4"/>
  <c r="BC50" i="4"/>
  <c r="BC45" i="4"/>
  <c r="BC45" i="3"/>
  <c r="BC209" i="1"/>
  <c r="BC87" i="29"/>
  <c r="BC304" i="1"/>
  <c r="BC86" i="29" l="1"/>
  <c r="BC7" i="3"/>
  <c r="BC8" i="9"/>
  <c r="BC11" i="9" s="1"/>
  <c r="BD7" i="9"/>
  <c r="BC254" i="1"/>
  <c r="BC33" i="29"/>
  <c r="BC74" i="4"/>
  <c r="BC73" i="4"/>
  <c r="BC75" i="4"/>
  <c r="BC79" i="4"/>
  <c r="BC81" i="4"/>
  <c r="BC78" i="4"/>
  <c r="BC208" i="1"/>
  <c r="BC250" i="1" l="1"/>
  <c r="BC96" i="29"/>
  <c r="BC105" i="29"/>
  <c r="BC32" i="29"/>
  <c r="BC36" i="9"/>
  <c r="BC14" i="3"/>
  <c r="BC48" i="3"/>
  <c r="BC252" i="1" l="1"/>
  <c r="BC251" i="1"/>
  <c r="BC21" i="3"/>
  <c r="BC35" i="9"/>
  <c r="BD39" i="9"/>
  <c r="BD34" i="9"/>
  <c r="BC37" i="9"/>
  <c r="BC44" i="29"/>
  <c r="BC52" i="29"/>
  <c r="BC46" i="3" l="1"/>
  <c r="BD41" i="9"/>
  <c r="BD198" i="1" l="1"/>
  <c r="BD22" i="29" l="1"/>
  <c r="BD200" i="1"/>
  <c r="BD79" i="29"/>
  <c r="BD291" i="1"/>
  <c r="BD245" i="1" s="1"/>
  <c r="BD246" i="1" l="1"/>
  <c r="BD248" i="1"/>
  <c r="BD247" i="1"/>
  <c r="BD81" i="29"/>
  <c r="BD201" i="1"/>
  <c r="BD202" i="1"/>
  <c r="BD205" i="1" s="1"/>
  <c r="BD24" i="29"/>
  <c r="BD25" i="29" l="1"/>
  <c r="BD6" i="4"/>
  <c r="BD206" i="1"/>
  <c r="BD290" i="1"/>
  <c r="BD82" i="29"/>
  <c r="BD84" i="29" s="1"/>
  <c r="BD111" i="29"/>
  <c r="BD94" i="29"/>
  <c r="BD103" i="29"/>
  <c r="BD301" i="1" l="1"/>
  <c r="BD303" i="1"/>
  <c r="BD112" i="29"/>
  <c r="BD95" i="29"/>
  <c r="BD104" i="29"/>
  <c r="BD20" i="4"/>
  <c r="BD41" i="3"/>
  <c r="BD28" i="29"/>
  <c r="BD30" i="29"/>
  <c r="BD43" i="3" l="1"/>
  <c r="BD48" i="4"/>
  <c r="BD44" i="4"/>
  <c r="BD302" i="1"/>
  <c r="BD58" i="29"/>
  <c r="BD43" i="29"/>
  <c r="BD51" i="29"/>
  <c r="BD87" i="29" l="1"/>
  <c r="BD304" i="1"/>
  <c r="BD209" i="1"/>
  <c r="BD72" i="4"/>
  <c r="BD77" i="4"/>
  <c r="BD49" i="4"/>
  <c r="BD50" i="4"/>
  <c r="BD45" i="3"/>
  <c r="BD45" i="4"/>
  <c r="BD254" i="1" l="1"/>
  <c r="BD33" i="29"/>
  <c r="BD86" i="29"/>
  <c r="BE7" i="9"/>
  <c r="BD7" i="3"/>
  <c r="BD8" i="9"/>
  <c r="BD11" i="9" s="1"/>
  <c r="BD208" i="1"/>
  <c r="BD78" i="4"/>
  <c r="BD81" i="4"/>
  <c r="BD79" i="4"/>
  <c r="BD73" i="4"/>
  <c r="BD75" i="4"/>
  <c r="BD74" i="4"/>
  <c r="BD96" i="29" l="1"/>
  <c r="BD105" i="29"/>
  <c r="BD36" i="9"/>
  <c r="BD14" i="3"/>
  <c r="BD48" i="3"/>
  <c r="BD32" i="29"/>
  <c r="BD250" i="1"/>
  <c r="BD44" i="29" l="1"/>
  <c r="BD52" i="29"/>
  <c r="BD21" i="3"/>
  <c r="BD252" i="1"/>
  <c r="BD251" i="1"/>
  <c r="BE39" i="9"/>
  <c r="BE34" i="9"/>
  <c r="BD35" i="9"/>
  <c r="BD37" i="9"/>
  <c r="BD46" i="3" l="1"/>
  <c r="BE41" i="9"/>
  <c r="BE198" i="1" l="1"/>
  <c r="BE22" i="29" l="1"/>
  <c r="BE200" i="1"/>
  <c r="BE79" i="29"/>
  <c r="BE291" i="1"/>
  <c r="BE202" i="1" l="1"/>
  <c r="BE201" i="1"/>
  <c r="BE24" i="29"/>
  <c r="BE245" i="1"/>
  <c r="BE81" i="29"/>
  <c r="BE111" i="29" l="1"/>
  <c r="BE82" i="29"/>
  <c r="BE94" i="29"/>
  <c r="BE103" i="29"/>
  <c r="BE290" i="1"/>
  <c r="BE25" i="29"/>
  <c r="BE246" i="1"/>
  <c r="BE248" i="1"/>
  <c r="BE247" i="1"/>
  <c r="BE205" i="1"/>
  <c r="BE30" i="29" l="1"/>
  <c r="BE28" i="29"/>
  <c r="BE6" i="4"/>
  <c r="BE206" i="1"/>
  <c r="BE84" i="29"/>
  <c r="BE20" i="4" l="1"/>
  <c r="BE41" i="3"/>
  <c r="BE301" i="1"/>
  <c r="BE112" i="29"/>
  <c r="BE303" i="1"/>
  <c r="BE95" i="29"/>
  <c r="BE104" i="29"/>
  <c r="BE58" i="29"/>
  <c r="BE43" i="29"/>
  <c r="BE51" i="29"/>
  <c r="BE48" i="4" l="1"/>
  <c r="BE44" i="4"/>
  <c r="BE302" i="1"/>
  <c r="BE43" i="3"/>
  <c r="BE304" i="1" l="1"/>
  <c r="BE87" i="29"/>
  <c r="BE209" i="1"/>
  <c r="BE45" i="4"/>
  <c r="BE77" i="4"/>
  <c r="BE72" i="4"/>
  <c r="BE49" i="4"/>
  <c r="BE50" i="4"/>
  <c r="BE45" i="3"/>
  <c r="BE33" i="29" l="1"/>
  <c r="BE254" i="1"/>
  <c r="BE73" i="4"/>
  <c r="BE74" i="4"/>
  <c r="BE75" i="4"/>
  <c r="BE78" i="4"/>
  <c r="BE79" i="4"/>
  <c r="BE81" i="4"/>
  <c r="BE7" i="3"/>
  <c r="BE8" i="9"/>
  <c r="BE11" i="9" s="1"/>
  <c r="BF7" i="9"/>
  <c r="BE208" i="1"/>
  <c r="BE86" i="29"/>
  <c r="BE32" i="29" l="1"/>
  <c r="BE250" i="1"/>
  <c r="BE96" i="29"/>
  <c r="BE105" i="29"/>
  <c r="BE36" i="9"/>
  <c r="BE14" i="3"/>
  <c r="BE48" i="3"/>
  <c r="BE252" i="1" l="1"/>
  <c r="BE251" i="1"/>
  <c r="BE21" i="3"/>
  <c r="BF39" i="9"/>
  <c r="BE35" i="9"/>
  <c r="BF34" i="9"/>
  <c r="BE37" i="9"/>
  <c r="BE44" i="29"/>
  <c r="BE52" i="29"/>
  <c r="BE46" i="3" l="1"/>
  <c r="BF41" i="9"/>
  <c r="CD39" i="9"/>
  <c r="CD38" i="9" s="1"/>
  <c r="BF198" i="1" l="1"/>
  <c r="CD41" i="9"/>
  <c r="BF22" i="29" l="1"/>
  <c r="BF79" i="29"/>
  <c r="BF200" i="1"/>
  <c r="BF291" i="1"/>
  <c r="CD291" i="1" s="1"/>
  <c r="CD198" i="1"/>
  <c r="CD292" i="1" l="1"/>
  <c r="CD245" i="1"/>
  <c r="CD200" i="1"/>
  <c r="BF202" i="1"/>
  <c r="BF201" i="1"/>
  <c r="BF81" i="29"/>
  <c r="CD79" i="29"/>
  <c r="BF24" i="29"/>
  <c r="CD22" i="29"/>
  <c r="BF245" i="1"/>
  <c r="BF25" i="29" l="1"/>
  <c r="CD201" i="1"/>
  <c r="BF111" i="29"/>
  <c r="BF82" i="29"/>
  <c r="BF84" i="29" s="1"/>
  <c r="BF94" i="29"/>
  <c r="BF103" i="29"/>
  <c r="CD246" i="1"/>
  <c r="CD248" i="1"/>
  <c r="BF246" i="1"/>
  <c r="BF248" i="1"/>
  <c r="BF247" i="1"/>
  <c r="CD24" i="29"/>
  <c r="CD81" i="29"/>
  <c r="BF290" i="1"/>
  <c r="CD202" i="1"/>
  <c r="CD205" i="1" s="1"/>
  <c r="BF205" i="1"/>
  <c r="CD206" i="1" l="1"/>
  <c r="BF301" i="1"/>
  <c r="BF112" i="29"/>
  <c r="BF303" i="1"/>
  <c r="CD303" i="1" s="1"/>
  <c r="BF95" i="29"/>
  <c r="BF104" i="29"/>
  <c r="BF206" i="1"/>
  <c r="BF6" i="4"/>
  <c r="CD25" i="29"/>
  <c r="BF30" i="29"/>
  <c r="CD203" i="1"/>
  <c r="CD82" i="29"/>
  <c r="CD84" i="29" s="1"/>
  <c r="BF28" i="29"/>
  <c r="CD290" i="1"/>
  <c r="CD28" i="29" s="1"/>
  <c r="CD111" i="29"/>
  <c r="CD94" i="29"/>
  <c r="CD112" i="29" l="1"/>
  <c r="CD95" i="29"/>
  <c r="BF302" i="1"/>
  <c r="CD301" i="1"/>
  <c r="BF20" i="4"/>
  <c r="CD6" i="4"/>
  <c r="BF41" i="3"/>
  <c r="CD83" i="29"/>
  <c r="BF58" i="29"/>
  <c r="BF43" i="29"/>
  <c r="BF51" i="29"/>
  <c r="CD26" i="29"/>
  <c r="CD30" i="29"/>
  <c r="CD58" i="29" l="1"/>
  <c r="CD43" i="29"/>
  <c r="CD20" i="4"/>
  <c r="BF44" i="4"/>
  <c r="BF48" i="4"/>
  <c r="BF87" i="29"/>
  <c r="BF304" i="1"/>
  <c r="BF209" i="1"/>
  <c r="CD302" i="1"/>
  <c r="BF43" i="3"/>
  <c r="CD41" i="3"/>
  <c r="BF77" i="4" l="1"/>
  <c r="BF72" i="4"/>
  <c r="BF49" i="4"/>
  <c r="BF50" i="4"/>
  <c r="CD209" i="1"/>
  <c r="CD208" i="1" s="1"/>
  <c r="BF208" i="1"/>
  <c r="BF254" i="1"/>
  <c r="BF33" i="29"/>
  <c r="CD304" i="1"/>
  <c r="CD87" i="29"/>
  <c r="BF86" i="29"/>
  <c r="CD44" i="4"/>
  <c r="CD48" i="4"/>
  <c r="BF45" i="4"/>
  <c r="BF45" i="3"/>
  <c r="CD43" i="3"/>
  <c r="BF96" i="29" l="1"/>
  <c r="BF105" i="29"/>
  <c r="BF74" i="4"/>
  <c r="BF75" i="4"/>
  <c r="BF73" i="4"/>
  <c r="BF81" i="4"/>
  <c r="BF78" i="4"/>
  <c r="BF79" i="4"/>
  <c r="CD86" i="29"/>
  <c r="CD45" i="4"/>
  <c r="CD45" i="3"/>
  <c r="BF8" i="9"/>
  <c r="BF7" i="3"/>
  <c r="BG7" i="9"/>
  <c r="CD33" i="29"/>
  <c r="BF32" i="29"/>
  <c r="CD77" i="4"/>
  <c r="CD72" i="4"/>
  <c r="CD49" i="4"/>
  <c r="H17" i="2"/>
  <c r="CD254" i="1"/>
  <c r="CD250" i="1" s="1"/>
  <c r="BF250" i="1"/>
  <c r="BF48" i="3" l="1"/>
  <c r="BF14" i="3"/>
  <c r="BF36" i="9"/>
  <c r="CD7" i="3"/>
  <c r="CD96" i="29"/>
  <c r="CD75" i="4"/>
  <c r="CD73" i="4"/>
  <c r="CD8" i="9"/>
  <c r="CE7" i="9" s="1"/>
  <c r="BF11" i="9"/>
  <c r="CD11" i="9" s="1"/>
  <c r="BF252" i="1"/>
  <c r="BF251" i="1"/>
  <c r="CD252" i="1"/>
  <c r="BF44" i="29"/>
  <c r="BF52" i="29"/>
  <c r="H10" i="2"/>
  <c r="CD81" i="4"/>
  <c r="CD79" i="4"/>
  <c r="CD32" i="29"/>
  <c r="CD14" i="3" l="1"/>
  <c r="BF21" i="3"/>
  <c r="CD48" i="3"/>
  <c r="H12" i="2"/>
  <c r="CD44" i="29"/>
  <c r="H11" i="2"/>
  <c r="H23" i="2"/>
  <c r="BG39" i="9"/>
  <c r="BF35" i="9"/>
  <c r="CD35" i="9" s="1"/>
  <c r="CD36" i="9"/>
  <c r="CD37" i="9" s="1"/>
  <c r="BG34" i="9"/>
  <c r="CE34" i="9" s="1"/>
  <c r="BF37" i="9"/>
  <c r="BG41" i="9" l="1"/>
  <c r="H25" i="2"/>
  <c r="CD21" i="3"/>
  <c r="BF46" i="3"/>
  <c r="H15" i="2"/>
  <c r="H18" i="2" s="1"/>
  <c r="P9" i="2"/>
  <c r="H24" i="2"/>
  <c r="CD46" i="3" l="1"/>
  <c r="BG198" i="1"/>
  <c r="I21" i="2"/>
  <c r="I22" i="2"/>
  <c r="P11" i="2"/>
  <c r="P14" i="2" s="1"/>
  <c r="P16" i="2" s="1"/>
  <c r="S9" i="2"/>
  <c r="S11" i="2" s="1"/>
  <c r="S14" i="2" s="1"/>
  <c r="S16" i="2" s="1"/>
  <c r="R9" i="2"/>
  <c r="R11" i="2" s="1"/>
  <c r="R14" i="2" s="1"/>
  <c r="R16" i="2" s="1"/>
  <c r="BG291" i="1" l="1"/>
  <c r="BG245" i="1" s="1"/>
  <c r="BG79" i="29"/>
  <c r="BG200" i="1"/>
  <c r="BG22" i="29"/>
  <c r="D32" i="2"/>
  <c r="G32" i="2"/>
  <c r="C29" i="2"/>
  <c r="E30" i="2"/>
  <c r="F29" i="2"/>
  <c r="C28" i="2"/>
  <c r="E32" i="2"/>
  <c r="E31" i="2"/>
  <c r="F30" i="2"/>
  <c r="E29" i="2"/>
  <c r="G31" i="2"/>
  <c r="D31" i="2"/>
  <c r="D30" i="2"/>
  <c r="E28" i="2"/>
  <c r="P18" i="2"/>
  <c r="G28" i="2"/>
  <c r="D28" i="2"/>
  <c r="G30" i="2"/>
  <c r="C31" i="2"/>
  <c r="H32" i="2"/>
  <c r="D29" i="2"/>
  <c r="F28" i="2"/>
  <c r="G29" i="2"/>
  <c r="F31" i="2"/>
  <c r="C30" i="2"/>
  <c r="H31" i="2"/>
  <c r="H28" i="2"/>
  <c r="H29" i="2"/>
  <c r="H30" i="2"/>
  <c r="I29" i="2"/>
  <c r="I28" i="2"/>
  <c r="BG246" i="1" l="1"/>
  <c r="BG248" i="1"/>
  <c r="BG247" i="1"/>
  <c r="BG81" i="29"/>
  <c r="BG24" i="29"/>
  <c r="BG202" i="1"/>
  <c r="BG205" i="1" s="1"/>
  <c r="BG201" i="1"/>
  <c r="BG6" i="4" l="1"/>
  <c r="BG206" i="1"/>
  <c r="BG25" i="29"/>
  <c r="BG111" i="29"/>
  <c r="BG82" i="29"/>
  <c r="BG84" i="29" s="1"/>
  <c r="BG94" i="29"/>
  <c r="BG103" i="29"/>
  <c r="BG290" i="1"/>
  <c r="BG30" i="29" l="1"/>
  <c r="BG303" i="1"/>
  <c r="BG301" i="1"/>
  <c r="BG112" i="29"/>
  <c r="BG95" i="29"/>
  <c r="BG104" i="29"/>
  <c r="BG20" i="4"/>
  <c r="BG41" i="3"/>
  <c r="BG28" i="29"/>
  <c r="BG302" i="1" l="1"/>
  <c r="BG43" i="3"/>
  <c r="BG58" i="29"/>
  <c r="BG43" i="29"/>
  <c r="BG51" i="29"/>
  <c r="BG44" i="4"/>
  <c r="BG48" i="4"/>
  <c r="BG45" i="4" l="1"/>
  <c r="BG72" i="4"/>
  <c r="BG77" i="4"/>
  <c r="BG49" i="4"/>
  <c r="BG50" i="4"/>
  <c r="BG209" i="1"/>
  <c r="BG87" i="29"/>
  <c r="BG304" i="1"/>
  <c r="BG45" i="3"/>
  <c r="BG73" i="4" l="1"/>
  <c r="BG74" i="4"/>
  <c r="BG75" i="4"/>
  <c r="BG254" i="1"/>
  <c r="BG33" i="29"/>
  <c r="BG86" i="29"/>
  <c r="BG7" i="3"/>
  <c r="BH7" i="9"/>
  <c r="BG8" i="9"/>
  <c r="BG11" i="9" s="1"/>
  <c r="BG78" i="4"/>
  <c r="BG79" i="4"/>
  <c r="BG81" i="4"/>
  <c r="BG208" i="1"/>
  <c r="BG250" i="1" l="1"/>
  <c r="BG36" i="9"/>
  <c r="BG48" i="3"/>
  <c r="BG14" i="3"/>
  <c r="BG96" i="29"/>
  <c r="BG105" i="29"/>
  <c r="BG32" i="29"/>
  <c r="BG21" i="3" l="1"/>
  <c r="BG44" i="29"/>
  <c r="BG52" i="29"/>
  <c r="BG35" i="9"/>
  <c r="BH39" i="9"/>
  <c r="BG37" i="9"/>
  <c r="BH34" i="9"/>
  <c r="BG252" i="1"/>
  <c r="BG251" i="1"/>
  <c r="BH41" i="9" l="1"/>
  <c r="BG46" i="3"/>
  <c r="BH198" i="1" l="1"/>
  <c r="BH200" i="1" l="1"/>
  <c r="BH79" i="29"/>
  <c r="BH22" i="29"/>
  <c r="BH291" i="1"/>
  <c r="BH201" i="1" l="1"/>
  <c r="BH202" i="1"/>
  <c r="BH205" i="1" s="1"/>
  <c r="BH24" i="29"/>
  <c r="BH81" i="29"/>
  <c r="BH245" i="1"/>
  <c r="BH111" i="29" l="1"/>
  <c r="BH82" i="29"/>
  <c r="BH94" i="29"/>
  <c r="BH103" i="29"/>
  <c r="BH6" i="4"/>
  <c r="BH206" i="1"/>
  <c r="BH25" i="29"/>
  <c r="BH290" i="1"/>
  <c r="BH246" i="1"/>
  <c r="BH248" i="1"/>
  <c r="BH247" i="1"/>
  <c r="BH30" i="29" l="1"/>
  <c r="BH20" i="4"/>
  <c r="BH41" i="3"/>
  <c r="BH28" i="29"/>
  <c r="BH84" i="29"/>
  <c r="BH48" i="4" l="1"/>
  <c r="BH44" i="4"/>
  <c r="BH301" i="1"/>
  <c r="BH303" i="1"/>
  <c r="BH112" i="29"/>
  <c r="BH95" i="29"/>
  <c r="BH104" i="29"/>
  <c r="BH58" i="29"/>
  <c r="BH43" i="29"/>
  <c r="BH51" i="29"/>
  <c r="BH43" i="3"/>
  <c r="BH45" i="4" l="1"/>
  <c r="BH77" i="4"/>
  <c r="BH72" i="4"/>
  <c r="BH49" i="4"/>
  <c r="BH50" i="4"/>
  <c r="BH45" i="3"/>
  <c r="BH302" i="1"/>
  <c r="BH73" i="4" l="1"/>
  <c r="BH75" i="4"/>
  <c r="BH74" i="4"/>
  <c r="BH79" i="4"/>
  <c r="BH81" i="4"/>
  <c r="BH78" i="4"/>
  <c r="BH7" i="3"/>
  <c r="BH8" i="9"/>
  <c r="BH11" i="9" s="1"/>
  <c r="BI7" i="9"/>
  <c r="BH87" i="29"/>
  <c r="BH304" i="1"/>
  <c r="BH209" i="1"/>
  <c r="BH254" i="1" l="1"/>
  <c r="BH33" i="29"/>
  <c r="BH208" i="1"/>
  <c r="BH86" i="29"/>
  <c r="BH36" i="9"/>
  <c r="BH14" i="3"/>
  <c r="BH48" i="3"/>
  <c r="BH21" i="3" l="1"/>
  <c r="BI39" i="9"/>
  <c r="BI34" i="9"/>
  <c r="BH35" i="9"/>
  <c r="BH37" i="9"/>
  <c r="BH32" i="29"/>
  <c r="BH96" i="29"/>
  <c r="BH105" i="29"/>
  <c r="BH250" i="1"/>
  <c r="BH252" i="1" l="1"/>
  <c r="BH251" i="1"/>
  <c r="BH46" i="3"/>
  <c r="BI41" i="9"/>
  <c r="BH44" i="29"/>
  <c r="BH52" i="29"/>
  <c r="BI198" i="1" l="1"/>
  <c r="BI79" i="29" l="1"/>
  <c r="BI22" i="29"/>
  <c r="BI200" i="1"/>
  <c r="BI291" i="1"/>
  <c r="BI202" i="1" l="1"/>
  <c r="BI201" i="1"/>
  <c r="BI24" i="29"/>
  <c r="BI245" i="1"/>
  <c r="BI81" i="29"/>
  <c r="BI111" i="29" l="1"/>
  <c r="BI82" i="29"/>
  <c r="BI94" i="29"/>
  <c r="BI103" i="29"/>
  <c r="BI290" i="1"/>
  <c r="BI246" i="1"/>
  <c r="BI248" i="1"/>
  <c r="BI247" i="1"/>
  <c r="BI205" i="1"/>
  <c r="BI25" i="29"/>
  <c r="BI28" i="29" l="1"/>
  <c r="BI30" i="29"/>
  <c r="BI6" i="4"/>
  <c r="BI206" i="1"/>
  <c r="BI84" i="29"/>
  <c r="BI301" i="1" l="1"/>
  <c r="BI303" i="1"/>
  <c r="BI112" i="29"/>
  <c r="BI95" i="29"/>
  <c r="BI104" i="29"/>
  <c r="BI20" i="4"/>
  <c r="BI41" i="3"/>
  <c r="BI58" i="29"/>
  <c r="BI43" i="29"/>
  <c r="BI51" i="29"/>
  <c r="BI302" i="1" l="1"/>
  <c r="BI44" i="4"/>
  <c r="BI48" i="4"/>
  <c r="BI43" i="3"/>
  <c r="BI72" i="4" l="1"/>
  <c r="BI77" i="4"/>
  <c r="BI49" i="4"/>
  <c r="BI50" i="4"/>
  <c r="BI45" i="4"/>
  <c r="BI45" i="3"/>
  <c r="BI304" i="1"/>
  <c r="BI87" i="29"/>
  <c r="BI209" i="1"/>
  <c r="BI86" i="29" l="1"/>
  <c r="BI8" i="9"/>
  <c r="BI11" i="9" s="1"/>
  <c r="BI7" i="3"/>
  <c r="BJ7" i="9"/>
  <c r="BI79" i="4"/>
  <c r="BI78" i="4"/>
  <c r="BI81" i="4"/>
  <c r="BI254" i="1"/>
  <c r="BI33" i="29"/>
  <c r="BI75" i="4"/>
  <c r="BI74" i="4"/>
  <c r="BI73" i="4"/>
  <c r="BI208" i="1"/>
  <c r="BI14" i="3" l="1"/>
  <c r="BI48" i="3"/>
  <c r="BI36" i="9"/>
  <c r="BI32" i="29"/>
  <c r="BI250" i="1"/>
  <c r="BI96" i="29"/>
  <c r="BI105" i="29"/>
  <c r="BI44" i="29" l="1"/>
  <c r="BI52" i="29"/>
  <c r="BI252" i="1"/>
  <c r="BI251" i="1"/>
  <c r="BJ39" i="9"/>
  <c r="BJ34" i="9"/>
  <c r="BI37" i="9"/>
  <c r="BI35" i="9"/>
  <c r="BI21" i="3"/>
  <c r="BJ41" i="9" l="1"/>
  <c r="CE39" i="9"/>
  <c r="CE38" i="9" s="1"/>
  <c r="BI46" i="3"/>
  <c r="BJ198" i="1" l="1"/>
  <c r="CE41" i="9"/>
  <c r="BJ79" i="29" l="1"/>
  <c r="BJ200" i="1"/>
  <c r="BJ22" i="29"/>
  <c r="BJ291" i="1"/>
  <c r="CE291" i="1" s="1"/>
  <c r="CE198" i="1"/>
  <c r="CE292" i="1" l="1"/>
  <c r="CE245" i="1"/>
  <c r="CE200" i="1"/>
  <c r="BJ81" i="29"/>
  <c r="CE79" i="29"/>
  <c r="BJ24" i="29"/>
  <c r="CE22" i="29"/>
  <c r="BJ202" i="1"/>
  <c r="BJ205" i="1" s="1"/>
  <c r="BJ201" i="1"/>
  <c r="BJ245" i="1"/>
  <c r="BJ6" i="4" l="1"/>
  <c r="BJ206" i="1"/>
  <c r="CE246" i="1"/>
  <c r="CE248" i="1"/>
  <c r="BJ246" i="1"/>
  <c r="BJ248" i="1"/>
  <c r="BJ247" i="1"/>
  <c r="BJ111" i="29"/>
  <c r="BJ82" i="29"/>
  <c r="BJ84" i="29" s="1"/>
  <c r="BJ94" i="29"/>
  <c r="BJ103" i="29"/>
  <c r="BJ290" i="1"/>
  <c r="CE202" i="1"/>
  <c r="CE205" i="1" s="1"/>
  <c r="CE24" i="29"/>
  <c r="CE81" i="29"/>
  <c r="CE201" i="1"/>
  <c r="BJ25" i="29"/>
  <c r="CE206" i="1" l="1"/>
  <c r="CE25" i="29"/>
  <c r="BJ30" i="29"/>
  <c r="CE82" i="29"/>
  <c r="CE84" i="29" s="1"/>
  <c r="BJ20" i="4"/>
  <c r="CE6" i="4"/>
  <c r="BJ41" i="3"/>
  <c r="BJ301" i="1"/>
  <c r="BJ112" i="29"/>
  <c r="BJ303" i="1"/>
  <c r="CE303" i="1" s="1"/>
  <c r="BJ95" i="29"/>
  <c r="BJ104" i="29"/>
  <c r="BJ28" i="29"/>
  <c r="CE290" i="1"/>
  <c r="CE28" i="29" s="1"/>
  <c r="CE203" i="1"/>
  <c r="CE111" i="29"/>
  <c r="CE94" i="29"/>
  <c r="BJ302" i="1" l="1"/>
  <c r="CE301" i="1"/>
  <c r="BJ58" i="29"/>
  <c r="BJ43" i="29"/>
  <c r="BJ51" i="29"/>
  <c r="CE26" i="29"/>
  <c r="CE30" i="29"/>
  <c r="CE112" i="29"/>
  <c r="CE95" i="29"/>
  <c r="BJ44" i="4"/>
  <c r="BJ48" i="4"/>
  <c r="CE83" i="29"/>
  <c r="BJ43" i="3"/>
  <c r="CE41" i="3"/>
  <c r="CE20" i="4"/>
  <c r="CE43" i="3" l="1"/>
  <c r="BJ45" i="3"/>
  <c r="BJ87" i="29"/>
  <c r="BJ304" i="1"/>
  <c r="BJ209" i="1"/>
  <c r="CE302" i="1"/>
  <c r="CE44" i="4"/>
  <c r="CE48" i="4"/>
  <c r="BJ77" i="4"/>
  <c r="BJ72" i="4"/>
  <c r="BJ49" i="4"/>
  <c r="BJ50" i="4"/>
  <c r="BJ45" i="4"/>
  <c r="CE58" i="29"/>
  <c r="CE43" i="29"/>
  <c r="BJ8" i="9" l="1"/>
  <c r="BJ7" i="3"/>
  <c r="BK7" i="9"/>
  <c r="CE87" i="29"/>
  <c r="BJ86" i="29"/>
  <c r="BJ75" i="4"/>
  <c r="BJ73" i="4"/>
  <c r="BJ74" i="4"/>
  <c r="BJ78" i="4"/>
  <c r="BJ81" i="4"/>
  <c r="BJ79" i="4"/>
  <c r="CE209" i="1"/>
  <c r="CE208" i="1" s="1"/>
  <c r="BJ208" i="1"/>
  <c r="BJ254" i="1"/>
  <c r="BJ33" i="29"/>
  <c r="CE304" i="1"/>
  <c r="CE77" i="4"/>
  <c r="CE72" i="4"/>
  <c r="CE49" i="4"/>
  <c r="CE45" i="4"/>
  <c r="CE45" i="3"/>
  <c r="CE75" i="4" l="1"/>
  <c r="CE73" i="4"/>
  <c r="BJ96" i="29"/>
  <c r="BJ105" i="29"/>
  <c r="I10" i="2"/>
  <c r="CE81" i="4"/>
  <c r="CE79" i="4"/>
  <c r="CE86" i="29"/>
  <c r="CE33" i="29"/>
  <c r="BJ32" i="29"/>
  <c r="I17" i="2"/>
  <c r="CE254" i="1"/>
  <c r="CE250" i="1" s="1"/>
  <c r="BJ250" i="1"/>
  <c r="CE7" i="3"/>
  <c r="BJ14" i="3"/>
  <c r="BJ48" i="3"/>
  <c r="BJ36" i="9"/>
  <c r="CE8" i="9"/>
  <c r="CF7" i="9" s="1"/>
  <c r="BJ11" i="9"/>
  <c r="CE11" i="9" s="1"/>
  <c r="I11" i="2" l="1"/>
  <c r="BK39" i="9"/>
  <c r="BK34" i="9"/>
  <c r="CF34" i="9" s="1"/>
  <c r="BJ37" i="9"/>
  <c r="CE36" i="9"/>
  <c r="CE37" i="9" s="1"/>
  <c r="BJ35" i="9"/>
  <c r="CE35" i="9" s="1"/>
  <c r="CE48" i="3"/>
  <c r="CE14" i="3"/>
  <c r="BJ21" i="3"/>
  <c r="BJ44" i="29"/>
  <c r="BJ52" i="29"/>
  <c r="CE32" i="29"/>
  <c r="I23" i="2"/>
  <c r="I30" i="2"/>
  <c r="CE96" i="29"/>
  <c r="BJ252" i="1"/>
  <c r="BJ251" i="1"/>
  <c r="CE252" i="1"/>
  <c r="I12" i="2" l="1"/>
  <c r="CE44" i="29"/>
  <c r="CE21" i="3"/>
  <c r="BJ46" i="3"/>
  <c r="I24" i="2"/>
  <c r="I31" i="2"/>
  <c r="BK41" i="9"/>
  <c r="I15" i="2"/>
  <c r="CE46" i="3" l="1"/>
  <c r="J28" i="2"/>
  <c r="I18" i="2"/>
  <c r="J29" i="2"/>
  <c r="BK198" i="1"/>
  <c r="I25" i="2"/>
  <c r="I32" i="2"/>
  <c r="BK291" i="1" l="1"/>
  <c r="BK245" i="1" s="1"/>
  <c r="BK79" i="29"/>
  <c r="BK200" i="1"/>
  <c r="BK22" i="29"/>
  <c r="J22" i="2"/>
  <c r="J21" i="2"/>
  <c r="BK202" i="1" l="1"/>
  <c r="BK205" i="1" s="1"/>
  <c r="BK201" i="1"/>
  <c r="BK81" i="29"/>
  <c r="BK246" i="1"/>
  <c r="BK248" i="1"/>
  <c r="BK247" i="1"/>
  <c r="BK24" i="29"/>
  <c r="BK111" i="29" l="1"/>
  <c r="BK82" i="29"/>
  <c r="BK94" i="29"/>
  <c r="BK103" i="29"/>
  <c r="BK6" i="4"/>
  <c r="BK206" i="1"/>
  <c r="BK290" i="1"/>
  <c r="BK25" i="29"/>
  <c r="BK30" i="29" l="1"/>
  <c r="BK28" i="29"/>
  <c r="BK20" i="4"/>
  <c r="BK41" i="3"/>
  <c r="BK84" i="29"/>
  <c r="BK303" i="1" l="1"/>
  <c r="BK301" i="1"/>
  <c r="BK112" i="29"/>
  <c r="BK95" i="29"/>
  <c r="BK104" i="29"/>
  <c r="BK58" i="29"/>
  <c r="BK43" i="29"/>
  <c r="BK51" i="29"/>
  <c r="BK43" i="3"/>
  <c r="BK48" i="4"/>
  <c r="BK44" i="4"/>
  <c r="BK45" i="4" l="1"/>
  <c r="BK302" i="1"/>
  <c r="BK45" i="3"/>
  <c r="BK77" i="4"/>
  <c r="BK72" i="4"/>
  <c r="BK49" i="4"/>
  <c r="BK50" i="4"/>
  <c r="BK209" i="1" l="1"/>
  <c r="BK87" i="29"/>
  <c r="BK304" i="1"/>
  <c r="BK81" i="4"/>
  <c r="BK79" i="4"/>
  <c r="BK78" i="4"/>
  <c r="BK73" i="4"/>
  <c r="BK75" i="4"/>
  <c r="BK74" i="4"/>
  <c r="BK7" i="3"/>
  <c r="BK8" i="9"/>
  <c r="BK11" i="9" s="1"/>
  <c r="BL7" i="9"/>
  <c r="BK86" i="29" l="1"/>
  <c r="BK36" i="9"/>
  <c r="BK14" i="3"/>
  <c r="BK48" i="3"/>
  <c r="BK208" i="1"/>
  <c r="BK254" i="1"/>
  <c r="BK33" i="29"/>
  <c r="BK35" i="9" l="1"/>
  <c r="BL39" i="9"/>
  <c r="BL34" i="9"/>
  <c r="BK37" i="9"/>
  <c r="BK250" i="1"/>
  <c r="BK32" i="29"/>
  <c r="BK21" i="3"/>
  <c r="BK96" i="29"/>
  <c r="BK105" i="29"/>
  <c r="BK46" i="3" l="1"/>
  <c r="BL41" i="9"/>
  <c r="BK252" i="1"/>
  <c r="BK251" i="1"/>
  <c r="BK44" i="29"/>
  <c r="BK52" i="29"/>
  <c r="BL198" i="1" l="1"/>
  <c r="BL22" i="29" l="1"/>
  <c r="BL200" i="1"/>
  <c r="BL79" i="29"/>
  <c r="BL291" i="1"/>
  <c r="BL81" i="29" l="1"/>
  <c r="BL245" i="1"/>
  <c r="BL202" i="1"/>
  <c r="BL205" i="1" s="1"/>
  <c r="BL201" i="1"/>
  <c r="BL24" i="29"/>
  <c r="BL6" i="4" l="1"/>
  <c r="BL206" i="1"/>
  <c r="BL25" i="29"/>
  <c r="BL82" i="29"/>
  <c r="BL84" i="29" s="1"/>
  <c r="BL111" i="29"/>
  <c r="BL94" i="29"/>
  <c r="BL103" i="29"/>
  <c r="BL290" i="1"/>
  <c r="BL246" i="1"/>
  <c r="BL248" i="1"/>
  <c r="BL247" i="1"/>
  <c r="BL30" i="29" l="1"/>
  <c r="BL28" i="29"/>
  <c r="BL301" i="1"/>
  <c r="BL112" i="29"/>
  <c r="BL303" i="1"/>
  <c r="BL95" i="29"/>
  <c r="BL104" i="29"/>
  <c r="BL20" i="4"/>
  <c r="BL41" i="3"/>
  <c r="BL58" i="29" l="1"/>
  <c r="BL43" i="29"/>
  <c r="BL51" i="29"/>
  <c r="BL43" i="3"/>
  <c r="BL302" i="1"/>
  <c r="BL44" i="4"/>
  <c r="BL48" i="4"/>
  <c r="BL87" i="29" l="1"/>
  <c r="BL304" i="1"/>
  <c r="BL209" i="1"/>
  <c r="BL72" i="4"/>
  <c r="BL77" i="4"/>
  <c r="BL49" i="4"/>
  <c r="BL50" i="4"/>
  <c r="BL45" i="3"/>
  <c r="BL45" i="4"/>
  <c r="BL33" i="29" l="1"/>
  <c r="BL254" i="1"/>
  <c r="BL208" i="1"/>
  <c r="BL86" i="29"/>
  <c r="BL8" i="9"/>
  <c r="BL11" i="9" s="1"/>
  <c r="BM7" i="9"/>
  <c r="BL7" i="3"/>
  <c r="BL81" i="4"/>
  <c r="BL78" i="4"/>
  <c r="BL79" i="4"/>
  <c r="BL75" i="4"/>
  <c r="BL74" i="4"/>
  <c r="BL73" i="4"/>
  <c r="BL96" i="29" l="1"/>
  <c r="BL105" i="29"/>
  <c r="BL32" i="29"/>
  <c r="BL14" i="3"/>
  <c r="BL48" i="3"/>
  <c r="BL36" i="9"/>
  <c r="BL250" i="1"/>
  <c r="BL44" i="29" l="1"/>
  <c r="BL52" i="29"/>
  <c r="BM39" i="9"/>
  <c r="BM34" i="9"/>
  <c r="BL37" i="9"/>
  <c r="BL35" i="9"/>
  <c r="BL252" i="1"/>
  <c r="BL251" i="1"/>
  <c r="BL21" i="3"/>
  <c r="BL46" i="3" l="1"/>
  <c r="BM41" i="9"/>
  <c r="BM198" i="1" l="1"/>
  <c r="BM79" i="29" l="1"/>
  <c r="BM22" i="29"/>
  <c r="BM200" i="1"/>
  <c r="BM291" i="1"/>
  <c r="BM201" i="1" l="1"/>
  <c r="BM202" i="1"/>
  <c r="BM205" i="1" s="1"/>
  <c r="BM24" i="29"/>
  <c r="BM245" i="1"/>
  <c r="BM81" i="29"/>
  <c r="BM25" i="29" l="1"/>
  <c r="BM246" i="1"/>
  <c r="BM248" i="1"/>
  <c r="BM247" i="1"/>
  <c r="BM111" i="29"/>
  <c r="BM82" i="29"/>
  <c r="BM94" i="29"/>
  <c r="BM103" i="29"/>
  <c r="BM6" i="4"/>
  <c r="BM206" i="1"/>
  <c r="BM290" i="1"/>
  <c r="BM28" i="29" l="1"/>
  <c r="BM20" i="4"/>
  <c r="BM41" i="3"/>
  <c r="BM84" i="29"/>
  <c r="BM30" i="29"/>
  <c r="BM301" i="1" l="1"/>
  <c r="BM303" i="1"/>
  <c r="BM112" i="29"/>
  <c r="BM95" i="29"/>
  <c r="BM104" i="29"/>
  <c r="BM48" i="4"/>
  <c r="BM44" i="4"/>
  <c r="BM58" i="29"/>
  <c r="BM43" i="29"/>
  <c r="BM51" i="29"/>
  <c r="BM43" i="3"/>
  <c r="BM302" i="1" l="1"/>
  <c r="BM45" i="3"/>
  <c r="BM72" i="4"/>
  <c r="BM77" i="4"/>
  <c r="BM49" i="4"/>
  <c r="BM50" i="4"/>
  <c r="BM45" i="4"/>
  <c r="BM74" i="4" l="1"/>
  <c r="BM75" i="4"/>
  <c r="BM73" i="4"/>
  <c r="BM304" i="1"/>
  <c r="BM87" i="29"/>
  <c r="BM209" i="1"/>
  <c r="BM7" i="3"/>
  <c r="BM8" i="9"/>
  <c r="BM11" i="9" s="1"/>
  <c r="BN7" i="9"/>
  <c r="BM81" i="4"/>
  <c r="BM79" i="4"/>
  <c r="BM78" i="4"/>
  <c r="BM208" i="1" l="1"/>
  <c r="BM86" i="29"/>
  <c r="BM48" i="3"/>
  <c r="BM36" i="9"/>
  <c r="BM14" i="3"/>
  <c r="BM33" i="29"/>
  <c r="BM254" i="1"/>
  <c r="BM250" i="1" l="1"/>
  <c r="BM96" i="29"/>
  <c r="BM105" i="29"/>
  <c r="BM32" i="29"/>
  <c r="BM21" i="3"/>
  <c r="BN39" i="9"/>
  <c r="BM37" i="9"/>
  <c r="BN34" i="9"/>
  <c r="BM35" i="9"/>
  <c r="BN41" i="9" l="1"/>
  <c r="CF39" i="9"/>
  <c r="CF38" i="9" s="1"/>
  <c r="BM46" i="3"/>
  <c r="BM252" i="1"/>
  <c r="BM251" i="1"/>
  <c r="BM44" i="29"/>
  <c r="BM52" i="29"/>
  <c r="BN198" i="1" l="1"/>
  <c r="CF41" i="9"/>
  <c r="BN22" i="29" l="1"/>
  <c r="BN79" i="29"/>
  <c r="BN200" i="1"/>
  <c r="BN291" i="1"/>
  <c r="CF291" i="1" s="1"/>
  <c r="CF198" i="1"/>
  <c r="CF292" i="1" l="1"/>
  <c r="CF200" i="1"/>
  <c r="CF245" i="1"/>
  <c r="BN202" i="1"/>
  <c r="BN205" i="1" s="1"/>
  <c r="BN201" i="1"/>
  <c r="BN81" i="29"/>
  <c r="CF79" i="29"/>
  <c r="BN24" i="29"/>
  <c r="CF22" i="29"/>
  <c r="BN245" i="1"/>
  <c r="BN6" i="4" l="1"/>
  <c r="BN206" i="1"/>
  <c r="BN25" i="29"/>
  <c r="BN246" i="1"/>
  <c r="BN248" i="1"/>
  <c r="BN247" i="1"/>
  <c r="CF246" i="1"/>
  <c r="CF248" i="1"/>
  <c r="CF81" i="29"/>
  <c r="CF24" i="29"/>
  <c r="CF201" i="1"/>
  <c r="BN82" i="29"/>
  <c r="BN84" i="29" s="1"/>
  <c r="BN111" i="29"/>
  <c r="BN94" i="29"/>
  <c r="BN103" i="29"/>
  <c r="BN290" i="1"/>
  <c r="CF202" i="1"/>
  <c r="CF205" i="1" s="1"/>
  <c r="BN301" i="1" l="1"/>
  <c r="BN303" i="1"/>
  <c r="CF303" i="1" s="1"/>
  <c r="BN112" i="29"/>
  <c r="BN95" i="29"/>
  <c r="BN104" i="29"/>
  <c r="CF206" i="1"/>
  <c r="CF25" i="29"/>
  <c r="BN30" i="29"/>
  <c r="CF82" i="29"/>
  <c r="CF111" i="29"/>
  <c r="CF94" i="29"/>
  <c r="CF203" i="1"/>
  <c r="BN20" i="4"/>
  <c r="CF6" i="4"/>
  <c r="BN41" i="3"/>
  <c r="BN28" i="29"/>
  <c r="CF290" i="1"/>
  <c r="CF28" i="29" s="1"/>
  <c r="BN58" i="29" l="1"/>
  <c r="BN43" i="29"/>
  <c r="BN51" i="29"/>
  <c r="BN302" i="1"/>
  <c r="CF301" i="1"/>
  <c r="BN44" i="4"/>
  <c r="BN48" i="4"/>
  <c r="CF83" i="29"/>
  <c r="CF20" i="4"/>
  <c r="CF26" i="29"/>
  <c r="CF30" i="29"/>
  <c r="BN43" i="3"/>
  <c r="CF41" i="3"/>
  <c r="CF84" i="29"/>
  <c r="BN72" i="4" l="1"/>
  <c r="BN77" i="4"/>
  <c r="BN49" i="4"/>
  <c r="BN50" i="4"/>
  <c r="BN45" i="4"/>
  <c r="CF48" i="4"/>
  <c r="CF44" i="4"/>
  <c r="BN304" i="1"/>
  <c r="BN87" i="29"/>
  <c r="BN209" i="1"/>
  <c r="CF302" i="1"/>
  <c r="CF58" i="29"/>
  <c r="CF43" i="29"/>
  <c r="CF112" i="29"/>
  <c r="CF95" i="29"/>
  <c r="BN45" i="3"/>
  <c r="CF43" i="3"/>
  <c r="BN81" i="4" l="1"/>
  <c r="BN78" i="4"/>
  <c r="BN79" i="4"/>
  <c r="BN74" i="4"/>
  <c r="BN73" i="4"/>
  <c r="BN75" i="4"/>
  <c r="BN7" i="3"/>
  <c r="BN8" i="9"/>
  <c r="CF45" i="4"/>
  <c r="CF77" i="4"/>
  <c r="CF72" i="4"/>
  <c r="CF49" i="4"/>
  <c r="CF45" i="3"/>
  <c r="CF209" i="1"/>
  <c r="CF208" i="1" s="1"/>
  <c r="BN208" i="1"/>
  <c r="CF87" i="29"/>
  <c r="BN86" i="29"/>
  <c r="BN254" i="1"/>
  <c r="BN33" i="29"/>
  <c r="CF304" i="1"/>
  <c r="J17" i="2" l="1"/>
  <c r="CF254" i="1"/>
  <c r="CF250" i="1" s="1"/>
  <c r="CF252" i="1" s="1"/>
  <c r="BN250" i="1"/>
  <c r="BN96" i="29"/>
  <c r="BN105" i="29"/>
  <c r="CF8" i="9"/>
  <c r="BN11" i="9"/>
  <c r="CF11" i="9" s="1"/>
  <c r="CF33" i="29"/>
  <c r="BN32" i="29"/>
  <c r="CF86" i="29"/>
  <c r="CF7" i="3"/>
  <c r="BN48" i="3"/>
  <c r="BN36" i="9"/>
  <c r="BN14" i="3"/>
  <c r="CF75" i="4"/>
  <c r="CF73" i="4"/>
  <c r="J10" i="2"/>
  <c r="CF81" i="4"/>
  <c r="CF79" i="4"/>
  <c r="BN44" i="29" l="1"/>
  <c r="BN52" i="29"/>
  <c r="BN252" i="1"/>
  <c r="BN251" i="1"/>
  <c r="CF96" i="29"/>
  <c r="BN21" i="3"/>
  <c r="CF14" i="3"/>
  <c r="CF48" i="3"/>
  <c r="J11" i="2"/>
  <c r="CF32" i="29"/>
  <c r="J30" i="2"/>
  <c r="J23" i="2"/>
  <c r="CF36" i="9"/>
  <c r="CF37" i="9" s="1"/>
  <c r="BN35" i="9"/>
  <c r="CF35" i="9" s="1"/>
  <c r="BN37" i="9"/>
  <c r="CF21" i="3" l="1"/>
  <c r="BN46" i="3"/>
  <c r="J12" i="2"/>
  <c r="CF44" i="29"/>
  <c r="J31" i="2"/>
  <c r="J24" i="2"/>
  <c r="J15" i="2"/>
  <c r="J18" i="2" s="1"/>
  <c r="CF46" i="3" l="1"/>
  <c r="J25" i="2"/>
  <c r="J32" i="2"/>
  <c r="AV33" i="29" l="1"/>
  <c r="AV254" i="1"/>
  <c r="AV250" i="1" s="1"/>
  <c r="CB33" i="29" l="1"/>
  <c r="AV32" i="29"/>
  <c r="CB254" i="1"/>
  <c r="AV252" i="1"/>
  <c r="AW251" i="1"/>
  <c r="AZ252" i="1"/>
  <c r="AV251" i="1"/>
  <c r="CB32" i="29"/>
  <c r="AZ44" i="29"/>
  <c r="AW52" i="29"/>
  <c r="AV52" i="29"/>
  <c r="AV44" i="29" l="1"/>
  <c r="CB250" i="1"/>
  <c r="F12" i="2"/>
  <c r="CC44" i="29"/>
  <c r="CB44" i="29"/>
  <c r="CB304" i="1"/>
  <c r="CC252" i="1" l="1"/>
  <c r="CB252" i="1"/>
  <c r="F25" i="2"/>
  <c r="F32" i="2"/>
  <c r="AV303" i="1" l="1"/>
  <c r="CB303" i="1"/>
  <c r="AV305" i="1" l="1"/>
  <c r="CB30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Naftalovich, Gili</author>
  </authors>
  <commentList>
    <comment ref="A1" authorId="0" shapeId="0" xr:uid="{C08A2526-FE8D-40AF-8F4E-AB05BFA995AE}">
      <text>
        <r>
          <rPr>
            <b/>
            <sz val="9"/>
            <color indexed="81"/>
            <rFont val="Tahoma"/>
            <family val="2"/>
          </rPr>
          <t>&lt;?xml version="1.0" encoding="utf-8"?&gt;&lt;Schema xmlns:xsd="http://www.w3.org/2001/XMLSchema" xmlns:xsi="http://www.w3.org/2001/XMLSchema-instance" Version="2" Timestamp="1634332401"&gt;&lt;FQL&gt;&lt;Q&gt;EA-US^FE_TIMESERIES(NETSALES,MEAN,2021/1C,2021/1C,FQ,'BKRACTMED=1,WIN=0,UKCURRENCY=GBX,DATE=NOW')&lt;/Q&gt;&lt;R&gt;1&lt;/R&gt;&lt;C&gt;1&lt;/C&gt;&lt;D xsi:type="xsd:double"&gt;1490&lt;/D&gt;&lt;/FQL&gt;&lt;FQL&gt;&lt;Q&gt;EA-US^FE_TIMESERIES(EBITR,MEAN,2021/1C,2021/1C,FQ,'WIN=0,UKCURRENCY=GBX,DATE=NOW')&lt;/Q&gt;&lt;R&gt;1&lt;/R&gt;&lt;C&gt;1&lt;/C&gt;&lt;D xsi:type="xsd:double"&gt;204.8&lt;/D&gt;&lt;/FQL&gt;&lt;FQL&gt;&lt;Q&gt;EA-US^FE_TIMESERIES(EAG,MEAN,2021,2021,FY,'WIN=0,UKCURRENCY=GBX,DATE=NOW')&lt;/Q&gt;&lt;R&gt;1&lt;/R&gt;&lt;C&gt;1&lt;/C&gt;&lt;D xsi:type="xsd:double"&gt;2.1071806&lt;/D&gt;&lt;/FQL&gt;&lt;FQL&gt;&lt;Q&gt;EA-US^FE_TIMESERIES(EBIT_ADJ,MEAN,2021,2021,FY,'BKRACTMED=1,WIN=0,UKCURRENCY=GBX,DATE=NOW')&lt;/Q&gt;&lt;R&gt;1&lt;/R&gt;&lt;C&gt;1&lt;/C&gt;&lt;D xsi:type="xsd:double"&gt;2328.5635&lt;/D&gt;&lt;/FQL&gt;&lt;FQL&gt;&lt;Q&gt;EA-US^FE_TIMESERIES(EAG,MEAN,2021/2C,2021/2C,FQ,'WIN=0,UKCURRENCY=GBX,DATE=NOW')&lt;/Q&gt;&lt;R&gt;1&lt;/R&gt;&lt;C&gt;1&lt;/C&gt;&lt;D xsi:type="xsd:double"&gt;0.40491742&lt;/D&gt;&lt;/FQL&gt;&lt;FQL&gt;&lt;Q&gt;EA-US^FE_TIMESERIES(EBIT_ADJ,MEAN,2021/2C,2021/2C,FQ,'BKRACTMED=1,WIN=0,UKCURRENCY=GBX,DATE=NOW')&lt;/Q&gt;&lt;R&gt;1&lt;/R&gt;&lt;C&gt;1&lt;/C&gt;&lt;D xsi:type="xsd:double"&gt;232.31&lt;/D&gt;&lt;/FQL&gt;&lt;FQL&gt;&lt;Q&gt;EA-US^FE_TIMESERIES(TOTALREV,MEAN,2022,2022,FY,'WIN=0,UKCURRENCY=GBX,DATE=NOW')&lt;/Q&gt;&lt;R&gt;1&lt;/R&gt;&lt;C&gt;1&lt;/C&gt;&lt;D xsi:type="xsd:double"&gt;7792.169&lt;/D&gt;&lt;/FQL&gt;&lt;FQL&gt;&lt;Q&gt;EA-US^FE_TIMESERIES(TOTALREV,MEAN,2021/3FQ,2021/3FQ,FQ,'WIN=0,UKCURRENCY=GBX,DATE=NOW')&lt;/Q&gt;&lt;R&gt;1&lt;/R&gt;&lt;C&gt;1&lt;/C&gt;&lt;D xsi:type="xsd:string"&gt;#NUM&lt;/D&gt;&lt;/FQL&gt;&lt;FQL&gt;&lt;Q&gt;EA^IC_ESTIMATE(SALES,MEAN,QTR,2021/3C,0)&lt;/Q&gt;&lt;R&gt;1&lt;/R&gt;&lt;C&gt;1&lt;/C&gt;&lt;D xsi:type="xsd:double"&gt;1514.232&lt;/D&gt;&lt;/FQL&gt;&lt;FQL&gt;&lt;Q&gt;EA-US^FE_TIMESERIES(CFO,MEAN,2021,2021,Y,'WIN=0,UKCURRENCY=GBX,DATE=NOW')&lt;/Q&gt;&lt;R&gt;1&lt;/R&gt;&lt;C&gt;1&lt;/C&gt;&lt;D xsi:type="xsd:double"&gt;1985.909&lt;/D&gt;&lt;/FQL&gt;&lt;FQL&gt;&lt;Q&gt;EA-US^FE_TIMESERIES(TOTALREV,MEAN,2021/2C,2021/2C,FQ,'WIN=0,UKCURRENCY=GBX,DATE=NOW')&lt;/Q&gt;&lt;R&gt;1&lt;/R&gt;&lt;C&gt;1&lt;/C&gt;&lt;D xsi:type="xsd:double"&gt;1453.0625&lt;/D&gt;&lt;/FQL&gt;&lt;FQL&gt;&lt;Q&gt;EA^IC_ESTIMATE(SALES,MEAN,QTR,2021/3FQ,0)&lt;/Q&gt;&lt;R&gt;1&lt;/R&gt;&lt;C&gt;1&lt;/C&gt;&lt;D xsi:type="xsd:string"&gt;#NUM&lt;/D&gt;&lt;/FQL&gt;&lt;FQL&gt;&lt;Q&gt;EA-US^FE_TIMESERIES(FCF,MEAN,2021/1C,2021/1C,FQ,'WIN=0,UKCURRENCY=GBX,DATE=NOW')&lt;/Q&gt;&lt;R&gt;1&lt;/R&gt;&lt;C&gt;1&lt;/C&gt;&lt;D xsi:type="xsd:double"&gt;340&lt;/D&gt;&lt;/FQL&gt;&lt;FQL&gt;&lt;Q&gt;EA-US^FE_TIMESERIES(EBITDA_ADJ,MEAN,2021/2C,2021/2C,FQ,'BKRACTMED=1,WIN=0,UKCURRENCY=GBX,DATE=NOW')&lt;/Q&gt;&lt;R&gt;1&lt;/R&gt;&lt;C&gt;1&lt;/C&gt;&lt;D xsi:type="xsd:double"&gt;288.9389&lt;/D&gt;&lt;/FQL&gt;&lt;FQL&gt;&lt;Q&gt;EA^IC_ESTIMATE(SALES,MEAN,QTR,2021/1C,0)&lt;/Q&gt;&lt;R&gt;0&lt;/R&gt;&lt;C&gt;0&lt;/C&gt;&lt;/FQL&gt;&lt;FQL&gt;&lt;Q&gt;EA-US^FE_TIMESERIES(FCF,MEAN,2021/2C,2021/2C,FQ,'WIN=0,UKCURRENCY=GBX,DATE=NOW')&lt;/Q&gt;&lt;R&gt;1&lt;/R&gt;&lt;C&gt;1&lt;/C&gt;&lt;D xsi:type="xsd:double"&gt;125.166664&lt;/D&gt;&lt;/FQL&gt;&lt;FQL&gt;&lt;Q&gt;EA-US^FE_TIMESERIES(EAG,MEAN,2021,2021,Y,'WIN=0,UKCURRENCY=GBX,DATE=NOW')&lt;/Q&gt;&lt;R&gt;1&lt;/R&gt;&lt;C&gt;1&lt;/C&gt;&lt;D xsi:type="xsd:double"&gt;2.0494626&lt;/D&gt;&lt;/FQL&gt;&lt;FQL&gt;&lt;Q&gt;EA-US^FE_TIMESERIES(TOTALREV,MEAN,2021,2021,FY,'WIN=0,UKCURRENCY=GBX,DATE=NOW')&lt;/Q&gt;&lt;R&gt;1&lt;/R&gt;&lt;C&gt;1&lt;/C&gt;&lt;D xsi:type="xsd:double"&gt;7085.454&lt;/D&gt;&lt;/FQL&gt;&lt;FQL&gt;&lt;Q&gt;EA-US^FE_TIMESERIES(NETSALES,MEAN,2021,2021,FY,'BKRACTMED=1,WIN=0,UKCURRENCY=GBX,DATE=NOW')&lt;/Q&gt;&lt;R&gt;1&lt;/R&gt;&lt;C&gt;1&lt;/C&gt;&lt;D xsi:type="xsd:double"&gt;7467.981&lt;/D&gt;&lt;/FQL&gt;&lt;FQL&gt;&lt;Q&gt;EA-US^FE_TIMESERIES(EBITDA_ADJ,MEAN,2021,2021,FY,'BKRACTMED=1,WIN=0,UKCURRENCY=GBX,DATE=NOW')&lt;/Q&gt;&lt;R&gt;1&lt;/R&gt;&lt;C&gt;1&lt;/C&gt;&lt;D xsi:type="xsd:double"&gt;2600.579&lt;/D&gt;&lt;/FQL&gt;&lt;FQL&gt;&lt;Q&gt;EA-US^FE_TIMESERIES(EBG,MEAN,2021/2C,2021/2C,FQ,'BKRACTMED=1,WIN=0,UKCURRENCY=GBX,DATE=NOW')&lt;/Q&gt;&lt;R&gt;1&lt;/R&gt;&lt;C&gt;1&lt;/C&gt;&lt;D xsi:type="xsd:double"&gt;0.62444556&lt;/D&gt;&lt;/FQL&gt;&lt;FQL&gt;&lt;Q&gt;EA^IC_ESTIMATE(SALES,MEAN,QTR,2021/2C,0)&lt;/Q&gt;&lt;R&gt;1&lt;/R&gt;&lt;C&gt;1&lt;/C&gt;&lt;D xsi:type="xsd:double"&gt;1275.7&lt;/D&gt;&lt;/FQL&gt;&lt;FQL&gt;&lt;Q&gt;EA-US^FE_TIMESERIES(TOTALREV,MEAN,2021,2021,Y,'WIN=0,UKCURRENCY=GBX,DATE=NOW')&lt;/Q&gt;&lt;R&gt;1&lt;/R&gt;&lt;C&gt;1&lt;/C&gt;&lt;D xsi:type="xsd:double"&gt;7122.231&lt;/D&gt;&lt;/FQL&gt;&lt;FQL&gt;&lt;Q&gt;EA-US^FE_TIMESERIES(NETSALES,MEAN,2022,2022,FY,'BKRACTMED=1,WIN=0,UKCURRENCY=GBX,DATE=NOW')&lt;/Q&gt;&lt;R&gt;1&lt;/R&gt;&lt;C&gt;1&lt;/C&gt;&lt;D xsi:type="xsd:double"&gt;7892.8906&lt;/D&gt;&lt;/FQL&gt;&lt;FQL&gt;&lt;Q&gt;EA-US^FE_TIMESERIES(TOTALREV,MEAN,2021/3C,2021/3C,FQ,'WIN=0,UKCURRENCY=GBX,DATE=NOW')&lt;/Q&gt;&lt;R&gt;1&lt;/R&gt;&lt;C&gt;1&lt;/C&gt;&lt;D xsi:type="xsd:double"&gt;1398.1&lt;/D&gt;&lt;/FQL&gt;&lt;FQL&gt;&lt;Q&gt;EA-US^FE_TIMESERIES(EBITR,MEAN,2021/2C,2021/2C,FQ,'WIN=0,UKCURRENCY=GBX,DATE=NOW')&lt;/Q&gt;&lt;R&gt;1&lt;/R&gt;&lt;C&gt;1&lt;/C&gt;&lt;D xsi:type="xsd:double"&gt;226.325&lt;/D&gt;&lt;/FQL&gt;&lt;FQL&gt;&lt;Q&gt;EA-US^FE_TIMESERIES(EAG,MEAN,2021/3FQ,2021/3FQ,FQ,'WIN=0,UKCURRENCY=GBX,DATE=NOW')&lt;/Q&gt;&lt;R&gt;1&lt;/R&gt;&lt;C&gt;1&lt;/C&gt;&lt;D xsi:type="xsd:string"&gt;#NUM&lt;/D&gt;&lt;/FQL&gt;&lt;FQL&gt;&lt;Q&gt;EA-US^FE_TIMESERIES(EBG,MEAN,2021/1C,2021/1C,FQ,'BKRACTMED=1,WIN=0,UKCURRENCY=GBX,DATE=NOW')&lt;/Q&gt;&lt;R&gt;1&lt;/R&gt;&lt;C&gt;1&lt;/C&gt;&lt;D xsi:type="xsd:double"&gt;1.226027&lt;/D&gt;&lt;/FQL&gt;&lt;FQL&gt;&lt;Q&gt;EA-US^FE_TIMESERIES(FCF,MEAN,2021,2021,FY,'WIN=0,UKCURRENCY=GBX,DATE=NOW')&lt;/Q&gt;&lt;R&gt;1&lt;/R&gt;&lt;C&gt;1&lt;/C&gt;&lt;D xsi:type="xsd:double"&gt;1667.7142&lt;/D&gt;&lt;/FQL&gt;&lt;FQL&gt;&lt;Q&gt;EA-US^FE_TIMESERIES(TOTALREV,MEAN,2021/1C,2021/1C,FQ,'WIN=0,UKCURRENCY=GBX,DATE=NOW')&lt;/Q&gt;&lt;R&gt;1&lt;/R&gt;&lt;C&gt;1&lt;/C&gt;&lt;D xsi:type="xsd:double"&gt;1346&lt;/D&gt;&lt;/FQL&gt;&lt;FQL&gt;&lt;Q&gt;EA-US^FE_TIMESERIES(NETSALES,MEAN,2021/2C,2021/2C,FQ,'BKRACTMED=1,WIN=0,UKCURRENCY=GBX,DATE=NOW')&lt;/Q&gt;&lt;R&gt;1&lt;/R&gt;&lt;C&gt;1&lt;/C&gt;&lt;D xsi:type="xsd:double"&gt;1276.1333&lt;/D&gt;&lt;/FQL&gt;&lt;FQL&gt;&lt;Q&gt;EA-US^FE_TIMESERIES(EBITDA_ADJ,MEAN,2021/1C,2021/1C,FQ,'BKRACTMED=1,WIN=0,UKCURRENCY=GBX,DATE=NOW')&lt;/Q&gt;&lt;R&gt;1&lt;/R&gt;&lt;C&gt;1&lt;/C&gt;&lt;D xsi:type="xsd:double"&gt;504&lt;/D&gt;&lt;/FQL&gt;&lt;FQL&gt;&lt;Q&gt;EA-US^FE_TIMESERIES(EBIT_ADJ,MEAN,2021/1C,2021/1C,FQ,'BKRACTMED=1,WIN=0,UKCURRENCY=GBX,DATE=NOW')&lt;/Q&gt;&lt;R&gt;1&lt;/R&gt;&lt;C&gt;1&lt;/C&gt;&lt;D xsi:type="xsd:double"&gt;446&lt;/D&gt;&lt;/FQL&gt;&lt;FQL&gt;&lt;Q&gt;EA-US^FE_TIMESERIES(EBITR,MEAN,2021,2021,FY,'WIN=0,UKCURRENCY=GBX,DATE=NOW')&lt;/Q&gt;&lt;R&gt;1&lt;/R&gt;&lt;C&gt;1&lt;/C&gt;&lt;D xsi:type="xsd:double"&gt;1153.2844&lt;/D&gt;&lt;/FQL&gt;&lt;FQL&gt;&lt;Q&gt;EA^IC_ESTIMATE(EPS,MEAN,QTR,2021/2C,0)&lt;/Q&gt;&lt;R&gt;1&lt;/R&gt;&lt;C&gt;1&lt;/C&gt;&lt;D xsi:type="xsd:double"&gt;0.655&lt;/D&gt;&lt;/FQL&gt;&lt;FQL&gt;&lt;Q&gt;EA-US^FE_TIMESERIES(EBITDA_ADJ,MEAN,2022,2022,FY,'BKRACTMED=1,WIN=0,UKCURRENCY=GBX,DATE=NOW')&lt;/Q&gt;&lt;R&gt;1&lt;/R&gt;&lt;C&gt;1&lt;/C&gt;&lt;D xsi:type="xsd:double"&gt;2790.2852&lt;/D&gt;&lt;/FQL&gt;&lt;FQL&gt;&lt;Q&gt;EA-US^FE_TIMESERIES(EBIT_ADJ,MEAN,2022,2022,FY,'BKRACTMED=1,WIN=0,UKCURRENCY=GBX,DATE=NOW')&lt;/Q&gt;&lt;R&gt;1&lt;/R&gt;&lt;C&gt;1&lt;/C&gt;&lt;D xsi:type="xsd:double"&gt;2599.422&lt;/D&gt;&lt;/FQL&gt;&lt;FQL&gt;&lt;Q&gt;EA-US^FE_TIMESERIES(EBITR,MEAN,2022,2022,FY,'WIN=0,UKCURRENCY=GBX,DATE=NOW')&lt;/Q&gt;&lt;R&gt;1&lt;/R&gt;&lt;C&gt;1&lt;/C&gt;&lt;D xsi:type="xsd:double"&gt;1806.4012&lt;/D&gt;&lt;/FQL&gt;&lt;FQL&gt;&lt;Q&gt;EA-US^FE_TIMESERIES(FCF,MEAN,2022,2022,FY,'WIN=0,UKCURRENCY=GBX,DATE=NOW')&lt;/Q&gt;&lt;R&gt;1&lt;/R&gt;&lt;C&gt;1&lt;/C&gt;&lt;D xsi:type="xsd:double"&gt;2119.2144&lt;/D&gt;&lt;/FQL&gt;&lt;FQL&gt;&lt;Q&gt;EA-US^FE_TIMESERIES(EBG,MEAN,2022,2022,FY,'BKRACTMED=1,WIN=0,UKCURRENCY=GBX,DATE=NOW')&lt;/Q&gt;&lt;R&gt;1&lt;/R&gt;&lt;C&gt;1&lt;/C&gt;&lt;D xsi:type="xsd:double"&gt;7.194671&lt;/D&gt;&lt;/FQL&gt;&lt;FQL&gt;&lt;Q&gt;EA-US^FE_TIMESERIES(EAG,MEAN,2022,2022,FY,'WIN=0,UKCURRENCY=GBX,DATE=NOW')&lt;/Q&gt;&lt;R&gt;1&lt;/R&gt;&lt;C&gt;1&lt;/C&gt;&lt;D xsi:type="xsd:double"&gt;4.6787043&lt;/D&gt;&lt;/FQL&gt;&lt;FQL&gt;&lt;Q&gt;EA-US^FE_TIMESERIES(EAG,MEAN,2021/3C,2021/3C,FQ,'WIN=0,UKCURRENCY=GBX,DATE=NOW')&lt;/Q&gt;&lt;R&gt;1&lt;/R&gt;&lt;C&gt;1&lt;/C&gt;&lt;D xsi:type="xsd:double"&gt;-0.0239134&lt;/D&gt;&lt;/FQL&gt;&lt;FQL&gt;&lt;Q&gt;EA^IC_ESTIMATE(EPS,MEAN,QTR,2021/3C,0)&lt;/Q&gt;&lt;R&gt;1&lt;/R&gt;&lt;C&gt;1&lt;/C&gt;&lt;D xsi:type="xsd:double"&gt;0.854&lt;/D&gt;&lt;/FQL&gt;&lt;FQL&gt;&lt;Q&gt;EA-US^FE_TIMESERIES(EBG,MEAN,2021,2021,FY,'BKRACTMED=1,WIN=0,UKCURRENCY=GBX,DATE=NOW')&lt;/Q&gt;&lt;R&gt;1&lt;/R&gt;&lt;C&gt;1&lt;/C&gt;&lt;D xsi:type="xsd:double"&gt;6.4649425&lt;/D&gt;&lt;/FQL&gt;&lt;FQL&gt;&lt;Q&gt;EA^IC_ESTIMATE(EPS,MEAN,QTR,2021/3FQ,0)&lt;/Q&gt;&lt;R&gt;1&lt;/R&gt;&lt;C&gt;1&lt;/C&gt;&lt;D xsi:type="xsd:string"&gt;#NUM&lt;/D&gt;&lt;/FQL&gt;&lt;FQL&gt;&lt;Q&gt;EA^IC_ESTIMATE(EPS,MEAN,QTR,2021/3F,0)&lt;/Q&gt;&lt;R&gt;1&lt;/R&gt;&lt;C&gt;1&lt;/C&gt;&lt;D xsi:type="xsd:double"&gt;3.505&lt;/D&gt;&lt;/FQL&gt;&lt;FQL&gt;&lt;Q&gt;EA-US^FE_TIMESERIES(EAG,MEAN,2021/3F,2021/3F,FQ,'WIN=0,UKCURRENCY=GBX,DATE=NOW')&lt;/Q&gt;&lt;R&gt;1&lt;/R&gt;&lt;C&gt;1&lt;/C&gt;&lt;D xsi:type="xsd:double"&gt;1.8567204&lt;/D&gt;&lt;/FQL&gt;&lt;FQL&gt;&lt;Q&gt;EA^IC_ESTIMATE(SALES,MEAN,QTR,2021/3F,0)&lt;/Q&gt;&lt;R&gt;1&lt;/R&gt;&lt;C&gt;1&lt;/C&gt;&lt;D xsi:type="xsd:double"&gt;2884.248&lt;/D&gt;&lt;/FQL&gt;&lt;FQL&gt;&lt;Q&gt;EA-US^FE_TIMESERIES(TOTALREV,MEAN,2021/3F,2021/3F,FQ,'WIN=0,UKCURRENCY=GBX,DATE=NOW')&lt;/Q&gt;&lt;R&gt;1&lt;/R&gt;&lt;C&gt;1&lt;/C&gt;&lt;D xsi:type="xsd:double"&gt;2468.9111&lt;/D&gt;&lt;/FQL&gt;&lt;FQL&gt;&lt;Q&gt;EA-US^FE_TIMESERIES(BFNG,MEAN,2021/1C,2021/1C,Q,'WIN=0,UKCURRENCY=GBX,DATE=NOW')&lt;/Q&gt;&lt;R&gt;1&lt;/R&gt;&lt;C&gt;1&lt;/C&gt;&lt;D xsi:type="xsd:double"&gt;76&lt;/D&gt;&lt;/FQL&gt;&lt;FQL&gt;&lt;Q&gt;EA-US^FE_TIMESERIES(NETBG,MEAN,2021/1C,2021/1C,Q,'WIN=0,UKCURRENCY=GBX,DATE=NOW')&lt;/Q&gt;&lt;R&gt;1&lt;/R&gt;&lt;C&gt;1&lt;/C&gt;&lt;D xsi:type="xsd:double"&gt;357.82285&lt;/D&gt;&lt;/FQL&gt;&lt;FQL&gt;&lt;Q&gt;EA-US^FE_TIMESERIES(EAG,MEAN,2021/1C,2021/1C,FQ,'WIN=0,UKCURRENCY=GBX,DATE=NOW')&lt;/Q&gt;&lt;R&gt;1&lt;/R&gt;&lt;C&gt;1&lt;/C&gt;&lt;D xsi:type="xsd:double"&gt;0.26&lt;/D&gt;&lt;/FQL&gt;&lt;FQL&gt;&lt;Q&gt;EA^IC_ESTIMATE(EPS,MEAN,QTR,2021/1C,0)&lt;/Q&gt;&lt;R&gt;0&lt;/R&gt;&lt;C&gt;0&lt;/C&gt;&lt;/FQL&gt;&lt;FQL&gt;&lt;Q&gt;EA-US^FE_ESTIMATE(EPS,MEAN,ANN_ROLL,+1,NOW,,,'')&lt;/Q&gt;&lt;R&gt;1&lt;/R&gt;&lt;C&gt;1&lt;/C&gt;&lt;D xsi:type="xsd:double"&gt;6.4649425&lt;/D&gt;&lt;/FQL&gt;&lt;FQL&gt;&lt;Q&gt;EA-US^FE_ESTIMATE(EPS_NONGAAP,MEAN,ANN_ROLL,+1,NOW,,,'')&lt;/Q&gt;&lt;R&gt;1&lt;/R&gt;&lt;C&gt;1&lt;/C&gt;&lt;D xsi:type="xsd:double"&gt;5.325&lt;/D&gt;&lt;/FQL&gt;&lt;FQL&gt;&lt;Q&gt;EA-US^FE_ESTIMATE(EPS_NONGAAP,MEAN,QTR_ROLL,+1,NOW,,,'')&lt;/Q&gt;&lt;R&gt;1&lt;/R&gt;&lt;C&gt;1&lt;/C&gt;&lt;D xsi:type="xsd:double"&gt;0.315&lt;/D&gt;&lt;/FQL&gt;&lt;FQL&gt;&lt;Q&gt;EA-US^FE_ESTIMATE(EPSAD,MEAN,QTR_ROLL,+1,NOW,,,'')&lt;/Q&gt;&lt;R&gt;0&lt;/R&gt;&lt;C&gt;0&lt;/C&gt;&lt;/FQL&gt;&lt;FQL&gt;&lt;Q&gt;EA-US^FE_TIMESERIES(EPS,MEAN,2021/3F,2021/3F,FQ,'WIN=0,UKCURRENCY=GBX,DATE=NOW')&lt;/Q&gt;&lt;R&gt;1&lt;/R&gt;&lt;C&gt;1&lt;/C&gt;&lt;D xsi:type="xsd:double"&gt;3.477531&lt;/D&gt;&lt;/FQL&gt;&lt;/Schema&gt;</t>
        </r>
      </text>
    </comment>
  </commentList>
</comments>
</file>

<file path=xl/sharedStrings.xml><?xml version="1.0" encoding="utf-8"?>
<sst xmlns="http://schemas.openxmlformats.org/spreadsheetml/2006/main" count="2070" uniqueCount="545">
  <si>
    <t>QoQ Growth</t>
  </si>
  <si>
    <t>YoY Growth</t>
  </si>
  <si>
    <t>GAAP Operating Income</t>
  </si>
  <si>
    <t>Operating Income Margin %</t>
  </si>
  <si>
    <t>Net Income Margin %</t>
  </si>
  <si>
    <t>Diluted Shares Outstanding</t>
  </si>
  <si>
    <t>Non-GAAP EPS</t>
  </si>
  <si>
    <t>Effective Tax Rate</t>
  </si>
  <si>
    <t>Capex</t>
  </si>
  <si>
    <t>Non-GAAP Net Income</t>
  </si>
  <si>
    <t>Total Current Assets</t>
  </si>
  <si>
    <t>Goodwill</t>
  </si>
  <si>
    <t>Total Assets</t>
  </si>
  <si>
    <t>Accounts Payable</t>
  </si>
  <si>
    <t>Total Current Liabilities</t>
  </si>
  <si>
    <t>Total Liabilities &amp; Shareholders' Equity</t>
  </si>
  <si>
    <t>Check</t>
  </si>
  <si>
    <t>n/a</t>
  </si>
  <si>
    <t>Adjusted EBITDA</t>
  </si>
  <si>
    <t>Depreciation &amp; Amortization</t>
  </si>
  <si>
    <t>% of Sales</t>
  </si>
  <si>
    <t>Net income</t>
  </si>
  <si>
    <t>% of Net PP&amp;E</t>
  </si>
  <si>
    <t>Accounts receivable, net</t>
  </si>
  <si>
    <t>Accounts payable</t>
  </si>
  <si>
    <t>Change in Working Capital</t>
  </si>
  <si>
    <t>Current Liabilities</t>
  </si>
  <si>
    <t>Net working capital</t>
  </si>
  <si>
    <t>Ratios &amp; Assumptions</t>
  </si>
  <si>
    <t># of Days in the Period</t>
  </si>
  <si>
    <t>Accounts payable (days outstanding)</t>
  </si>
  <si>
    <t>Depreciation</t>
  </si>
  <si>
    <t>Capex as % of sales</t>
  </si>
  <si>
    <t>Depreciation as % of capex</t>
  </si>
  <si>
    <t>Depreciation as a % of PPE, net</t>
  </si>
  <si>
    <t>Beginning PP&amp;E, net</t>
  </si>
  <si>
    <t>(Depreciation exp)</t>
  </si>
  <si>
    <t>Ending PP&amp;E, net</t>
  </si>
  <si>
    <t>Beginning period cash</t>
  </si>
  <si>
    <t>Ending period cash</t>
  </si>
  <si>
    <t>Less Minimum cash balance</t>
  </si>
  <si>
    <t>Cash available for debt repayment</t>
  </si>
  <si>
    <t>Beginning balance</t>
  </si>
  <si>
    <t>Ending balance</t>
  </si>
  <si>
    <t>Avg balance</t>
  </si>
  <si>
    <t>(Asset sales, writeoffs, etc.)</t>
  </si>
  <si>
    <t>F/X impact on cash</t>
  </si>
  <si>
    <t>Net Debt (Cash) to Firm</t>
  </si>
  <si>
    <t>FREE CASH FLOW</t>
  </si>
  <si>
    <t>Excess tax benefits from stock-based comp, % of SBC</t>
  </si>
  <si>
    <t>Remaining Useful Life of PP&amp;E, net</t>
  </si>
  <si>
    <t>Int rate (quarterly)</t>
  </si>
  <si>
    <t>Int rate % earned (quarterly)</t>
  </si>
  <si>
    <t>Net change in Cash</t>
  </si>
  <si>
    <t>Working Capital</t>
  </si>
  <si>
    <t>Retained Earnings</t>
  </si>
  <si>
    <t>Equity Risk Premium</t>
  </si>
  <si>
    <t>Average/Expected Stock Price</t>
  </si>
  <si>
    <t>Stock-Based Compensation ($mil)</t>
  </si>
  <si>
    <t>G &amp; A</t>
  </si>
  <si>
    <t>Excess tax benefits from stock-based awards</t>
  </si>
  <si>
    <t>Cash and cash equivalents</t>
  </si>
  <si>
    <t>Property and equipment, net</t>
  </si>
  <si>
    <t>Deferred revenue</t>
  </si>
  <si>
    <t>Stock-based compensation expense, net</t>
  </si>
  <si>
    <t xml:space="preserve">Deferred income taxes </t>
  </si>
  <si>
    <t>Net cash provided by operating activities</t>
  </si>
  <si>
    <t>Net cash (used in) provided by investing activities</t>
  </si>
  <si>
    <t>Net cash used in financing activities</t>
  </si>
  <si>
    <t>Net Sales</t>
  </si>
  <si>
    <t>Non-GAAP Operating Income</t>
  </si>
  <si>
    <t>Income tax adjustments</t>
  </si>
  <si>
    <t>Income Tax (Provision) Benefit</t>
  </si>
  <si>
    <t>Other assets</t>
  </si>
  <si>
    <t>Other liabilities</t>
  </si>
  <si>
    <t>Other current assets</t>
  </si>
  <si>
    <t>Adjusted income tax (provision) benefit</t>
  </si>
  <si>
    <t>Depreciation and Amortization</t>
  </si>
  <si>
    <t>Less: Amortization of intangibles</t>
  </si>
  <si>
    <t>Interest income</t>
  </si>
  <si>
    <t>Accounts receivable, net (Collection period)</t>
  </si>
  <si>
    <t>GAAP Revenue</t>
  </si>
  <si>
    <t>Non-GAAP Revenue</t>
  </si>
  <si>
    <t>% of GAAP Revenue</t>
  </si>
  <si>
    <t>% of Non-GAAP Revenue</t>
  </si>
  <si>
    <t>Cost of Sales - Total</t>
  </si>
  <si>
    <t>Non-GAAP Gross Margin Analysis</t>
  </si>
  <si>
    <t>% of G&amp;A (Non-GAAP)</t>
  </si>
  <si>
    <t>Gross Margin (% of Non-GAAP Revenues)</t>
  </si>
  <si>
    <t>YoY change (in basis points)</t>
  </si>
  <si>
    <t>Values used to calculate Non-GAAP Net Income</t>
  </si>
  <si>
    <t>Short-term investments</t>
  </si>
  <si>
    <t>Inventories, net</t>
  </si>
  <si>
    <t>Deferred income taxes, net</t>
  </si>
  <si>
    <t>Accrued expenses and other liabilities</t>
  </si>
  <si>
    <t>Common stock</t>
  </si>
  <si>
    <t>Additional paid-in capital</t>
  </si>
  <si>
    <t>Accumlated other comprehensive income (loss)</t>
  </si>
  <si>
    <t>% of Total Non-GAAP Revenue</t>
  </si>
  <si>
    <t>Cash and Investments</t>
  </si>
  <si>
    <t>Debt</t>
  </si>
  <si>
    <t>Int expense on debt</t>
  </si>
  <si>
    <t>Investment and other income</t>
  </si>
  <si>
    <t>Aggregate Share Repurchase ($mil)</t>
  </si>
  <si>
    <t>Changes in operating assets and liabilities</t>
  </si>
  <si>
    <t>% of Total GAAP Revenue</t>
  </si>
  <si>
    <t>Inventories (days outstanding)</t>
  </si>
  <si>
    <t>Inventory Turns</t>
  </si>
  <si>
    <t>Accrued expenses and other liabilities % of sales</t>
  </si>
  <si>
    <t>Other</t>
  </si>
  <si>
    <t>Marketing and Sales</t>
  </si>
  <si>
    <t>Research and Development</t>
  </si>
  <si>
    <t>Acquisition-related contingent consideration</t>
  </si>
  <si>
    <t>Amortization of intangibles</t>
  </si>
  <si>
    <t>Restructuring and other</t>
  </si>
  <si>
    <t>General and Administrative</t>
  </si>
  <si>
    <t>Restructuring and Other</t>
  </si>
  <si>
    <t>Loss on Licensed IP Commitment</t>
  </si>
  <si>
    <t>Non-recurring litigation expense</t>
  </si>
  <si>
    <t>Interest and other expense, net</t>
  </si>
  <si>
    <t>Amortization of debt discount</t>
  </si>
  <si>
    <t>Cost of Sales</t>
  </si>
  <si>
    <t>% of Cost of Sales (Non-GAAP)</t>
  </si>
  <si>
    <t>Marketing &amp; Sales</t>
  </si>
  <si>
    <t>% of Marketing &amp; Sales (Non-GAAP)</t>
  </si>
  <si>
    <t>% of Research &amp; Development (Non-GAAP)</t>
  </si>
  <si>
    <t>Adjustment for non-recurring expense in G&amp;A</t>
  </si>
  <si>
    <t>Gain (loss) on strategic investments</t>
  </si>
  <si>
    <t>Non-GAAP Diluted Shares Outstanding</t>
  </si>
  <si>
    <t>Dilutive securities</t>
  </si>
  <si>
    <t>Marketable equity securities</t>
  </si>
  <si>
    <t>Acquisition-related intangibles, net</t>
  </si>
  <si>
    <t>Deferred net revenue</t>
  </si>
  <si>
    <t>Accrued and other current liabilities</t>
  </si>
  <si>
    <t>Income tax obligations</t>
  </si>
  <si>
    <t>0.75% convertible senior notes due 2016, net</t>
  </si>
  <si>
    <t>Depreciation, amortization and accretion</t>
  </si>
  <si>
    <t>Net gains on investments and sale of property and equipment</t>
  </si>
  <si>
    <t>Non-cash restructuring charges</t>
  </si>
  <si>
    <t>Proceeds from sale of property</t>
  </si>
  <si>
    <t>Proceeds from maturities and sales of short-term investments</t>
  </si>
  <si>
    <t>Purchases of short-term investments</t>
  </si>
  <si>
    <t>Acquisition-related restricted cash</t>
  </si>
  <si>
    <t>Acquisition of subsidiaries, net of cash acquired</t>
  </si>
  <si>
    <t>Payment of debt issuance costs</t>
  </si>
  <si>
    <t>Proceeds from issuance of warrants</t>
  </si>
  <si>
    <t>Purchase of conv. note hedge</t>
  </si>
  <si>
    <t>Proceeds from issuance of common stock</t>
  </si>
  <si>
    <t>Repurchase and retirement of common stock</t>
  </si>
  <si>
    <t>Acquisition-related contingent consideration payment</t>
  </si>
  <si>
    <t>Proceeds from sale of marketable equity securities</t>
  </si>
  <si>
    <t>% of prior period acquisition-related intangibles</t>
  </si>
  <si>
    <t>0.75% Convertible Senior Notes Due 2016</t>
  </si>
  <si>
    <t>Principal</t>
  </si>
  <si>
    <t>Due</t>
  </si>
  <si>
    <t>Change in Debt</t>
  </si>
  <si>
    <t>Total Interest Expense</t>
  </si>
  <si>
    <t>Maturities and sales of short-term investments, % of prior</t>
  </si>
  <si>
    <t>Purchases of short-term investments, % of prior</t>
  </si>
  <si>
    <t>Proceeds from issuance of common stock,% of SBC</t>
  </si>
  <si>
    <t>Other current assets % of sales</t>
  </si>
  <si>
    <t>Deferred income taxes % of depreciation</t>
  </si>
  <si>
    <t>Other assets % sales</t>
  </si>
  <si>
    <t>Deferred tax liabilities % of Deferred tax assets</t>
  </si>
  <si>
    <t>Income tax obligations % Deferred Revenue</t>
  </si>
  <si>
    <t>Other liabilities % of sales</t>
  </si>
  <si>
    <t>Change in Cash and Investments</t>
  </si>
  <si>
    <t>Pre-Tax Income</t>
  </si>
  <si>
    <t>Non-Cash Current Assets</t>
  </si>
  <si>
    <t>Revenue Recognition %</t>
  </si>
  <si>
    <t>Adjusted EBITDA Margin (on Non-GAAP Revs)</t>
  </si>
  <si>
    <t>.</t>
  </si>
  <si>
    <t xml:space="preserve">Total Liabilities </t>
  </si>
  <si>
    <t xml:space="preserve">Total Stockholders' Equity </t>
  </si>
  <si>
    <t>Convertible bond hedge</t>
  </si>
  <si>
    <t>Dividends paid</t>
  </si>
  <si>
    <t>EBIT</t>
  </si>
  <si>
    <t>Total</t>
  </si>
  <si>
    <t>Adjustments</t>
  </si>
  <si>
    <t>Convertible Debt</t>
  </si>
  <si>
    <t>Senior Notes due 2021</t>
  </si>
  <si>
    <t>Senior Notes due 2026</t>
  </si>
  <si>
    <t>Mar 1, 2021</t>
  </si>
  <si>
    <t>Mar 1, 2026</t>
  </si>
  <si>
    <t>Senior Notes</t>
  </si>
  <si>
    <t>Senior Notes Interest Expense</t>
  </si>
  <si>
    <t>Convertible Notes Interest Expense</t>
  </si>
  <si>
    <t>Interest</t>
  </si>
  <si>
    <t>Discount</t>
  </si>
  <si>
    <t>Qtrly Amort.</t>
  </si>
  <si>
    <t>Jul 15, 2016</t>
  </si>
  <si>
    <t>Proceeds/payments on convertible notes</t>
  </si>
  <si>
    <t>Proceeds/payments on senior notes</t>
  </si>
  <si>
    <t>LT Deferred tax asset % of Depreciation</t>
  </si>
  <si>
    <t>GAAP Revenue by Channel</t>
  </si>
  <si>
    <t>GAAP EBITDA</t>
  </si>
  <si>
    <t>SBC</t>
  </si>
  <si>
    <t xml:space="preserve">FCF minus SBC </t>
  </si>
  <si>
    <t>(FCF-SBC) Margin (on GAAP Revs)</t>
  </si>
  <si>
    <t>GAAP EBITDA Margin (on GAAP Revs)</t>
  </si>
  <si>
    <t>Due Date</t>
  </si>
  <si>
    <t>Change in Deferred Revenue by Channel</t>
  </si>
  <si>
    <t>Full Game</t>
  </si>
  <si>
    <t>Live Services &amp; Other</t>
  </si>
  <si>
    <t>Full Game Downloads</t>
  </si>
  <si>
    <t>Packaged Goods</t>
  </si>
  <si>
    <t>Quarterly dividends</t>
  </si>
  <si>
    <t>GAAP</t>
  </si>
  <si>
    <t>Acquisition</t>
  </si>
  <si>
    <t>Non-GAAP</t>
  </si>
  <si>
    <t>COGS</t>
  </si>
  <si>
    <t xml:space="preserve">Gross Profit </t>
  </si>
  <si>
    <t>Pre-tax Income</t>
  </si>
  <si>
    <t xml:space="preserve">Share Count </t>
  </si>
  <si>
    <t xml:space="preserve">EPS </t>
  </si>
  <si>
    <t xml:space="preserve">Tax Rate </t>
  </si>
  <si>
    <t>UBS</t>
  </si>
  <si>
    <t xml:space="preserve">SBC </t>
  </si>
  <si>
    <t>Net Revenue</t>
  </si>
  <si>
    <t>Opex</t>
  </si>
  <si>
    <t>Net Income</t>
  </si>
  <si>
    <t>Title</t>
  </si>
  <si>
    <t>Studio</t>
  </si>
  <si>
    <t>Genre</t>
  </si>
  <si>
    <t>Expected Release</t>
  </si>
  <si>
    <t>Distribution</t>
  </si>
  <si>
    <t>Looter/Shooter</t>
  </si>
  <si>
    <t>Battlefield 2042</t>
  </si>
  <si>
    <t>Notes</t>
  </si>
  <si>
    <t>DICE</t>
  </si>
  <si>
    <t>Madden NFL 22</t>
  </si>
  <si>
    <t>Sports</t>
  </si>
  <si>
    <t>EA Tiburon</t>
  </si>
  <si>
    <t>https://ir.ea.com/press-releases/press-release-details/2021/Electronic-Arts-Announces-Madden-NFL-22-With-an-Iconic-Cover-That-Features-Both-Tom-Brady-and-Patrick-Mahomes/default.aspx</t>
  </si>
  <si>
    <t>4Q21</t>
  </si>
  <si>
    <t>3Q19</t>
  </si>
  <si>
    <t>4Q19</t>
  </si>
  <si>
    <t>1Q20</t>
  </si>
  <si>
    <t>2Q20</t>
  </si>
  <si>
    <t>3Q20</t>
  </si>
  <si>
    <t>4Q20</t>
  </si>
  <si>
    <t>1Q21</t>
  </si>
  <si>
    <t>2Q21</t>
  </si>
  <si>
    <t>3Q21</t>
  </si>
  <si>
    <t>1Q22</t>
  </si>
  <si>
    <t>Knockout City</t>
  </si>
  <si>
    <t>FIFA 2022</t>
  </si>
  <si>
    <t>F1 2021</t>
  </si>
  <si>
    <t>NHL 22</t>
  </si>
  <si>
    <t>Console</t>
  </si>
  <si>
    <t>PC &amp; Other</t>
  </si>
  <si>
    <t>Mobile</t>
  </si>
  <si>
    <t>Ultimate Team</t>
  </si>
  <si>
    <t>FIFA</t>
  </si>
  <si>
    <t>Battlefield</t>
  </si>
  <si>
    <t>https://ir.ea.com/press-releases/press-release-details/2021/EA-SPORTS-Introduces-FIFA-22-With-Next-Gen-HyperMotion-Technology-Bringing-Footballs-Most-Realistic-and-Immersive-Gameplay-Experience-to-Life/default.aspx</t>
  </si>
  <si>
    <t>EA Vancouver, EA Romania</t>
  </si>
  <si>
    <t>Sep 21E</t>
  </si>
  <si>
    <t>Dec 21E</t>
  </si>
  <si>
    <t>Mar 22E</t>
  </si>
  <si>
    <t>Codemasters</t>
  </si>
  <si>
    <t>https://ir.ea.com/press-releases/press-release-details/2021/Feel-the-Thrill-of-the-Track-in-Codemasters-F1-2021-Out-Today/default.aspx</t>
  </si>
  <si>
    <t>Sims 4 Cottage Living Expansion Pack</t>
  </si>
  <si>
    <t>It Takes Two</t>
  </si>
  <si>
    <t>https://ir.ea.com/press-releases/press-release-details/2021/Live-Your-Best-Village-Life-With-the-Sims-4-Cottage-Living-Expansion-Pack/default.aspx</t>
  </si>
  <si>
    <t>Lost in Random</t>
  </si>
  <si>
    <t>Grid Legends</t>
  </si>
  <si>
    <t>https://ir.ea.com/press-releases/press-release-details/2021/Become-a-Racing-Legend---A-Thrilling-Next-generation-Motorsport-Story-From-Codemasters-Launching-In-2022/default.aspx</t>
  </si>
  <si>
    <t>Apex Legends Emergence</t>
  </si>
  <si>
    <t>2022</t>
  </si>
  <si>
    <t>Respawn Entertainment</t>
  </si>
  <si>
    <t>Racing</t>
  </si>
  <si>
    <t>goes beyond battle royal</t>
  </si>
  <si>
    <t>Knockout City Fight at the Movies (Season 2)</t>
  </si>
  <si>
    <t>cross-play</t>
  </si>
  <si>
    <t>No Single Player
No Battle Royale
Up to 128 players (double Battlefield V)
4 seasons and 4 new speciales every year
PS4 and Xbox One versions will have tweeked version and only have 64 players
battelfield portal: community experience can combine maps from previous battefields</t>
  </si>
  <si>
    <t>Dead Space</t>
  </si>
  <si>
    <t>TBA</t>
  </si>
  <si>
    <t>Velan Studios</t>
  </si>
  <si>
    <t>EA Sports PGA Tour</t>
  </si>
  <si>
    <t>Maxis</t>
  </si>
  <si>
    <t>https://research.alpha-sense.com?docid=PR-58d3a5044d142cdd746d90014cfd097c5801fb9c&amp;utm_source=alphasense%20platform&amp;utm_medium=document%20share&amp;utm_content=PR-58d3a5044d142cdd746d90014cfd097c5801fb9c&amp;utm_campaign=1626978886376</t>
  </si>
  <si>
    <t>Hazelight Studios</t>
  </si>
  <si>
    <t>Zoink</t>
  </si>
  <si>
    <t>F2P Shooter</t>
  </si>
  <si>
    <t>Motive Studio</t>
  </si>
  <si>
    <t>UBSe</t>
  </si>
  <si>
    <t>This sheet contains FactSet XML data for use with this workbook's =FDS codes.  Modifying the worksheet's contents may damage the workbook's =FDS functionality.</t>
  </si>
  <si>
    <t>Adj. EPS</t>
  </si>
  <si>
    <t>Total Revenue</t>
  </si>
  <si>
    <t>% yoy growth</t>
  </si>
  <si>
    <t>Deferred tax liabilities</t>
  </si>
  <si>
    <t>LT Deferred tax asset</t>
  </si>
  <si>
    <t>Balance sheet drivers</t>
  </si>
  <si>
    <t>Cash, eop</t>
  </si>
  <si>
    <t>% seq growth</t>
  </si>
  <si>
    <t>2Q22</t>
  </si>
  <si>
    <t>Console: PS5, PS4, Xbox One, Xbox Series X|S and PC:  Origin, Steam</t>
  </si>
  <si>
    <t>Mass Effect: Legendary Edition</t>
  </si>
  <si>
    <t>Console: PS5, PS4 and Xbox Series X/S, Xbox One, PC and Switch</t>
  </si>
  <si>
    <t>Console: PS5, PS4, Xbox Series X/S, Xbox One and PC: Steam</t>
  </si>
  <si>
    <t>Console: PS5, PS4 and Xbox Series X/S, Xbox One and PC: Origin, Steam</t>
  </si>
  <si>
    <t xml:space="preserve">Console: PS5, PS4 and Xbox Series X/S, Xbox One, PC: Origin, Steam and Switch </t>
  </si>
  <si>
    <t xml:space="preserve">
Console: PS5, PS4, Xbox One, Xbox Series X|S and PC:  Origin, Steam, Google Stadia</t>
  </si>
  <si>
    <t>Console: PS5, PS4 and Xbox Series X/S, Xbox One, PC: Origin, Steam and Switch</t>
  </si>
  <si>
    <t xml:space="preserve">Console: PS5, PS4 and Xbox Series X/S, Xbox One,PC: Steam, Stadia, Origin  </t>
  </si>
  <si>
    <t>Console: PS5, PS4 and Xbox Series X/S, Xbox One and PC: Steam, Epic Games, Origin</t>
  </si>
  <si>
    <t>HB Studios, EA Tiburon</t>
  </si>
  <si>
    <t>Console: PS5, PS4 and Xbox Series X/S, Xbox One and PC</t>
  </si>
  <si>
    <t>Console: PS5, PS4 and Xbox Series X/S amd PC</t>
  </si>
  <si>
    <t>Battlefield Experience</t>
  </si>
  <si>
    <t>Apex Legends Mobile Title</t>
  </si>
  <si>
    <t>$ in millions</t>
  </si>
  <si>
    <t>Electronic Arts - Drivers</t>
  </si>
  <si>
    <t>2Q19</t>
  </si>
  <si>
    <t>1Q19</t>
  </si>
  <si>
    <t>3Q22</t>
  </si>
  <si>
    <t>4Q22</t>
  </si>
  <si>
    <t>1Q23</t>
  </si>
  <si>
    <t>2Q23</t>
  </si>
  <si>
    <t>3Q23</t>
  </si>
  <si>
    <t>4Q23</t>
  </si>
  <si>
    <t>1Q24</t>
  </si>
  <si>
    <t>2Q24</t>
  </si>
  <si>
    <t>3Q24</t>
  </si>
  <si>
    <t>4Q24</t>
  </si>
  <si>
    <t>1Q25</t>
  </si>
  <si>
    <t>2Q25</t>
  </si>
  <si>
    <t>3Q25</t>
  </si>
  <si>
    <t>4Q25</t>
  </si>
  <si>
    <t>1Q26</t>
  </si>
  <si>
    <t>2Q26</t>
  </si>
  <si>
    <t>3Q26</t>
  </si>
  <si>
    <t>4Q26</t>
  </si>
  <si>
    <t>4Q10</t>
  </si>
  <si>
    <t>1Q11</t>
  </si>
  <si>
    <t>2Q11</t>
  </si>
  <si>
    <t>3Q11</t>
  </si>
  <si>
    <t>4Q11</t>
  </si>
  <si>
    <t>1Q12</t>
  </si>
  <si>
    <t>2Q12</t>
  </si>
  <si>
    <t>3Q12</t>
  </si>
  <si>
    <t>4Q12</t>
  </si>
  <si>
    <t>1Q13</t>
  </si>
  <si>
    <t>2Q13</t>
  </si>
  <si>
    <t>3Q13</t>
  </si>
  <si>
    <t>4Q13</t>
  </si>
  <si>
    <t>1Q14</t>
  </si>
  <si>
    <t>2Q14</t>
  </si>
  <si>
    <t>3Q14</t>
  </si>
  <si>
    <t>4Q14</t>
  </si>
  <si>
    <t>1Q15</t>
  </si>
  <si>
    <t>2Q15</t>
  </si>
  <si>
    <t>3Q15</t>
  </si>
  <si>
    <t>4Q15</t>
  </si>
  <si>
    <t>1Q16</t>
  </si>
  <si>
    <t>2Q16</t>
  </si>
  <si>
    <t>3Q16</t>
  </si>
  <si>
    <t>4Q16</t>
  </si>
  <si>
    <t>1Q17</t>
  </si>
  <si>
    <t>2Q17</t>
  </si>
  <si>
    <t>3Q17</t>
  </si>
  <si>
    <t>4Q17</t>
  </si>
  <si>
    <t>1Q18</t>
  </si>
  <si>
    <t>2Q18</t>
  </si>
  <si>
    <t>3Q18</t>
  </si>
  <si>
    <t>4Q18</t>
  </si>
  <si>
    <t>Electronic Arts - Model</t>
  </si>
  <si>
    <t>% qoq growth</t>
  </si>
  <si>
    <t>Gross Margin</t>
  </si>
  <si>
    <t>Margins</t>
  </si>
  <si>
    <t>Gross Profit</t>
  </si>
  <si>
    <t>Non-GAAP Income Statement</t>
  </si>
  <si>
    <t>GAAP Income Statement</t>
  </si>
  <si>
    <t>Total Operating Expenses</t>
  </si>
  <si>
    <t>Adj. EBITDA</t>
  </si>
  <si>
    <t>EBITDA</t>
  </si>
  <si>
    <t>Operating Income</t>
  </si>
  <si>
    <t>Pre-Tax Income Margin %</t>
  </si>
  <si>
    <t>EPS</t>
  </si>
  <si>
    <t>Bookings</t>
  </si>
  <si>
    <t>Madden</t>
  </si>
  <si>
    <t>Galaxy of Heroes</t>
  </si>
  <si>
    <t>Apex Legends</t>
  </si>
  <si>
    <t>Acquisition-related expense</t>
  </si>
  <si>
    <t>Star Wars: Battlefront</t>
  </si>
  <si>
    <t>Multiple Based Valuation</t>
  </si>
  <si>
    <t>Valuation Drivers</t>
  </si>
  <si>
    <t>uFree Cash Flow</t>
  </si>
  <si>
    <t>uFree Cash Flow - SBC</t>
  </si>
  <si>
    <t>EV Bridge</t>
  </si>
  <si>
    <t>Net debt</t>
  </si>
  <si>
    <t>Non-controlling interest</t>
  </si>
  <si>
    <t>Shares outstanding</t>
  </si>
  <si>
    <t>Enterprise value</t>
  </si>
  <si>
    <t>Multiples at Current Share Price</t>
  </si>
  <si>
    <t>EV/Bookings</t>
  </si>
  <si>
    <t>EV/EBITDA</t>
  </si>
  <si>
    <t>EV/uFCF</t>
  </si>
  <si>
    <t>EV/(uFCF - SBC)</t>
  </si>
  <si>
    <t>P/E</t>
  </si>
  <si>
    <t>Multiples at Price Target</t>
  </si>
  <si>
    <t>Target multiple</t>
  </si>
  <si>
    <t>(-) Net debt (F22/23E)</t>
  </si>
  <si>
    <t>(-) NCI (F22/23E)</t>
  </si>
  <si>
    <t>Equity value</t>
  </si>
  <si>
    <t>Shares outstanding (F22/23E)</t>
  </si>
  <si>
    <t>12mo Price Target</t>
  </si>
  <si>
    <t>Current Share price</t>
  </si>
  <si>
    <t>% upside/(downside)</t>
  </si>
  <si>
    <t xml:space="preserve">Battlefield V </t>
  </si>
  <si>
    <t>Change in Deferred Revenue by Platform</t>
  </si>
  <si>
    <t>GAAP Revenue by Platform</t>
  </si>
  <si>
    <t>% of Live Services &amp; Other</t>
  </si>
  <si>
    <t>FIFA 16</t>
  </si>
  <si>
    <t xml:space="preserve">Battlefield 1 </t>
  </si>
  <si>
    <t>UFC 3</t>
  </si>
  <si>
    <t>Star Wars Jedi: Fallen Order</t>
  </si>
  <si>
    <t>Mass Effect Legendary Edition</t>
  </si>
  <si>
    <t>Star Wars™: Galaxy of Heroes</t>
  </si>
  <si>
    <t xml:space="preserve">MLB Tap Sports Baseball </t>
  </si>
  <si>
    <t>MADDEN NFL MOBILE FOOTBALL</t>
  </si>
  <si>
    <t>Composite</t>
  </si>
  <si>
    <t>Golf Clash</t>
  </si>
  <si>
    <t>M&amp;A</t>
  </si>
  <si>
    <t>PC &amp; Console</t>
  </si>
  <si>
    <t xml:space="preserve">Indexed Gross Revenue of Top 100 </t>
  </si>
  <si>
    <t>% of Full Game Revenue</t>
  </si>
  <si>
    <t>Net unit sales</t>
  </si>
  <si>
    <t xml:space="preserve">% digital unit sales </t>
  </si>
  <si>
    <t>Digital ASP</t>
  </si>
  <si>
    <t>Physical ASP</t>
  </si>
  <si>
    <t>Blended ASP</t>
  </si>
  <si>
    <t>F2010</t>
  </si>
  <si>
    <t>F2011</t>
  </si>
  <si>
    <t>F2012</t>
  </si>
  <si>
    <t>F2013</t>
  </si>
  <si>
    <t>F2014</t>
  </si>
  <si>
    <t>F2015</t>
  </si>
  <si>
    <t>F2016</t>
  </si>
  <si>
    <t>F2017</t>
  </si>
  <si>
    <t>F2018</t>
  </si>
  <si>
    <t>Net Bookings</t>
  </si>
  <si>
    <t>Net Bookings by Platform</t>
  </si>
  <si>
    <t>% of digital unit sales</t>
  </si>
  <si>
    <t>Net Bookings by Channel</t>
  </si>
  <si>
    <t>Revenue drivers</t>
  </si>
  <si>
    <t>Opex Drivers</t>
  </si>
  <si>
    <t>Non-GAAP Expenses</t>
  </si>
  <si>
    <t>GAAP Expenses</t>
  </si>
  <si>
    <t>Content Releases</t>
  </si>
  <si>
    <t>Operating expenses as % of Non-GAAP Sales</t>
  </si>
  <si>
    <t xml:space="preserve">Total </t>
  </si>
  <si>
    <t>PGA Tour</t>
  </si>
  <si>
    <t>Sims</t>
  </si>
  <si>
    <t>% of FY Live Services and Other</t>
  </si>
  <si>
    <t>Stock Based Compensation</t>
  </si>
  <si>
    <t>Annual Bookings Estimates by Franchise</t>
  </si>
  <si>
    <t>Net Income Adjustments</t>
  </si>
  <si>
    <t>Share count</t>
  </si>
  <si>
    <t>Beginning Shares</t>
  </si>
  <si>
    <t xml:space="preserve">Shares Issued </t>
  </si>
  <si>
    <t xml:space="preserve">Shares Repurchased </t>
  </si>
  <si>
    <t>Ending Shares</t>
  </si>
  <si>
    <t>Average Basic Shares</t>
  </si>
  <si>
    <t xml:space="preserve">Effects of Dilutive Securities </t>
  </si>
  <si>
    <t>Average Diluted Shares (GAAP)</t>
  </si>
  <si>
    <t>Non-GAAP Adjustment to share count</t>
  </si>
  <si>
    <t>Avg diluted shares (Non-GAAP)</t>
  </si>
  <si>
    <t>Cap Ex</t>
  </si>
  <si>
    <t>% of Annual Revenue</t>
  </si>
  <si>
    <t>Electronic Arts - Content Pipeline</t>
  </si>
  <si>
    <t>EA Vancouver</t>
  </si>
  <si>
    <t>U</t>
  </si>
  <si>
    <t>D</t>
  </si>
  <si>
    <t>Revenue</t>
  </si>
  <si>
    <t>uFCF - SBC</t>
  </si>
  <si>
    <t>uFCF</t>
  </si>
  <si>
    <t>Gross Margin Analysis</t>
  </si>
  <si>
    <t>% of Total Revenue</t>
  </si>
  <si>
    <t>Diluted - EPS</t>
  </si>
  <si>
    <t>Valuation Basis: EV/(uFCF)</t>
  </si>
  <si>
    <t>uFCF-SBC (F23/24E)</t>
  </si>
  <si>
    <t>Change in deferred net revenue</t>
  </si>
  <si>
    <t>Op Cash flow</t>
  </si>
  <si>
    <t>As of November 3, 2021</t>
  </si>
  <si>
    <t>F3Q21</t>
  </si>
  <si>
    <t>F2022</t>
  </si>
  <si>
    <t>F4Q21</t>
  </si>
  <si>
    <t>Mobile Portfolio</t>
  </si>
  <si>
    <r>
      <t xml:space="preserve">Codemasters </t>
    </r>
    <r>
      <rPr>
        <sz val="8"/>
        <color rgb="FF000000"/>
        <rFont val="Calibri"/>
        <family val="2"/>
      </rPr>
      <t>(2/18/21)</t>
    </r>
  </si>
  <si>
    <r>
      <t>Glu Mobile</t>
    </r>
    <r>
      <rPr>
        <sz val="8"/>
        <color rgb="FF000000"/>
        <rFont val="Calibri"/>
        <family val="2"/>
      </rPr>
      <t xml:space="preserve">  (4/30/21)
</t>
    </r>
    <r>
      <rPr>
        <b/>
        <sz val="8"/>
        <color rgb="FF000000"/>
        <rFont val="Calibri"/>
        <family val="2"/>
      </rPr>
      <t>Metalhead Software</t>
    </r>
    <r>
      <rPr>
        <sz val="8"/>
        <color rgb="FF000000"/>
        <rFont val="Calibri"/>
        <family val="2"/>
      </rPr>
      <t xml:space="preserve"> (5/5/21)</t>
    </r>
  </si>
  <si>
    <r>
      <rPr>
        <b/>
        <sz val="8"/>
        <color rgb="FF000000"/>
        <rFont val="Calibri"/>
        <family val="2"/>
      </rPr>
      <t>Playdemic</t>
    </r>
    <r>
      <rPr>
        <sz val="8"/>
        <color indexed="8"/>
        <rFont val="Calibri"/>
        <family val="2"/>
      </rPr>
      <t xml:space="preserve"> (9/20/21)</t>
    </r>
  </si>
  <si>
    <t>FIFA 19, NHL 19, NFL19</t>
  </si>
  <si>
    <t>FIFA 20, NFL 20</t>
  </si>
  <si>
    <t>NFL 21, UFC 4</t>
  </si>
  <si>
    <r>
      <t xml:space="preserve"> FIFA 21, NHL 21, </t>
    </r>
    <r>
      <rPr>
        <sz val="8"/>
        <color theme="1"/>
        <rFont val="Calibri"/>
        <family val="2"/>
      </rPr>
      <t>Medal of Honor: Above &amp; Beyond</t>
    </r>
  </si>
  <si>
    <t>F1 2021,
NFL 22</t>
  </si>
  <si>
    <t>FIFA 22, NHL 22,
Battlefield 2042</t>
  </si>
  <si>
    <t>Electronic Arts</t>
  </si>
  <si>
    <t>Balance Sheet</t>
  </si>
  <si>
    <t>Cash Flow Statement</t>
  </si>
  <si>
    <t xml:space="preserve">Electronic Arts </t>
  </si>
  <si>
    <t>Interest Schedule</t>
  </si>
  <si>
    <t>DCF &amp; MBV Valuation</t>
  </si>
  <si>
    <t>1FQ19</t>
  </si>
  <si>
    <t>2FQ19</t>
  </si>
  <si>
    <t>3FQ19</t>
  </si>
  <si>
    <t>4FQ19</t>
  </si>
  <si>
    <t>1FQ20</t>
  </si>
  <si>
    <t>2FQ20</t>
  </si>
  <si>
    <t>3FQ20</t>
  </si>
  <si>
    <t>4FQ20</t>
  </si>
  <si>
    <t>1FQ21</t>
  </si>
  <si>
    <t>2FQ21</t>
  </si>
  <si>
    <t>3FQ21</t>
  </si>
  <si>
    <t>4FQ21</t>
  </si>
  <si>
    <t>1FQ22</t>
  </si>
  <si>
    <t>2FQ22</t>
  </si>
  <si>
    <t>3FQ22E</t>
  </si>
  <si>
    <t>4FQ22E</t>
  </si>
  <si>
    <t>1FQ23E</t>
  </si>
  <si>
    <t>2FQ23E</t>
  </si>
  <si>
    <t>3FQ23E</t>
  </si>
  <si>
    <t>4FQ23E</t>
  </si>
  <si>
    <t>1FQ24E</t>
  </si>
  <si>
    <t>2FQ24E</t>
  </si>
  <si>
    <t>3FQ24E</t>
  </si>
  <si>
    <t>4FQ24E</t>
  </si>
  <si>
    <t>1FQ25E</t>
  </si>
  <si>
    <t>2FQ25E</t>
  </si>
  <si>
    <t>3FQ25E</t>
  </si>
  <si>
    <t>4FQ25E</t>
  </si>
  <si>
    <t>1FQ26E</t>
  </si>
  <si>
    <t>2FQ26E</t>
  </si>
  <si>
    <t>3FQ26E</t>
  </si>
  <si>
    <t>4FQ26E</t>
  </si>
  <si>
    <t>FY2019</t>
  </si>
  <si>
    <t>FY2020</t>
  </si>
  <si>
    <t>FY2021</t>
  </si>
  <si>
    <t>FY2022E</t>
  </si>
  <si>
    <t>FY2023E</t>
  </si>
  <si>
    <t>FY2024E</t>
  </si>
  <si>
    <t>FY2025E</t>
  </si>
  <si>
    <t>FY2026E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</si>
</sst>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9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_(* #,##0_);_(* \(#,##0\);_(* &quot;-&quot;??_);_(@_)"/>
    <numFmt numFmtId="167" formatCode="0.0\x"/>
    <numFmt numFmtId="168" formatCode="_(* #,##0.0_);_(* \(#,##0.0\);_(* &quot;-&quot;??_);_(@_)"/>
    <numFmt numFmtId="169" formatCode="_ * #,##0_ ;_ * \-#,##0_ ;_ * &quot;-&quot;_ ;_ @_ "/>
    <numFmt numFmtId="170" formatCode="0.000"/>
    <numFmt numFmtId="171" formatCode="_(&quot;$&quot;* #,##0.000_);_(&quot;$&quot;* \(#,##0.000\);_(&quot;$&quot;* &quot;-&quot;??_);_(@_)"/>
    <numFmt numFmtId="172" formatCode="0&quot; bps&quot;"/>
    <numFmt numFmtId="173" formatCode="_(&quot;$&quot;* #,##0.0_);_(&quot;$&quot;* \(#,##0.0\);_(&quot;$&quot;* &quot;-&quot;??_);_(@_)"/>
    <numFmt numFmtId="174" formatCode="0.0"/>
    <numFmt numFmtId="175" formatCode="0.00\x"/>
    <numFmt numFmtId="176" formatCode="mmm\ yy"/>
    <numFmt numFmtId="177" formatCode="&quot;FY &quot;0000"/>
    <numFmt numFmtId="178" formatCode="0.00_);\(0.00\);0.00"/>
    <numFmt numFmtId="179" formatCode="0.00_);\(0.00\);0.00_)"/>
    <numFmt numFmtId="180" formatCode="0.00\%;\-0.00\%;0.00\%"/>
    <numFmt numFmtId="181" formatCode="0.00;\-0.00;0.00"/>
    <numFmt numFmtId="182" formatCode="0.00\x;\-0.00\x;0.00\x"/>
    <numFmt numFmtId="183" formatCode="##0.00000"/>
    <numFmt numFmtId="184" formatCode="General;\-General;General;"/>
    <numFmt numFmtId="185" formatCode="mmm\ yy&quot;E&quot;"/>
    <numFmt numFmtId="186" formatCode="0&quot;E&quot;"/>
    <numFmt numFmtId="187" formatCode="_(* #,##0.0_);_(* \(#,##0.0\);_(* &quot;-&quot;?_);_(@_)"/>
    <numFmt numFmtId="188" formatCode="#,##0.0_);\(#,##0.0\);#,##0.0_)"/>
    <numFmt numFmtId="189" formatCode="0.000%"/>
    <numFmt numFmtId="190" formatCode="#,##0.0"/>
    <numFmt numFmtId="191" formatCode="0.0&quot;x&quot;"/>
    <numFmt numFmtId="192" formatCode="0&quot;x&quot;"/>
    <numFmt numFmtId="193" formatCode="_(* #,##0.0000_);_(* \(#,##0.0000\);_(* &quot;-&quot;??_);_(@_)"/>
    <numFmt numFmtId="194" formatCode="0%;\(0%\)"/>
    <numFmt numFmtId="195" formatCode="0.0%;\(0.0%\)"/>
    <numFmt numFmtId="196" formatCode="0.0%_);\(0.0%\)"/>
    <numFmt numFmtId="197" formatCode="#,##0.0\ ;\(#,##0.0\)"/>
    <numFmt numFmtId="198" formatCode="0.0_)\%;\(0.0\)\%;0.0_)\%;@_)_%"/>
    <numFmt numFmtId="199" formatCode="#,##0.0_)_%;\(#,##0.0\)_%;0.0_)_%;@_)_%"/>
    <numFmt numFmtId="200" formatCode="&quot;$&quot;_(#,##0.00_);&quot;$&quot;\(#,##0.00\)"/>
    <numFmt numFmtId="201" formatCode="\€_(#,##0.00_);\€\(#,##0.00\);\€_(0.00_);@_)"/>
    <numFmt numFmtId="202" formatCode="#,##0.0_)\x;\(#,##0.0\)\x"/>
    <numFmt numFmtId="203" formatCode="#,##0.0_)_x;\(#,##0.0\)_x"/>
    <numFmt numFmtId="204" formatCode="0.0_)\%;\(0.0\)\%"/>
    <numFmt numFmtId="205" formatCode="#,##0.0_)_%;\(#,##0.0\)_%"/>
    <numFmt numFmtId="206" formatCode="#,##0.000_);[Red]\(#,##0.000\)"/>
    <numFmt numFmtId="207" formatCode="#,##0,_);\(#,##0,\)"/>
    <numFmt numFmtId="208" formatCode="0.0%;[Red]\(0.0%\)"/>
    <numFmt numFmtId="209" formatCode="0%;[Red]\(0%\)"/>
    <numFmt numFmtId="210" formatCode="yyyy"/>
    <numFmt numFmtId="211" formatCode="_-* #,##0.00_-;\-* #,##0.00_-;_-* &quot;-&quot;??_-;_-@_-"/>
    <numFmt numFmtId="212" formatCode="&quot;$&quot;#,##0.00&quot;A&quot;;[Red]\(&quot;$&quot;#,##0.00\)&quot;A&quot;"/>
    <numFmt numFmtId="213" formatCode="&quot;$&quot;#,##0.00&quot;E&quot;;[Red]\(&quot;$&quot;#,##0.00\)&quot;E&quot;"/>
    <numFmt numFmtId="214" formatCode="_([$€]* #,##0.00_);_([$€]* \(#,##0.00\);_([$€]* &quot;-&quot;??_);_(@_)"/>
    <numFmt numFmtId="215" formatCode="#,##0.0_);[Red]\(#,##0.0\)"/>
    <numFmt numFmtId="216" formatCode="0.0%_);[Red]\(0.0%\)"/>
    <numFmt numFmtId="217" formatCode="General_)dd\-mmm\-yy_)\.\.\.\,"/>
    <numFmt numFmtId="218" formatCode="General_)"/>
    <numFmt numFmtId="219" formatCode="#,##0.00\x_);[Red]\(#,##0.00\x\)"/>
    <numFmt numFmtId="220" formatCode="0%\ ;[Red]\(0%\)\ ;&quot;-  &quot;"/>
    <numFmt numFmtId="221" formatCode="&quot;   &quot;@"/>
    <numFmt numFmtId="222" formatCode="0.00_)"/>
    <numFmt numFmtId="223" formatCode="_([$€-2]* #,##0.00_);_([$€-2]* \(#,##0.00\);_([$€-2]* &quot;-&quot;??_)"/>
    <numFmt numFmtId="224" formatCode="0%_);\(0%\)"/>
    <numFmt numFmtId="225" formatCode="[&lt;=9999999]###\-####;\(###\)\ ###\-####"/>
    <numFmt numFmtId="226" formatCode="_(* #,##0_);_(* \(#,##0\);_(* &quot;-&quot;_)"/>
  </numFmts>
  <fonts count="152">
    <font>
      <sz val="11"/>
      <color theme="1"/>
      <name val="Frutiger 55 Roman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Calibri"/>
      <family val="2"/>
    </font>
    <font>
      <sz val="9"/>
      <color indexed="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10"/>
      <color indexed="8"/>
      <name val="Times New Roman"/>
      <family val="1"/>
    </font>
    <font>
      <sz val="9"/>
      <name val="Times New Roman"/>
      <family val="1"/>
    </font>
    <font>
      <sz val="10"/>
      <name val="Arial"/>
      <family val="2"/>
    </font>
    <font>
      <sz val="10"/>
      <color indexed="8"/>
      <name val="Times New Roman"/>
      <family val="1"/>
    </font>
    <font>
      <i/>
      <sz val="8"/>
      <name val="Times New Roman"/>
      <family val="1"/>
    </font>
    <font>
      <sz val="12"/>
      <name val="바탕체"/>
      <family val="1"/>
      <charset val="129"/>
    </font>
    <font>
      <b/>
      <sz val="9"/>
      <color indexed="0"/>
      <name val="Arial"/>
      <family val="2"/>
    </font>
    <font>
      <sz val="24"/>
      <name val="MS Sans Serif"/>
      <family val="2"/>
    </font>
    <font>
      <b/>
      <sz val="9"/>
      <color indexed="2"/>
      <name val="Arial"/>
      <family val="2"/>
    </font>
    <font>
      <sz val="9"/>
      <color indexed="2"/>
      <name val="Arial"/>
      <family val="2"/>
    </font>
    <font>
      <b/>
      <sz val="12"/>
      <name val="MS Sans Serif"/>
      <family val="2"/>
    </font>
    <font>
      <b/>
      <sz val="10"/>
      <name val="MS Sans Serif"/>
      <family val="2"/>
    </font>
    <font>
      <sz val="10"/>
      <color indexed="23"/>
      <name val="MS Sans Serif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sz val="8"/>
      <name val="Frutiger 55 Roman"/>
      <family val="2"/>
    </font>
    <font>
      <b/>
      <sz val="10"/>
      <name val="Arial"/>
      <family val="2"/>
    </font>
    <font>
      <sz val="11"/>
      <color theme="1"/>
      <name val="Frutiger 55 Roman"/>
      <family val="2"/>
      <scheme val="minor"/>
    </font>
    <font>
      <sz val="10.5"/>
      <color theme="1"/>
      <name val="Frutiger 45 Light"/>
      <family val="2"/>
    </font>
    <font>
      <sz val="18"/>
      <color theme="3"/>
      <name val="UBSHeadline"/>
      <family val="2"/>
      <scheme val="major"/>
    </font>
    <font>
      <b/>
      <sz val="15"/>
      <color theme="3"/>
      <name val="Frutiger 55 Roman"/>
      <family val="2"/>
      <scheme val="minor"/>
    </font>
    <font>
      <b/>
      <sz val="13"/>
      <color theme="3"/>
      <name val="Frutiger 55 Roman"/>
      <family val="2"/>
      <scheme val="minor"/>
    </font>
    <font>
      <b/>
      <sz val="11"/>
      <color theme="3"/>
      <name val="Frutiger 55 Roman"/>
      <family val="2"/>
      <scheme val="minor"/>
    </font>
    <font>
      <sz val="11"/>
      <color rgb="FF006100"/>
      <name val="Frutiger 55 Roman"/>
      <family val="2"/>
      <scheme val="minor"/>
    </font>
    <font>
      <sz val="11"/>
      <color rgb="FF9C0006"/>
      <name val="Frutiger 55 Roman"/>
      <family val="2"/>
      <scheme val="minor"/>
    </font>
    <font>
      <sz val="11"/>
      <color rgb="FF9C5700"/>
      <name val="Frutiger 55 Roman"/>
      <family val="2"/>
      <scheme val="minor"/>
    </font>
    <font>
      <sz val="11"/>
      <color rgb="FF3F3F76"/>
      <name val="Frutiger 55 Roman"/>
      <family val="2"/>
      <scheme val="minor"/>
    </font>
    <font>
      <b/>
      <sz val="11"/>
      <color rgb="FF3F3F3F"/>
      <name val="Frutiger 55 Roman"/>
      <family val="2"/>
      <scheme val="minor"/>
    </font>
    <font>
      <b/>
      <sz val="11"/>
      <color rgb="FFFA7D00"/>
      <name val="Frutiger 55 Roman"/>
      <family val="2"/>
      <scheme val="minor"/>
    </font>
    <font>
      <sz val="11"/>
      <color rgb="FFFA7D00"/>
      <name val="Frutiger 55 Roman"/>
      <family val="2"/>
      <scheme val="minor"/>
    </font>
    <font>
      <b/>
      <sz val="11"/>
      <color theme="0"/>
      <name val="Frutiger 55 Roman"/>
      <family val="2"/>
      <scheme val="minor"/>
    </font>
    <font>
      <sz val="11"/>
      <color rgb="FFFF0000"/>
      <name val="Frutiger 55 Roman"/>
      <family val="2"/>
      <scheme val="minor"/>
    </font>
    <font>
      <i/>
      <sz val="11"/>
      <color rgb="FF7F7F7F"/>
      <name val="Frutiger 55 Roman"/>
      <family val="2"/>
      <scheme val="minor"/>
    </font>
    <font>
      <b/>
      <sz val="11"/>
      <color theme="1"/>
      <name val="Frutiger 55 Roman"/>
      <family val="2"/>
      <scheme val="minor"/>
    </font>
    <font>
      <sz val="11"/>
      <color rgb="FF000000"/>
      <name val="Calibri"/>
      <family val="2"/>
    </font>
    <font>
      <b/>
      <sz val="11"/>
      <color indexed="8"/>
      <name val="Calibri"/>
      <family val="2"/>
    </font>
    <font>
      <sz val="9"/>
      <name val="Arial"/>
      <family val="2"/>
    </font>
    <font>
      <sz val="9"/>
      <color indexed="8"/>
      <name val="Arial"/>
      <family val="2"/>
    </font>
    <font>
      <sz val="8"/>
      <color indexed="49"/>
      <name val="Times New Roman"/>
      <family val="1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8"/>
      <name val="Times New Roman"/>
      <family val="1"/>
    </font>
    <font>
      <sz val="10"/>
      <name val="Helv"/>
      <family val="2"/>
    </font>
    <font>
      <b/>
      <sz val="10"/>
      <name val="Tms Rmn"/>
      <family val="1"/>
    </font>
    <font>
      <sz val="10"/>
      <name val="MS Serif"/>
      <family val="1"/>
    </font>
    <font>
      <b/>
      <sz val="8"/>
      <name val="Times New Roman"/>
      <family val="1"/>
    </font>
    <font>
      <sz val="10"/>
      <name val="Times New Roman"/>
      <family val="1"/>
    </font>
    <font>
      <sz val="8"/>
      <name val="Arial"/>
      <family val="2"/>
    </font>
    <font>
      <i/>
      <sz val="8"/>
      <color indexed="17"/>
      <name val="Times New Roman"/>
      <family val="1"/>
    </font>
    <font>
      <sz val="8"/>
      <color indexed="21"/>
      <name val="Arial"/>
      <family val="2"/>
    </font>
    <font>
      <b/>
      <sz val="16"/>
      <name val="Tahoma"/>
      <family val="2"/>
    </font>
    <font>
      <u/>
      <sz val="10"/>
      <color indexed="12"/>
      <name val="Arial"/>
      <family val="2"/>
    </font>
    <font>
      <b/>
      <sz val="8"/>
      <name val="Tms Rmn"/>
      <family val="1"/>
    </font>
    <font>
      <sz val="8"/>
      <color indexed="18"/>
      <name val="Times New Roman"/>
      <family val="1"/>
    </font>
    <font>
      <sz val="9"/>
      <color indexed="8"/>
      <name val="Helvetica 45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6"/>
      <name val="Times New Roman"/>
      <family val="1"/>
    </font>
    <font>
      <sz val="11"/>
      <name val="ＭＳ Ｐゴシック"/>
      <family val="3"/>
      <charset val="128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8"/>
      <name val="Times"/>
      <family val="1"/>
    </font>
    <font>
      <sz val="10"/>
      <name val="Helv"/>
    </font>
    <font>
      <b/>
      <sz val="8"/>
      <name val="Tms Rmn"/>
    </font>
    <font>
      <sz val="8"/>
      <color indexed="8"/>
      <name val="Times New Roman"/>
      <family val="1"/>
    </font>
    <font>
      <sz val="12"/>
      <name val="Times New Roman"/>
      <family val="1"/>
    </font>
    <font>
      <b/>
      <sz val="10"/>
      <color indexed="10"/>
      <name val="Arial"/>
      <family val="2"/>
    </font>
    <font>
      <sz val="10"/>
      <name val="Tahoma"/>
      <family val="2"/>
    </font>
    <font>
      <u/>
      <sz val="11"/>
      <color theme="10"/>
      <name val="Frutiger 55 Roman"/>
      <family val="2"/>
      <scheme val="minor"/>
    </font>
    <font>
      <b/>
      <sz val="12"/>
      <color rgb="FFFF0000"/>
      <name val="Calibri"/>
      <family val="2"/>
    </font>
    <font>
      <sz val="8"/>
      <color indexed="8"/>
      <name val="Calibri"/>
      <family val="2"/>
    </font>
    <font>
      <b/>
      <sz val="9"/>
      <color theme="1"/>
      <name val="Calibri"/>
      <family val="2"/>
    </font>
    <font>
      <i/>
      <sz val="8"/>
      <name val="Calibri"/>
      <family val="2"/>
    </font>
    <font>
      <sz val="8"/>
      <color rgb="FF000000"/>
      <name val="Calibri"/>
      <family val="2"/>
    </font>
    <font>
      <b/>
      <sz val="8"/>
      <color indexed="8"/>
      <name val="Calibri"/>
      <family val="2"/>
    </font>
    <font>
      <b/>
      <sz val="8"/>
      <color rgb="FF000000"/>
      <name val="Calibri"/>
      <family val="2"/>
    </font>
    <font>
      <b/>
      <sz val="8"/>
      <name val="Calibri"/>
      <family val="2"/>
    </font>
    <font>
      <b/>
      <sz val="8"/>
      <color theme="1"/>
      <name val="Calibri"/>
      <family val="2"/>
    </font>
    <font>
      <b/>
      <u/>
      <sz val="8"/>
      <color theme="1"/>
      <name val="Calibri"/>
      <family val="2"/>
    </font>
    <font>
      <sz val="8"/>
      <color theme="1"/>
      <name val="Calibri"/>
      <family val="2"/>
    </font>
    <font>
      <b/>
      <sz val="8"/>
      <color theme="2"/>
      <name val="Calibri"/>
      <family val="2"/>
    </font>
    <font>
      <sz val="8"/>
      <color rgb="FFFF0000"/>
      <name val="Calibri"/>
      <family val="2"/>
    </font>
    <font>
      <b/>
      <i/>
      <sz val="8"/>
      <color indexed="8"/>
      <name val="Calibri"/>
      <family val="2"/>
    </font>
    <font>
      <b/>
      <i/>
      <sz val="8"/>
      <color rgb="FF000000"/>
      <name val="Calibri"/>
      <family val="2"/>
    </font>
    <font>
      <i/>
      <sz val="8"/>
      <color rgb="FF000000"/>
      <name val="Calibri"/>
      <family val="2"/>
    </font>
    <font>
      <i/>
      <sz val="8"/>
      <color rgb="FF0000FF"/>
      <name val="Calibri"/>
      <family val="2"/>
    </font>
    <font>
      <sz val="8"/>
      <color theme="3"/>
      <name val="Calibri"/>
      <family val="2"/>
    </font>
    <font>
      <b/>
      <i/>
      <sz val="8"/>
      <name val="Calibri"/>
      <family val="2"/>
    </font>
    <font>
      <b/>
      <sz val="8"/>
      <color rgb="FF7030A0"/>
      <name val="Calibri"/>
      <family val="2"/>
    </font>
    <font>
      <i/>
      <sz val="8"/>
      <color indexed="8"/>
      <name val="Calibri"/>
      <family val="2"/>
    </font>
    <font>
      <b/>
      <sz val="8"/>
      <color rgb="FFFF0000"/>
      <name val="Calibri"/>
      <family val="2"/>
    </font>
    <font>
      <sz val="8"/>
      <color rgb="FF0000FF"/>
      <name val="Calibri"/>
      <family val="2"/>
    </font>
    <font>
      <b/>
      <sz val="8"/>
      <color theme="3"/>
      <name val="Calibri"/>
      <family val="2"/>
    </font>
    <font>
      <b/>
      <sz val="8"/>
      <color rgb="FF0000FF"/>
      <name val="Calibri"/>
      <family val="2"/>
    </font>
    <font>
      <sz val="8"/>
      <color theme="1" tint="0.499984740745262"/>
      <name val="Calibri"/>
      <family val="2"/>
    </font>
    <font>
      <i/>
      <sz val="8"/>
      <color theme="0" tint="-0.499984740745262"/>
      <name val="Calibri"/>
      <family val="2"/>
    </font>
    <font>
      <b/>
      <u/>
      <sz val="8"/>
      <color rgb="FF000000"/>
      <name val="Calibri"/>
      <family val="2"/>
    </font>
    <font>
      <u/>
      <sz val="8"/>
      <color rgb="FF000000"/>
      <name val="Calibri"/>
      <family val="2"/>
    </font>
    <font>
      <sz val="8"/>
      <color rgb="FF262626"/>
      <name val="Calibri"/>
      <family val="2"/>
    </font>
    <font>
      <i/>
      <sz val="8"/>
      <color theme="3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</font>
    <font>
      <i/>
      <sz val="12"/>
      <name val="Calibri"/>
      <family val="2"/>
    </font>
    <font>
      <sz val="12"/>
      <color rgb="FF000000"/>
      <name val="Calibri"/>
      <family val="2"/>
    </font>
    <font>
      <b/>
      <sz val="12"/>
      <color indexed="8"/>
      <name val="Calibri"/>
      <family val="2"/>
    </font>
    <font>
      <b/>
      <sz val="12"/>
      <color rgb="FF000000"/>
      <name val="Calibri"/>
      <family val="2"/>
    </font>
    <font>
      <sz val="12"/>
      <color rgb="FFFF0000"/>
      <name val="Calibri"/>
      <family val="2"/>
    </font>
    <font>
      <sz val="12"/>
      <color rgb="FF0000FF"/>
      <name val="Calibri"/>
      <family val="2"/>
    </font>
    <font>
      <b/>
      <u/>
      <sz val="12"/>
      <color rgb="FF000000"/>
      <name val="Calibri"/>
      <family val="2"/>
    </font>
    <font>
      <b/>
      <u val="singleAccounting"/>
      <sz val="12"/>
      <color rgb="FF000000"/>
      <name val="Calibri"/>
      <family val="2"/>
    </font>
    <font>
      <sz val="12"/>
      <color theme="0" tint="-0.249977111117893"/>
      <name val="Calibri"/>
      <family val="2"/>
    </font>
    <font>
      <sz val="12"/>
      <color theme="1"/>
      <name val="Calibri"/>
      <family val="2"/>
    </font>
    <font>
      <b/>
      <sz val="12"/>
      <color theme="2"/>
      <name val="Calibri"/>
      <family val="2"/>
    </font>
    <font>
      <sz val="12"/>
      <color theme="1" tint="0.499984740745262"/>
      <name val="Calibri"/>
      <family val="2"/>
    </font>
    <font>
      <b/>
      <sz val="12"/>
      <name val="Calibri"/>
      <family val="2"/>
    </font>
    <font>
      <i/>
      <sz val="12"/>
      <color rgb="FF000000"/>
      <name val="Calibri"/>
      <family val="2"/>
    </font>
    <font>
      <b/>
      <i/>
      <sz val="12"/>
      <color indexed="8"/>
      <name val="Calibri"/>
      <family val="2"/>
    </font>
    <font>
      <i/>
      <sz val="12"/>
      <color theme="1"/>
      <name val="Calibri"/>
      <family val="2"/>
    </font>
    <font>
      <u/>
      <sz val="12"/>
      <color theme="1"/>
      <name val="Calibri"/>
      <family val="2"/>
    </font>
    <font>
      <b/>
      <sz val="8"/>
      <color theme="0"/>
      <name val="Calibri"/>
      <family val="2"/>
    </font>
    <font>
      <b/>
      <u/>
      <sz val="12"/>
      <color theme="1"/>
      <name val="Calibri"/>
      <family val="2"/>
    </font>
    <font>
      <sz val="12"/>
      <name val="Calibri"/>
      <family val="2"/>
    </font>
    <font>
      <i/>
      <sz val="12"/>
      <color indexed="8"/>
      <name val="Calibri"/>
      <family val="2"/>
    </font>
    <font>
      <b/>
      <u val="singleAccounting"/>
      <sz val="12"/>
      <color theme="1"/>
      <name val="Calibri"/>
      <family val="2"/>
    </font>
    <font>
      <sz val="12"/>
      <color theme="3"/>
      <name val="Calibri"/>
      <family val="2"/>
    </font>
    <font>
      <b/>
      <u/>
      <sz val="12"/>
      <color indexed="8"/>
      <name val="Calibri"/>
      <family val="2"/>
    </font>
    <font>
      <b/>
      <i/>
      <sz val="12"/>
      <color rgb="FF000000"/>
      <name val="Calibri"/>
      <family val="2"/>
    </font>
    <font>
      <b/>
      <sz val="16"/>
      <color theme="1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1"/>
      </patternFill>
    </fill>
    <fill>
      <patternFill patternType="lightGray">
        <fgColor indexed="12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indexed="43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7"/>
        <bgColor indexed="64"/>
      </patternFill>
    </fill>
    <fill>
      <patternFill patternType="mediumGray">
        <fgColor indexed="22"/>
      </patternFill>
    </fill>
  </fills>
  <borders count="45">
    <border>
      <left/>
      <right/>
      <top/>
      <bottom/>
      <diagonal/>
    </border>
    <border diagonalDown="1"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1" tint="0.499984740745262"/>
      </right>
      <top style="thin">
        <color indexed="64"/>
      </top>
      <bottom style="thin">
        <color indexed="64"/>
      </bottom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tted">
        <color indexed="22"/>
      </bottom>
      <diagonal/>
    </border>
  </borders>
  <cellStyleXfs count="1239">
    <xf numFmtId="0" fontId="0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13" fillId="0" borderId="1">
      <alignment horizontal="left"/>
    </xf>
    <xf numFmtId="0" fontId="4" fillId="0" borderId="1">
      <alignment horizontal="left" wrapText="1"/>
    </xf>
    <xf numFmtId="0" fontId="7" fillId="0" borderId="0"/>
    <xf numFmtId="0" fontId="4" fillId="0" borderId="0">
      <alignment horizontal="right" vertical="center"/>
    </xf>
    <xf numFmtId="0" fontId="13" fillId="3" borderId="2">
      <alignment horizontal="center" vertical="center" wrapText="1"/>
    </xf>
    <xf numFmtId="0" fontId="6" fillId="0" borderId="0">
      <alignment horizontal="center" wrapText="1"/>
      <protection hidden="1"/>
    </xf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4" fillId="4" borderId="0">
      <alignment horizontal="center" vertical="center" wrapText="1"/>
    </xf>
    <xf numFmtId="178" fontId="6" fillId="0" borderId="0" applyFill="0" applyBorder="0">
      <alignment horizontal="right"/>
      <protection locked="0"/>
    </xf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Font="0" applyFill="0" applyBorder="0" applyAlignment="0">
      <protection locked="0"/>
    </xf>
    <xf numFmtId="0" fontId="15" fillId="0" borderId="1">
      <alignment horizontal="left"/>
    </xf>
    <xf numFmtId="0" fontId="16" fillId="0" borderId="1">
      <alignment horizontal="left" wrapText="1"/>
    </xf>
    <xf numFmtId="0" fontId="6" fillId="0" borderId="0" applyFill="0" applyBorder="0">
      <alignment horizontal="right"/>
      <protection locked="0"/>
    </xf>
    <xf numFmtId="179" fontId="6" fillId="0" borderId="0" applyFill="0" applyBorder="0">
      <alignment horizontal="right"/>
      <protection locked="0"/>
    </xf>
    <xf numFmtId="0" fontId="18" fillId="2" borderId="3">
      <alignment horizontal="left" vertical="center" wrapText="1"/>
    </xf>
    <xf numFmtId="0" fontId="1" fillId="0" borderId="0"/>
    <xf numFmtId="0" fontId="25" fillId="0" borderId="0"/>
    <xf numFmtId="0" fontId="1" fillId="0" borderId="0"/>
    <xf numFmtId="0" fontId="25" fillId="0" borderId="0"/>
    <xf numFmtId="0" fontId="26" fillId="0" borderId="0"/>
    <xf numFmtId="0" fontId="4" fillId="0" borderId="4">
      <alignment horizontal="left" vertical="center" wrapText="1"/>
    </xf>
    <xf numFmtId="0" fontId="8" fillId="0" borderId="0">
      <alignment vertical="center"/>
    </xf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180" fontId="6" fillId="0" borderId="0" applyFill="0" applyBorder="0">
      <alignment horizontal="right"/>
      <protection locked="0"/>
    </xf>
    <xf numFmtId="181" fontId="6" fillId="0" borderId="0" applyFill="0" applyBorder="0">
      <alignment horizontal="right"/>
      <protection locked="0"/>
    </xf>
    <xf numFmtId="182" fontId="6" fillId="0" borderId="0">
      <alignment horizontal="right"/>
      <protection locked="0"/>
    </xf>
    <xf numFmtId="0" fontId="4" fillId="0" borderId="5">
      <alignment horizontal="left" vertical="center" wrapText="1"/>
    </xf>
    <xf numFmtId="0" fontId="9" fillId="5" borderId="0" applyNumberFormat="0" applyFont="0" applyBorder="0" applyAlignment="0" applyProtection="0"/>
    <xf numFmtId="0" fontId="5" fillId="5" borderId="0" applyNumberFormat="0" applyFont="0" applyBorder="0" applyAlignment="0" applyProtection="0"/>
    <xf numFmtId="0" fontId="10" fillId="0" borderId="0"/>
    <xf numFmtId="0" fontId="10" fillId="0" borderId="6">
      <alignment horizontal="centerContinuous"/>
    </xf>
    <xf numFmtId="183" fontId="19" fillId="0" borderId="0" applyFill="0" applyBorder="0">
      <alignment horizontal="right"/>
      <protection hidden="1"/>
    </xf>
    <xf numFmtId="0" fontId="17" fillId="4" borderId="7">
      <alignment horizontal="center" vertical="center" wrapText="1"/>
      <protection hidden="1"/>
    </xf>
    <xf numFmtId="0" fontId="13" fillId="0" borderId="0">
      <alignment horizontal="left" vertical="center" wrapText="1"/>
    </xf>
    <xf numFmtId="0" fontId="11" fillId="0" borderId="6"/>
    <xf numFmtId="184" fontId="6" fillId="0" borderId="0">
      <protection locked="0"/>
    </xf>
    <xf numFmtId="0" fontId="9" fillId="0" borderId="0"/>
    <xf numFmtId="0" fontId="5" fillId="0" borderId="0"/>
    <xf numFmtId="0" fontId="5" fillId="0" borderId="0">
      <alignment vertical="top"/>
    </xf>
    <xf numFmtId="41" fontId="9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6" fillId="0" borderId="0" applyBorder="0"/>
    <xf numFmtId="0" fontId="9" fillId="0" borderId="0"/>
    <xf numFmtId="0" fontId="5" fillId="0" borderId="0"/>
    <xf numFmtId="169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3" applyNumberFormat="0" applyFill="0" applyAlignment="0" applyProtection="0"/>
    <xf numFmtId="0" fontId="29" fillId="0" borderId="14" applyNumberFormat="0" applyFill="0" applyAlignment="0" applyProtection="0"/>
    <xf numFmtId="0" fontId="30" fillId="0" borderId="15" applyNumberFormat="0" applyFill="0" applyAlignment="0" applyProtection="0"/>
    <xf numFmtId="0" fontId="30" fillId="0" borderId="0" applyNumberFormat="0" applyFill="0" applyBorder="0" applyAlignment="0" applyProtection="0"/>
    <xf numFmtId="0" fontId="31" fillId="9" borderId="0" applyNumberFormat="0" applyBorder="0" applyAlignment="0" applyProtection="0"/>
    <xf numFmtId="0" fontId="32" fillId="10" borderId="0" applyNumberFormat="0" applyBorder="0" applyAlignment="0" applyProtection="0"/>
    <xf numFmtId="0" fontId="33" fillId="11" borderId="0" applyNumberFormat="0" applyBorder="0" applyAlignment="0" applyProtection="0"/>
    <xf numFmtId="0" fontId="34" fillId="12" borderId="16" applyNumberFormat="0" applyAlignment="0" applyProtection="0"/>
    <xf numFmtId="0" fontId="35" fillId="13" borderId="17" applyNumberFormat="0" applyAlignment="0" applyProtection="0"/>
    <xf numFmtId="0" fontId="36" fillId="13" borderId="16" applyNumberFormat="0" applyAlignment="0" applyProtection="0"/>
    <xf numFmtId="0" fontId="37" fillId="0" borderId="18" applyNumberFormat="0" applyFill="0" applyAlignment="0" applyProtection="0"/>
    <xf numFmtId="0" fontId="38" fillId="14" borderId="19" applyNumberFormat="0" applyAlignment="0" applyProtection="0"/>
    <xf numFmtId="0" fontId="39" fillId="0" borderId="0" applyNumberFormat="0" applyFill="0" applyBorder="0" applyAlignment="0" applyProtection="0"/>
    <xf numFmtId="0" fontId="25" fillId="15" borderId="20" applyNumberFormat="0" applyFont="0" applyAlignment="0" applyProtection="0"/>
    <xf numFmtId="0" fontId="40" fillId="0" borderId="0" applyNumberFormat="0" applyFill="0" applyBorder="0" applyAlignment="0" applyProtection="0"/>
    <xf numFmtId="0" fontId="41" fillId="0" borderId="21" applyNumberFormat="0" applyFill="0" applyAlignment="0" applyProtection="0"/>
    <xf numFmtId="0" fontId="5" fillId="0" borderId="0"/>
    <xf numFmtId="197" fontId="44" fillId="0" borderId="0"/>
    <xf numFmtId="197" fontId="44" fillId="0" borderId="0"/>
    <xf numFmtId="197" fontId="44" fillId="0" borderId="0"/>
    <xf numFmtId="197" fontId="44" fillId="0" borderId="0"/>
    <xf numFmtId="197" fontId="44" fillId="0" borderId="0"/>
    <xf numFmtId="197" fontId="44" fillId="0" borderId="0"/>
    <xf numFmtId="197" fontId="44" fillId="0" borderId="0"/>
    <xf numFmtId="196" fontId="46" fillId="0" borderId="0" applyFont="0" applyFill="0" applyBorder="0" applyAlignment="0" applyProtection="0"/>
    <xf numFmtId="198" fontId="44" fillId="0" borderId="0" applyFont="0" applyFill="0" applyBorder="0" applyAlignment="0" applyProtection="0"/>
    <xf numFmtId="199" fontId="44" fillId="0" borderId="0" applyFont="0" applyFill="0" applyBorder="0" applyAlignment="0" applyProtection="0"/>
    <xf numFmtId="188" fontId="5" fillId="0" borderId="0" applyFont="0" applyFill="0" applyBorder="0" applyAlignment="0" applyProtection="0"/>
    <xf numFmtId="200" fontId="5" fillId="0" borderId="0" applyFont="0" applyFill="0" applyBorder="0" applyAlignment="0" applyProtection="0"/>
    <xf numFmtId="39" fontId="5" fillId="0" borderId="0" applyFont="0" applyFill="0" applyBorder="0" applyAlignment="0" applyProtection="0"/>
    <xf numFmtId="201" fontId="44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4" fillId="16" borderId="0" applyNumberFormat="0" applyFont="0" applyAlignment="0" applyProtection="0"/>
    <xf numFmtId="202" fontId="5" fillId="0" borderId="0" applyFont="0" applyFill="0" applyBorder="0" applyAlignment="0" applyProtection="0"/>
    <xf numFmtId="203" fontId="5" fillId="0" borderId="0" applyFont="0" applyFill="0" applyBorder="0" applyAlignment="0" applyProtection="0"/>
    <xf numFmtId="204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0" fontId="48" fillId="0" borderId="0" applyNumberFormat="0" applyFill="0" applyBorder="0" applyProtection="0">
      <alignment vertical="top"/>
    </xf>
    <xf numFmtId="0" fontId="45" fillId="0" borderId="33" applyNumberFormat="0" applyFill="0" applyAlignment="0" applyProtection="0"/>
    <xf numFmtId="0" fontId="49" fillId="0" borderId="34" applyNumberFormat="0" applyFill="0" applyProtection="0">
      <alignment horizontal="center"/>
    </xf>
    <xf numFmtId="0" fontId="49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centerContinuous"/>
    </xf>
    <xf numFmtId="38" fontId="51" fillId="0" borderId="0" applyFill="0" applyBorder="0" applyAlignment="0" applyProtection="0">
      <alignment horizontal="left"/>
      <protection locked="0"/>
    </xf>
    <xf numFmtId="206" fontId="51" fillId="0" borderId="0" applyFill="0" applyBorder="0" applyAlignment="0" applyProtection="0">
      <protection locked="0"/>
    </xf>
    <xf numFmtId="207" fontId="5" fillId="0" borderId="0" applyFill="0" applyBorder="0" applyAlignment="0"/>
    <xf numFmtId="188" fontId="52" fillId="0" borderId="0" applyFill="0" applyBorder="0" applyAlignment="0"/>
    <xf numFmtId="193" fontId="52" fillId="0" borderId="0" applyFill="0" applyBorder="0" applyAlignment="0"/>
    <xf numFmtId="208" fontId="52" fillId="0" borderId="0" applyFill="0" applyBorder="0" applyAlignment="0"/>
    <xf numFmtId="209" fontId="52" fillId="0" borderId="0" applyFill="0" applyBorder="0" applyAlignment="0"/>
    <xf numFmtId="44" fontId="52" fillId="0" borderId="0" applyFill="0" applyBorder="0" applyAlignment="0"/>
    <xf numFmtId="195" fontId="52" fillId="0" borderId="0" applyFill="0" applyBorder="0" applyAlignment="0"/>
    <xf numFmtId="188" fontId="52" fillId="0" borderId="0" applyFill="0" applyBorder="0" applyAlignment="0"/>
    <xf numFmtId="206" fontId="51" fillId="0" borderId="0" applyFont="0" applyFill="0" applyBorder="0" applyAlignment="0" applyProtection="0">
      <protection locked="0"/>
    </xf>
    <xf numFmtId="0" fontId="53" fillId="0" borderId="0"/>
    <xf numFmtId="44" fontId="5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4" fillId="0" borderId="0" applyNumberFormat="0" applyAlignment="0">
      <alignment horizontal="left"/>
    </xf>
    <xf numFmtId="0" fontId="53" fillId="0" borderId="0"/>
    <xf numFmtId="0" fontId="53" fillId="0" borderId="0"/>
    <xf numFmtId="188" fontId="52" fillId="0" borderId="0" applyFont="0" applyFill="0" applyBorder="0" applyAlignment="0" applyProtection="0"/>
    <xf numFmtId="44" fontId="5" fillId="0" borderId="0" applyFont="0" applyFill="0" applyBorder="0" applyAlignment="0" applyProtection="0"/>
    <xf numFmtId="14" fontId="22" fillId="0" borderId="0" applyFill="0" applyBorder="0" applyAlignment="0"/>
    <xf numFmtId="14" fontId="55" fillId="0" borderId="0" applyFont="0" applyFill="0" applyBorder="0" applyAlignment="0" applyProtection="0">
      <alignment horizontal="center"/>
    </xf>
    <xf numFmtId="210" fontId="55" fillId="0" borderId="0" applyFont="0" applyFill="0" applyBorder="0" applyAlignment="0" applyProtection="0">
      <alignment horizontal="center"/>
    </xf>
    <xf numFmtId="211" fontId="5" fillId="0" borderId="0" applyFont="0" applyFill="0" applyBorder="0" applyAlignment="0" applyProtection="0"/>
    <xf numFmtId="8" fontId="51" fillId="0" borderId="0" applyFont="0" applyFill="0" applyBorder="0" applyAlignment="0" applyProtection="0"/>
    <xf numFmtId="6" fontId="51" fillId="0" borderId="0" applyFont="0" applyFill="0" applyBorder="0" applyAlignment="0" applyProtection="0">
      <alignment horizontal="right"/>
    </xf>
    <xf numFmtId="0" fontId="5" fillId="0" borderId="0" applyNumberFormat="0" applyFont="0" applyFill="0" applyBorder="0" applyAlignment="0"/>
    <xf numFmtId="44" fontId="52" fillId="0" borderId="0" applyFill="0" applyBorder="0" applyAlignment="0"/>
    <xf numFmtId="188" fontId="52" fillId="0" borderId="0" applyFill="0" applyBorder="0" applyAlignment="0"/>
    <xf numFmtId="44" fontId="52" fillId="0" borderId="0" applyFill="0" applyBorder="0" applyAlignment="0"/>
    <xf numFmtId="195" fontId="52" fillId="0" borderId="0" applyFill="0" applyBorder="0" applyAlignment="0"/>
    <xf numFmtId="188" fontId="52" fillId="0" borderId="0" applyFill="0" applyBorder="0" applyAlignment="0"/>
    <xf numFmtId="0" fontId="56" fillId="0" borderId="0" applyNumberFormat="0" applyAlignment="0">
      <alignment horizontal="left"/>
    </xf>
    <xf numFmtId="8" fontId="51" fillId="0" borderId="0" applyFont="0" applyFill="0" applyBorder="0" applyAlignment="0" applyProtection="0">
      <alignment horizontal="right"/>
    </xf>
    <xf numFmtId="212" fontId="56" fillId="0" borderId="0" applyFont="0" applyFill="0" applyBorder="0" applyProtection="0">
      <alignment horizontal="left"/>
      <protection locked="0"/>
    </xf>
    <xf numFmtId="213" fontId="56" fillId="0" borderId="0" applyFont="0" applyFill="0" applyBorder="0" applyProtection="0">
      <alignment horizontal="left"/>
      <protection locked="0"/>
    </xf>
    <xf numFmtId="214" fontId="5" fillId="0" borderId="0" applyFont="0" applyFill="0" applyBorder="0" applyAlignment="0" applyProtection="0"/>
    <xf numFmtId="214" fontId="5" fillId="0" borderId="0" applyFont="0" applyFill="0" applyBorder="0" applyAlignment="0" applyProtection="0"/>
    <xf numFmtId="215" fontId="51" fillId="0" borderId="0" applyFill="0" applyBorder="0" applyAlignment="0" applyProtection="0">
      <protection locked="0"/>
    </xf>
    <xf numFmtId="38" fontId="57" fillId="7" borderId="0" applyNumberFormat="0" applyBorder="0" applyAlignment="0" applyProtection="0"/>
    <xf numFmtId="216" fontId="58" fillId="0" borderId="0" applyFill="0" applyBorder="0" applyAlignment="0" applyProtection="0"/>
    <xf numFmtId="196" fontId="59" fillId="0" borderId="0" applyAlignment="0">
      <alignment horizontal="left"/>
      <protection locked="0"/>
    </xf>
    <xf numFmtId="0" fontId="21" fillId="0" borderId="35" applyNumberFormat="0" applyAlignment="0" applyProtection="0">
      <alignment horizontal="left" vertical="center"/>
    </xf>
    <xf numFmtId="0" fontId="21" fillId="0" borderId="22">
      <alignment horizontal="left" vertical="center"/>
    </xf>
    <xf numFmtId="217" fontId="60" fillId="0" borderId="0">
      <alignment horizontal="centerContinuous" vertical="center" wrapText="1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206" fontId="51" fillId="0" borderId="0" applyFill="0" applyBorder="0" applyAlignment="0" applyProtection="0">
      <alignment horizontal="right"/>
      <protection locked="0"/>
    </xf>
    <xf numFmtId="10" fontId="57" fillId="17" borderId="7" applyNumberFormat="0" applyBorder="0" applyAlignment="0" applyProtection="0"/>
    <xf numFmtId="218" fontId="62" fillId="0" borderId="0">
      <alignment horizontal="left"/>
    </xf>
    <xf numFmtId="44" fontId="52" fillId="0" borderId="0" applyFill="0" applyBorder="0" applyAlignment="0"/>
    <xf numFmtId="188" fontId="52" fillId="0" borderId="0" applyFill="0" applyBorder="0" applyAlignment="0"/>
    <xf numFmtId="44" fontId="52" fillId="0" borderId="0" applyFill="0" applyBorder="0" applyAlignment="0"/>
    <xf numFmtId="195" fontId="52" fillId="0" borderId="0" applyFill="0" applyBorder="0" applyAlignment="0"/>
    <xf numFmtId="188" fontId="52" fillId="0" borderId="0" applyFill="0" applyBorder="0" applyAlignment="0"/>
    <xf numFmtId="216" fontId="63" fillId="0" borderId="0" applyFill="0" applyBorder="0" applyAlignment="0" applyProtection="0">
      <alignment horizontal="right"/>
    </xf>
    <xf numFmtId="196" fontId="63" fillId="0" borderId="0" applyFill="0" applyBorder="0" applyAlignment="0" applyProtection="0"/>
    <xf numFmtId="38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6" fontId="6" fillId="0" borderId="0" applyFont="0" applyFill="0" applyBorder="0" applyAlignment="0" applyProtection="0"/>
    <xf numFmtId="8" fontId="6" fillId="0" borderId="0" applyFont="0" applyFill="0" applyBorder="0" applyAlignment="0" applyProtection="0"/>
    <xf numFmtId="219" fontId="51" fillId="0" borderId="0" applyFont="0" applyFill="0" applyBorder="0" applyAlignment="0" applyProtection="0"/>
    <xf numFmtId="220" fontId="5" fillId="0" borderId="0"/>
    <xf numFmtId="0" fontId="53" fillId="0" borderId="0"/>
    <xf numFmtId="0" fontId="5" fillId="0" borderId="0"/>
    <xf numFmtId="0" fontId="64" fillId="0" borderId="0" applyNumberFormat="0" applyAlignment="0"/>
    <xf numFmtId="40" fontId="65" fillId="6" borderId="0">
      <alignment horizontal="right"/>
    </xf>
    <xf numFmtId="0" fontId="66" fillId="6" borderId="0">
      <alignment horizontal="right"/>
    </xf>
    <xf numFmtId="0" fontId="67" fillId="6" borderId="11"/>
    <xf numFmtId="0" fontId="67" fillId="0" borderId="0" applyBorder="0">
      <alignment horizontal="centerContinuous"/>
    </xf>
    <xf numFmtId="0" fontId="68" fillId="0" borderId="0" applyBorder="0">
      <alignment horizontal="centerContinuous"/>
    </xf>
    <xf numFmtId="209" fontId="52" fillId="0" borderId="0" applyFont="0" applyFill="0" applyBorder="0" applyAlignment="0" applyProtection="0"/>
    <xf numFmtId="194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8" applyNumberFormat="0" applyBorder="0"/>
    <xf numFmtId="8" fontId="51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44" fontId="52" fillId="0" borderId="0" applyFill="0" applyBorder="0" applyAlignment="0"/>
    <xf numFmtId="188" fontId="52" fillId="0" borderId="0" applyFill="0" applyBorder="0" applyAlignment="0"/>
    <xf numFmtId="44" fontId="52" fillId="0" borderId="0" applyFill="0" applyBorder="0" applyAlignment="0"/>
    <xf numFmtId="195" fontId="52" fillId="0" borderId="0" applyFill="0" applyBorder="0" applyAlignment="0"/>
    <xf numFmtId="188" fontId="52" fillId="0" borderId="0" applyFill="0" applyBorder="0" applyAlignment="0"/>
    <xf numFmtId="215" fontId="51" fillId="0" borderId="0" applyFill="0" applyBorder="0" applyAlignment="0" applyProtection="0"/>
    <xf numFmtId="215" fontId="55" fillId="0" borderId="0" applyFont="0" applyFill="0" applyBorder="0" applyAlignment="0" applyProtection="0"/>
    <xf numFmtId="0" fontId="56" fillId="0" borderId="0" applyNumberFormat="0" applyFill="0" applyBorder="0" applyAlignment="0" applyProtection="0">
      <alignment horizontal="left"/>
    </xf>
    <xf numFmtId="206" fontId="51" fillId="0" borderId="0" applyFill="0" applyBorder="0" applyAlignment="0" applyProtection="0">
      <protection locked="0"/>
    </xf>
    <xf numFmtId="0" fontId="5" fillId="0" borderId="0" applyFont="0" applyFill="0" applyBorder="0" applyAlignment="0" applyProtection="0"/>
    <xf numFmtId="40" fontId="56" fillId="0" borderId="0" applyBorder="0">
      <alignment horizontal="right"/>
    </xf>
    <xf numFmtId="49" fontId="22" fillId="0" borderId="0" applyFill="0" applyBorder="0" applyAlignment="0"/>
    <xf numFmtId="221" fontId="52" fillId="0" borderId="0" applyFill="0" applyBorder="0" applyAlignment="0"/>
    <xf numFmtId="207" fontId="5" fillId="0" borderId="0" applyFill="0" applyBorder="0" applyAlignment="0"/>
    <xf numFmtId="38" fontId="11" fillId="0" borderId="0" applyFill="0" applyBorder="0" applyAlignment="0" applyProtection="0">
      <alignment horizontal="left"/>
    </xf>
    <xf numFmtId="0" fontId="69" fillId="18" borderId="12" applyNumberFormat="0" applyFont="0" applyBorder="0" applyAlignment="0">
      <alignment horizontal="right"/>
    </xf>
    <xf numFmtId="222" fontId="44" fillId="0" borderId="0"/>
    <xf numFmtId="222" fontId="44" fillId="0" borderId="0"/>
    <xf numFmtId="222" fontId="44" fillId="0" borderId="0"/>
    <xf numFmtId="222" fontId="44" fillId="0" borderId="0"/>
    <xf numFmtId="222" fontId="44" fillId="0" borderId="0"/>
    <xf numFmtId="222" fontId="44" fillId="0" borderId="0"/>
    <xf numFmtId="222" fontId="44" fillId="0" borderId="0"/>
    <xf numFmtId="5" fontId="6" fillId="0" borderId="0" applyFont="0" applyFill="0" applyBorder="0" applyAlignment="0" applyProtection="0">
      <alignment vertical="top"/>
    </xf>
    <xf numFmtId="43" fontId="5" fillId="0" borderId="0" applyFont="0" applyFill="0" applyBorder="0" applyAlignment="0" applyProtection="0"/>
    <xf numFmtId="38" fontId="70" fillId="0" borderId="0" applyFont="0" applyFill="0" applyBorder="0" applyAlignment="0" applyProtection="0">
      <alignment vertical="center"/>
    </xf>
    <xf numFmtId="0" fontId="70" fillId="0" borderId="0">
      <alignment vertical="center"/>
    </xf>
    <xf numFmtId="40" fontId="6" fillId="0" borderId="0" applyFont="0" applyFill="0" applyBorder="0" applyAlignment="0" applyProtection="0">
      <alignment vertical="top"/>
    </xf>
    <xf numFmtId="0" fontId="5" fillId="0" borderId="0"/>
    <xf numFmtId="44" fontId="5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71" fillId="29" borderId="0" applyNumberFormat="0" applyBorder="0" applyAlignment="0" applyProtection="0"/>
    <xf numFmtId="0" fontId="71" fillId="26" borderId="0" applyNumberFormat="0" applyBorder="0" applyAlignment="0" applyProtection="0"/>
    <xf numFmtId="0" fontId="71" fillId="27" borderId="0" applyNumberFormat="0" applyBorder="0" applyAlignment="0" applyProtection="0"/>
    <xf numFmtId="0" fontId="71" fillId="30" borderId="0" applyNumberFormat="0" applyBorder="0" applyAlignment="0" applyProtection="0"/>
    <xf numFmtId="0" fontId="71" fillId="31" borderId="0" applyNumberFormat="0" applyBorder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4" borderId="0" applyNumberFormat="0" applyBorder="0" applyAlignment="0" applyProtection="0"/>
    <xf numFmtId="0" fontId="71" fillId="35" borderId="0" applyNumberFormat="0" applyBorder="0" applyAlignment="0" applyProtection="0"/>
    <xf numFmtId="0" fontId="71" fillId="30" borderId="0" applyNumberFormat="0" applyBorder="0" applyAlignment="0" applyProtection="0"/>
    <xf numFmtId="0" fontId="71" fillId="31" borderId="0" applyNumberFormat="0" applyBorder="0" applyAlignment="0" applyProtection="0"/>
    <xf numFmtId="0" fontId="71" fillId="36" borderId="0" applyNumberFormat="0" applyBorder="0" applyAlignment="0" applyProtection="0"/>
    <xf numFmtId="0" fontId="72" fillId="20" borderId="0" applyNumberFormat="0" applyBorder="0" applyAlignment="0" applyProtection="0"/>
    <xf numFmtId="165" fontId="56" fillId="0" borderId="0" applyAlignment="0">
      <protection locked="0"/>
    </xf>
    <xf numFmtId="9" fontId="5" fillId="0" borderId="0" applyFont="0" applyFill="0" applyBorder="0" applyAlignment="0" applyProtection="0"/>
    <xf numFmtId="0" fontId="73" fillId="37" borderId="2" applyNumberFormat="0" applyAlignment="0" applyProtection="0"/>
    <xf numFmtId="0" fontId="74" fillId="38" borderId="36" applyNumberFormat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75" fillId="0" borderId="0" applyNumberFormat="0" applyFill="0" applyBorder="0" applyAlignment="0" applyProtection="0"/>
    <xf numFmtId="0" fontId="76" fillId="21" borderId="0" applyNumberFormat="0" applyBorder="0" applyAlignment="0" applyProtection="0"/>
    <xf numFmtId="43" fontId="5" fillId="0" borderId="0" applyFont="0" applyFill="0" applyBorder="0" applyAlignment="0" applyProtection="0"/>
    <xf numFmtId="0" fontId="77" fillId="0" borderId="37" applyNumberFormat="0" applyFill="0" applyAlignment="0" applyProtection="0"/>
    <xf numFmtId="0" fontId="78" fillId="0" borderId="38" applyNumberFormat="0" applyFill="0" applyAlignment="0" applyProtection="0"/>
    <xf numFmtId="0" fontId="79" fillId="0" borderId="39" applyNumberFormat="0" applyFill="0" applyAlignment="0" applyProtection="0"/>
    <xf numFmtId="0" fontId="79" fillId="0" borderId="0" applyNumberFormat="0" applyFill="0" applyBorder="0" applyAlignment="0" applyProtection="0"/>
    <xf numFmtId="165" fontId="56" fillId="0" borderId="0" applyAlignment="0">
      <protection locked="0"/>
    </xf>
    <xf numFmtId="0" fontId="80" fillId="0" borderId="40" applyNumberFormat="0" applyFill="0" applyAlignment="0" applyProtection="0"/>
    <xf numFmtId="0" fontId="81" fillId="16" borderId="0" applyNumberFormat="0" applyBorder="0" applyAlignment="0" applyProtection="0"/>
    <xf numFmtId="0" fontId="5" fillId="39" borderId="41" applyNumberFormat="0" applyFont="0" applyAlignment="0" applyProtection="0"/>
    <xf numFmtId="0" fontId="82" fillId="37" borderId="42" applyNumberFormat="0" applyAlignment="0" applyProtection="0"/>
    <xf numFmtId="9" fontId="5" fillId="0" borderId="0" applyFont="0" applyFill="0" applyBorder="0" applyAlignment="0" applyProtection="0"/>
    <xf numFmtId="0" fontId="83" fillId="0" borderId="0" applyNumberFormat="0" applyFill="0" applyBorder="0" applyAlignment="0" applyProtection="0"/>
    <xf numFmtId="0" fontId="43" fillId="0" borderId="43" applyNumberFormat="0" applyFill="0" applyAlignment="0" applyProtection="0"/>
    <xf numFmtId="0" fontId="84" fillId="0" borderId="0" applyNumberFormat="0" applyFill="0" applyBorder="0" applyAlignment="0" applyProtection="0"/>
    <xf numFmtId="0" fontId="5" fillId="0" borderId="0"/>
    <xf numFmtId="0" fontId="5" fillId="0" borderId="0"/>
    <xf numFmtId="197" fontId="44" fillId="0" borderId="0"/>
    <xf numFmtId="198" fontId="44" fillId="0" borderId="0" applyFont="0" applyFill="0" applyBorder="0" applyAlignment="0" applyProtection="0"/>
    <xf numFmtId="199" fontId="44" fillId="0" borderId="0" applyFont="0" applyFill="0" applyBorder="0" applyAlignment="0" applyProtection="0"/>
    <xf numFmtId="188" fontId="5" fillId="0" borderId="0" applyFont="0" applyFill="0" applyBorder="0" applyAlignment="0" applyProtection="0"/>
    <xf numFmtId="200" fontId="5" fillId="0" borderId="0" applyFont="0" applyFill="0" applyBorder="0" applyAlignment="0" applyProtection="0"/>
    <xf numFmtId="39" fontId="5" fillId="0" borderId="0" applyFont="0" applyFill="0" applyBorder="0" applyAlignment="0" applyProtection="0"/>
    <xf numFmtId="201" fontId="44" fillId="0" borderId="0" applyFont="0" applyFill="0" applyBorder="0" applyAlignment="0" applyProtection="0"/>
    <xf numFmtId="0" fontId="44" fillId="16" borderId="0" applyNumberFormat="0" applyFont="0" applyAlignment="0" applyProtection="0"/>
    <xf numFmtId="202" fontId="5" fillId="0" borderId="0" applyFont="0" applyFill="0" applyBorder="0" applyAlignment="0" applyProtection="0"/>
    <xf numFmtId="203" fontId="5" fillId="0" borderId="0" applyFont="0" applyFill="0" applyBorder="0" applyAlignment="0" applyProtection="0"/>
    <xf numFmtId="204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207" fontId="5" fillId="0" borderId="0" applyFill="0" applyBorder="0" applyAlignment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 applyNumberFormat="0" applyFont="0" applyFill="0" applyBorder="0" applyAlignment="0"/>
    <xf numFmtId="212" fontId="56" fillId="0" borderId="0" applyFont="0" applyFill="0" applyBorder="0" applyProtection="0">
      <alignment horizontal="left"/>
      <protection locked="0"/>
    </xf>
    <xf numFmtId="213" fontId="56" fillId="0" borderId="0" applyFont="0" applyFill="0" applyBorder="0" applyProtection="0">
      <alignment horizontal="left"/>
      <protection locked="0"/>
    </xf>
    <xf numFmtId="0" fontId="5" fillId="39" borderId="41" applyNumberFormat="0" applyFont="0" applyAlignment="0" applyProtection="0"/>
    <xf numFmtId="194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" fillId="0" borderId="0" applyFont="0" applyFill="0" applyBorder="0" applyAlignment="0" applyProtection="0"/>
    <xf numFmtId="207" fontId="5" fillId="0" borderId="0" applyFill="0" applyBorder="0" applyAlignment="0"/>
    <xf numFmtId="222" fontId="4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5" fillId="0" borderId="0"/>
    <xf numFmtId="44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/>
    <xf numFmtId="0" fontId="25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/>
    <xf numFmtId="0" fontId="5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71" fillId="29" borderId="0" applyNumberFormat="0" applyBorder="0" applyAlignment="0" applyProtection="0"/>
    <xf numFmtId="0" fontId="71" fillId="26" borderId="0" applyNumberFormat="0" applyBorder="0" applyAlignment="0" applyProtection="0"/>
    <xf numFmtId="0" fontId="71" fillId="27" borderId="0" applyNumberFormat="0" applyBorder="0" applyAlignment="0" applyProtection="0"/>
    <xf numFmtId="0" fontId="71" fillId="30" borderId="0" applyNumberFormat="0" applyBorder="0" applyAlignment="0" applyProtection="0"/>
    <xf numFmtId="0" fontId="71" fillId="31" borderId="0" applyNumberFormat="0" applyBorder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4" borderId="0" applyNumberFormat="0" applyBorder="0" applyAlignment="0" applyProtection="0"/>
    <xf numFmtId="0" fontId="71" fillId="35" borderId="0" applyNumberFormat="0" applyBorder="0" applyAlignment="0" applyProtection="0"/>
    <xf numFmtId="0" fontId="71" fillId="30" borderId="0" applyNumberFormat="0" applyBorder="0" applyAlignment="0" applyProtection="0"/>
    <xf numFmtId="0" fontId="71" fillId="31" borderId="0" applyNumberFormat="0" applyBorder="0" applyAlignment="0" applyProtection="0"/>
    <xf numFmtId="0" fontId="71" fillId="36" borderId="0" applyNumberFormat="0" applyBorder="0" applyAlignment="0" applyProtection="0"/>
    <xf numFmtId="0" fontId="72" fillId="20" borderId="0" applyNumberFormat="0" applyBorder="0" applyAlignment="0" applyProtection="0"/>
    <xf numFmtId="0" fontId="73" fillId="37" borderId="2" applyNumberFormat="0" applyAlignment="0" applyProtection="0"/>
    <xf numFmtId="0" fontId="74" fillId="38" borderId="36" applyNumberFormat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75" fillId="0" borderId="0" applyNumberFormat="0" applyFill="0" applyBorder="0" applyAlignment="0" applyProtection="0"/>
    <xf numFmtId="0" fontId="76" fillId="21" borderId="0" applyNumberFormat="0" applyBorder="0" applyAlignment="0" applyProtection="0"/>
    <xf numFmtId="0" fontId="77" fillId="0" borderId="37" applyNumberFormat="0" applyFill="0" applyAlignment="0" applyProtection="0"/>
    <xf numFmtId="0" fontId="78" fillId="0" borderId="38" applyNumberFormat="0" applyFill="0" applyAlignment="0" applyProtection="0"/>
    <xf numFmtId="0" fontId="79" fillId="0" borderId="39" applyNumberFormat="0" applyFill="0" applyAlignment="0" applyProtection="0"/>
    <xf numFmtId="0" fontId="79" fillId="0" borderId="0" applyNumberFormat="0" applyFill="0" applyBorder="0" applyAlignment="0" applyProtection="0"/>
    <xf numFmtId="0" fontId="5" fillId="0" borderId="0"/>
    <xf numFmtId="0" fontId="25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165" fontId="56" fillId="0" borderId="0" applyAlignment="0">
      <protection locked="0"/>
    </xf>
    <xf numFmtId="0" fontId="80" fillId="0" borderId="40" applyNumberFormat="0" applyFill="0" applyAlignment="0" applyProtection="0"/>
    <xf numFmtId="0" fontId="5" fillId="0" borderId="0"/>
    <xf numFmtId="0" fontId="5" fillId="0" borderId="0"/>
    <xf numFmtId="0" fontId="5" fillId="0" borderId="0"/>
    <xf numFmtId="0" fontId="25" fillId="0" borderId="0"/>
    <xf numFmtId="0" fontId="81" fillId="16" borderId="0" applyNumberFormat="0" applyBorder="0" applyAlignment="0" applyProtection="0"/>
    <xf numFmtId="0" fontId="5" fillId="39" borderId="41" applyNumberFormat="0" applyFont="0" applyAlignment="0" applyProtection="0"/>
    <xf numFmtId="0" fontId="82" fillId="37" borderId="42" applyNumberFormat="0" applyAlignment="0" applyProtection="0"/>
    <xf numFmtId="9" fontId="5" fillId="0" borderId="0" applyFont="0" applyFill="0" applyBorder="0" applyAlignment="0" applyProtection="0"/>
    <xf numFmtId="0" fontId="83" fillId="0" borderId="0" applyNumberFormat="0" applyFill="0" applyBorder="0" applyAlignment="0" applyProtection="0"/>
    <xf numFmtId="0" fontId="43" fillId="0" borderId="43" applyNumberFormat="0" applyFill="0" applyAlignment="0" applyProtection="0"/>
    <xf numFmtId="0" fontId="84" fillId="0" borderId="0" applyNumberFormat="0" applyFill="0" applyBorder="0" applyAlignment="0" applyProtection="0"/>
    <xf numFmtId="0" fontId="25" fillId="0" borderId="0"/>
    <xf numFmtId="44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5" fontId="56" fillId="0" borderId="0" applyAlignment="0">
      <protection locked="0"/>
    </xf>
    <xf numFmtId="9" fontId="5" fillId="0" borderId="0" applyFont="0" applyFill="0" applyBorder="0" applyAlignment="0" applyProtection="0"/>
    <xf numFmtId="165" fontId="56" fillId="0" borderId="0" applyAlignment="0">
      <protection locked="0"/>
    </xf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85" fillId="0" borderId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223" fontId="5" fillId="0" borderId="0" applyFont="0" applyFill="0" applyBorder="0" applyAlignment="0" applyProtection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214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5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2" fillId="0" borderId="0"/>
    <xf numFmtId="188" fontId="86" fillId="0" borderId="0" applyFill="0" applyBorder="0" applyAlignment="0"/>
    <xf numFmtId="193" fontId="86" fillId="0" borderId="0" applyFill="0" applyBorder="0" applyAlignment="0"/>
    <xf numFmtId="208" fontId="86" fillId="0" borderId="0" applyFill="0" applyBorder="0" applyAlignment="0"/>
    <xf numFmtId="209" fontId="86" fillId="0" borderId="0" applyFill="0" applyBorder="0" applyAlignment="0"/>
    <xf numFmtId="44" fontId="86" fillId="0" borderId="0" applyFill="0" applyBorder="0" applyAlignment="0"/>
    <xf numFmtId="195" fontId="86" fillId="0" borderId="0" applyFill="0" applyBorder="0" applyAlignment="0"/>
    <xf numFmtId="188" fontId="86" fillId="0" borderId="0" applyFill="0" applyBorder="0" applyAlignment="0"/>
    <xf numFmtId="44" fontId="86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8" fontId="86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86" fillId="0" borderId="0" applyFill="0" applyBorder="0" applyAlignment="0"/>
    <xf numFmtId="188" fontId="86" fillId="0" borderId="0" applyFill="0" applyBorder="0" applyAlignment="0"/>
    <xf numFmtId="44" fontId="86" fillId="0" borderId="0" applyFill="0" applyBorder="0" applyAlignment="0"/>
    <xf numFmtId="195" fontId="86" fillId="0" borderId="0" applyFill="0" applyBorder="0" applyAlignment="0"/>
    <xf numFmtId="188" fontId="86" fillId="0" borderId="0" applyFill="0" applyBorder="0" applyAlignment="0"/>
    <xf numFmtId="168" fontId="5" fillId="0" borderId="0" applyFont="0" applyFill="0" applyBorder="0" applyAlignment="0" applyProtection="0"/>
    <xf numFmtId="223" fontId="5" fillId="0" borderId="0" applyFont="0" applyFill="0" applyBorder="0" applyAlignment="0" applyProtection="0"/>
    <xf numFmtId="14" fontId="24" fillId="40" borderId="10">
      <alignment horizontal="center" vertical="center" wrapText="1"/>
    </xf>
    <xf numFmtId="218" fontId="87" fillId="0" borderId="0">
      <alignment horizontal="left"/>
    </xf>
    <xf numFmtId="44" fontId="86" fillId="0" borderId="0" applyFill="0" applyBorder="0" applyAlignment="0"/>
    <xf numFmtId="188" fontId="86" fillId="0" borderId="0" applyFill="0" applyBorder="0" applyAlignment="0"/>
    <xf numFmtId="44" fontId="86" fillId="0" borderId="0" applyFill="0" applyBorder="0" applyAlignment="0"/>
    <xf numFmtId="195" fontId="86" fillId="0" borderId="0" applyFill="0" applyBorder="0" applyAlignment="0"/>
    <xf numFmtId="188" fontId="86" fillId="0" borderId="0" applyFill="0" applyBorder="0" applyAlignment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>
      <alignment vertical="top"/>
    </xf>
    <xf numFmtId="0" fontId="5" fillId="0" borderId="0"/>
    <xf numFmtId="0" fontId="5" fillId="0" borderId="0"/>
    <xf numFmtId="0" fontId="5" fillId="0" borderId="0"/>
    <xf numFmtId="224" fontId="5" fillId="0" borderId="0" applyFont="0" applyFill="0" applyBorder="0" applyAlignment="0" applyProtection="0"/>
    <xf numFmtId="209" fontId="8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225" fontId="88" fillId="0" borderId="44" applyFont="0" applyFill="0" applyBorder="0" applyAlignment="0" applyProtection="0">
      <alignment horizontal="right"/>
    </xf>
    <xf numFmtId="44" fontId="86" fillId="0" borderId="0" applyFill="0" applyBorder="0" applyAlignment="0"/>
    <xf numFmtId="188" fontId="86" fillId="0" borderId="0" applyFill="0" applyBorder="0" applyAlignment="0"/>
    <xf numFmtId="44" fontId="86" fillId="0" borderId="0" applyFill="0" applyBorder="0" applyAlignment="0"/>
    <xf numFmtId="195" fontId="86" fillId="0" borderId="0" applyFill="0" applyBorder="0" applyAlignment="0"/>
    <xf numFmtId="188" fontId="86" fillId="0" borderId="0" applyFill="0" applyBorder="0" applyAlignment="0"/>
    <xf numFmtId="0" fontId="6" fillId="0" borderId="0" applyNumberFormat="0" applyFont="0" applyFill="0" applyBorder="0" applyAlignment="0" applyProtection="0">
      <alignment horizontal="left"/>
    </xf>
    <xf numFmtId="15" fontId="6" fillId="0" borderId="0" applyFont="0" applyFill="0" applyBorder="0" applyAlignment="0" applyProtection="0"/>
    <xf numFmtId="4" fontId="6" fillId="0" borderId="0" applyFont="0" applyFill="0" applyBorder="0" applyAlignment="0" applyProtection="0"/>
    <xf numFmtId="0" fontId="18" fillId="0" borderId="10">
      <alignment horizontal="center"/>
    </xf>
    <xf numFmtId="3" fontId="6" fillId="0" borderId="0" applyFont="0" applyFill="0" applyBorder="0" applyAlignment="0" applyProtection="0"/>
    <xf numFmtId="0" fontId="6" fillId="41" borderId="0" applyNumberFormat="0" applyFont="0" applyBorder="0" applyAlignment="0" applyProtection="0"/>
    <xf numFmtId="0" fontId="89" fillId="0" borderId="0"/>
    <xf numFmtId="221" fontId="86" fillId="0" borderId="0" applyFill="0" applyBorder="0" applyAlignment="0"/>
    <xf numFmtId="226" fontId="86" fillId="0" borderId="0" applyFill="0" applyBorder="0" applyAlignment="0"/>
    <xf numFmtId="0" fontId="90" fillId="0" borderId="0" applyFill="0" applyBorder="0" applyProtection="0">
      <alignment horizontal="left" vertical="top"/>
    </xf>
    <xf numFmtId="0" fontId="5" fillId="0" borderId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188" fontId="52" fillId="0" borderId="0" applyFill="0" applyBorder="0" applyAlignment="0"/>
    <xf numFmtId="193" fontId="52" fillId="0" borderId="0" applyFill="0" applyBorder="0" applyAlignment="0"/>
    <xf numFmtId="208" fontId="52" fillId="0" borderId="0" applyFill="0" applyBorder="0" applyAlignment="0"/>
    <xf numFmtId="209" fontId="52" fillId="0" borderId="0" applyFill="0" applyBorder="0" applyAlignment="0"/>
    <xf numFmtId="44" fontId="52" fillId="0" borderId="0" applyFill="0" applyBorder="0" applyAlignment="0"/>
    <xf numFmtId="195" fontId="52" fillId="0" borderId="0" applyFill="0" applyBorder="0" applyAlignment="0"/>
    <xf numFmtId="188" fontId="52" fillId="0" borderId="0" applyFill="0" applyBorder="0" applyAlignment="0"/>
    <xf numFmtId="44" fontId="52" fillId="0" borderId="0" applyFont="0" applyFill="0" applyBorder="0" applyAlignment="0" applyProtection="0"/>
    <xf numFmtId="188" fontId="5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52" fillId="0" borderId="0" applyFill="0" applyBorder="0" applyAlignment="0"/>
    <xf numFmtId="188" fontId="52" fillId="0" borderId="0" applyFill="0" applyBorder="0" applyAlignment="0"/>
    <xf numFmtId="44" fontId="52" fillId="0" borderId="0" applyFill="0" applyBorder="0" applyAlignment="0"/>
    <xf numFmtId="195" fontId="52" fillId="0" borderId="0" applyFill="0" applyBorder="0" applyAlignment="0"/>
    <xf numFmtId="188" fontId="52" fillId="0" borderId="0" applyFill="0" applyBorder="0" applyAlignment="0"/>
    <xf numFmtId="214" fontId="5" fillId="0" borderId="0" applyFont="0" applyFill="0" applyBorder="0" applyAlignment="0" applyProtection="0"/>
    <xf numFmtId="214" fontId="5" fillId="0" borderId="0" applyFont="0" applyFill="0" applyBorder="0" applyAlignment="0" applyProtection="0"/>
    <xf numFmtId="217" fontId="60" fillId="0" borderId="0">
      <alignment horizontal="centerContinuous" vertical="center" wrapText="1"/>
      <protection locked="0"/>
    </xf>
    <xf numFmtId="218" fontId="62" fillId="0" borderId="0">
      <alignment horizontal="left"/>
    </xf>
    <xf numFmtId="44" fontId="52" fillId="0" borderId="0" applyFill="0" applyBorder="0" applyAlignment="0"/>
    <xf numFmtId="188" fontId="52" fillId="0" borderId="0" applyFill="0" applyBorder="0" applyAlignment="0"/>
    <xf numFmtId="44" fontId="52" fillId="0" borderId="0" applyFill="0" applyBorder="0" applyAlignment="0"/>
    <xf numFmtId="195" fontId="52" fillId="0" borderId="0" applyFill="0" applyBorder="0" applyAlignment="0"/>
    <xf numFmtId="188" fontId="52" fillId="0" borderId="0" applyFill="0" applyBorder="0" applyAlignment="0"/>
    <xf numFmtId="209" fontId="5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2" fillId="0" borderId="0" applyFill="0" applyBorder="0" applyAlignment="0"/>
    <xf numFmtId="188" fontId="52" fillId="0" borderId="0" applyFill="0" applyBorder="0" applyAlignment="0"/>
    <xf numFmtId="44" fontId="52" fillId="0" borderId="0" applyFill="0" applyBorder="0" applyAlignment="0"/>
    <xf numFmtId="195" fontId="52" fillId="0" borderId="0" applyFill="0" applyBorder="0" applyAlignment="0"/>
    <xf numFmtId="188" fontId="52" fillId="0" borderId="0" applyFill="0" applyBorder="0" applyAlignment="0"/>
    <xf numFmtId="0" fontId="5" fillId="0" borderId="0" applyFont="0" applyFill="0" applyBorder="0" applyAlignment="0" applyProtection="0"/>
    <xf numFmtId="221" fontId="52" fillId="0" borderId="0" applyFill="0" applyBorder="0" applyAlignment="0"/>
    <xf numFmtId="207" fontId="5" fillId="0" borderId="0" applyFill="0" applyBorder="0" applyAlignment="0"/>
    <xf numFmtId="0" fontId="5" fillId="0" borderId="0"/>
    <xf numFmtId="0" fontId="25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43" fontId="5" fillId="0" borderId="0" applyFont="0" applyFill="0" applyBorder="0" applyAlignment="0" applyProtection="0"/>
    <xf numFmtId="0" fontId="25" fillId="0" borderId="0"/>
    <xf numFmtId="44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25" fillId="37" borderId="0" applyNumberFormat="0" applyBorder="0" applyAlignment="0" applyProtection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188" fontId="86" fillId="0" borderId="0" applyFill="0" applyBorder="0" applyAlignment="0"/>
    <xf numFmtId="193" fontId="86" fillId="0" borderId="0" applyFill="0" applyBorder="0" applyAlignment="0"/>
    <xf numFmtId="0" fontId="5" fillId="0" borderId="0"/>
    <xf numFmtId="208" fontId="86" fillId="0" borderId="0" applyFill="0" applyBorder="0" applyAlignment="0"/>
    <xf numFmtId="209" fontId="86" fillId="0" borderId="0" applyFill="0" applyBorder="0" applyAlignment="0"/>
    <xf numFmtId="44" fontId="86" fillId="0" borderId="0" applyFill="0" applyBorder="0" applyAlignment="0"/>
    <xf numFmtId="195" fontId="86" fillId="0" borderId="0" applyFill="0" applyBorder="0" applyAlignment="0"/>
    <xf numFmtId="188" fontId="86" fillId="0" borderId="0" applyFill="0" applyBorder="0" applyAlignment="0"/>
    <xf numFmtId="43" fontId="5" fillId="0" borderId="0" applyFont="0" applyFill="0" applyBorder="0" applyAlignment="0" applyProtection="0"/>
    <xf numFmtId="44" fontId="8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8" fontId="86" fillId="0" borderId="0" applyFont="0" applyFill="0" applyBorder="0" applyAlignment="0" applyProtection="0"/>
    <xf numFmtId="44" fontId="86" fillId="0" borderId="0" applyFill="0" applyBorder="0" applyAlignment="0"/>
    <xf numFmtId="188" fontId="86" fillId="0" borderId="0" applyFill="0" applyBorder="0" applyAlignment="0"/>
    <xf numFmtId="44" fontId="86" fillId="0" borderId="0" applyFill="0" applyBorder="0" applyAlignment="0"/>
    <xf numFmtId="195" fontId="86" fillId="0" borderId="0" applyFill="0" applyBorder="0" applyAlignment="0"/>
    <xf numFmtId="188" fontId="86" fillId="0" borderId="0" applyFill="0" applyBorder="0" applyAlignment="0"/>
    <xf numFmtId="218" fontId="87" fillId="0" borderId="0">
      <alignment horizontal="left"/>
    </xf>
    <xf numFmtId="44" fontId="86" fillId="0" borderId="0" applyFill="0" applyBorder="0" applyAlignment="0"/>
    <xf numFmtId="188" fontId="86" fillId="0" borderId="0" applyFill="0" applyBorder="0" applyAlignment="0"/>
    <xf numFmtId="44" fontId="86" fillId="0" borderId="0" applyFill="0" applyBorder="0" applyAlignment="0"/>
    <xf numFmtId="195" fontId="86" fillId="0" borderId="0" applyFill="0" applyBorder="0" applyAlignment="0"/>
    <xf numFmtId="188" fontId="86" fillId="0" borderId="0" applyFill="0" applyBorder="0" applyAlignment="0"/>
    <xf numFmtId="220" fontId="5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209" fontId="86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86" fillId="0" borderId="0" applyFill="0" applyBorder="0" applyAlignment="0"/>
    <xf numFmtId="188" fontId="86" fillId="0" borderId="0" applyFill="0" applyBorder="0" applyAlignment="0"/>
    <xf numFmtId="44" fontId="86" fillId="0" borderId="0" applyFill="0" applyBorder="0" applyAlignment="0"/>
    <xf numFmtId="195" fontId="86" fillId="0" borderId="0" applyFill="0" applyBorder="0" applyAlignment="0"/>
    <xf numFmtId="188" fontId="86" fillId="0" borderId="0" applyFill="0" applyBorder="0" applyAlignment="0"/>
    <xf numFmtId="221" fontId="86" fillId="0" borderId="0" applyFill="0" applyBorder="0" applyAlignment="0"/>
    <xf numFmtId="226" fontId="86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0" fontId="25" fillId="37" borderId="0" applyNumberFormat="0" applyBorder="0" applyAlignment="0" applyProtection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220" fontId="5" fillId="0" borderId="0"/>
    <xf numFmtId="220" fontId="5" fillId="0" borderId="0"/>
    <xf numFmtId="0" fontId="91" fillId="0" borderId="0"/>
    <xf numFmtId="0" fontId="25" fillId="0" borderId="0"/>
    <xf numFmtId="0" fontId="91" fillId="0" borderId="0"/>
    <xf numFmtId="0" fontId="91" fillId="0" borderId="0"/>
    <xf numFmtId="0" fontId="9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0" fontId="25" fillId="37" borderId="0" applyNumberFormat="0" applyBorder="0" applyAlignment="0" applyProtection="0"/>
    <xf numFmtId="0" fontId="25" fillId="0" borderId="0"/>
    <xf numFmtId="0" fontId="25" fillId="37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37" borderId="0" applyNumberFormat="0" applyBorder="0" applyAlignment="0" applyProtection="0"/>
    <xf numFmtId="0" fontId="25" fillId="0" borderId="0"/>
    <xf numFmtId="0" fontId="25" fillId="0" borderId="0"/>
    <xf numFmtId="0" fontId="25" fillId="37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37" borderId="0" applyNumberFormat="0" applyBorder="0" applyAlignment="0" applyProtection="0"/>
    <xf numFmtId="0" fontId="25" fillId="0" borderId="0"/>
    <xf numFmtId="0" fontId="25" fillId="37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37" borderId="0" applyNumberFormat="0" applyBorder="0" applyAlignment="0" applyProtection="0"/>
    <xf numFmtId="0" fontId="25" fillId="0" borderId="0"/>
    <xf numFmtId="0" fontId="25" fillId="0" borderId="0"/>
    <xf numFmtId="0" fontId="25" fillId="37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223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214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5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2" fillId="0" borderId="0" applyNumberFormat="0" applyFill="0" applyBorder="0" applyAlignment="0" applyProtection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</cellStyleXfs>
  <cellXfs count="657">
    <xf numFmtId="0" fontId="0" fillId="0" borderId="0" xfId="0"/>
    <xf numFmtId="165" fontId="109" fillId="0" borderId="0" xfId="33" applyNumberFormat="1" applyFont="1" applyFill="1" applyAlignment="1">
      <alignment horizontal="right"/>
    </xf>
    <xf numFmtId="0" fontId="93" fillId="0" borderId="0" xfId="0" applyFont="1" applyAlignment="1">
      <alignment horizontal="left"/>
    </xf>
    <xf numFmtId="0" fontId="94" fillId="0" borderId="0" xfId="0" applyFont="1" applyAlignment="1">
      <alignment horizontal="right"/>
    </xf>
    <xf numFmtId="0" fontId="94" fillId="0" borderId="0" xfId="0" applyFont="1" applyAlignment="1">
      <alignment horizontal="right" indent="1"/>
    </xf>
    <xf numFmtId="0" fontId="95" fillId="0" borderId="0" xfId="0" applyFont="1" applyAlignment="1">
      <alignment horizontal="left"/>
    </xf>
    <xf numFmtId="0" fontId="42" fillId="0" borderId="0" xfId="0" applyFont="1" applyAlignment="1">
      <alignment vertical="center"/>
    </xf>
    <xf numFmtId="3" fontId="96" fillId="0" borderId="0" xfId="0" applyNumberFormat="1" applyFont="1" applyAlignment="1">
      <alignment horizontal="left"/>
    </xf>
    <xf numFmtId="0" fontId="97" fillId="0" borderId="0" xfId="0" applyFont="1" applyAlignment="1">
      <alignment horizontal="left"/>
    </xf>
    <xf numFmtId="176" fontId="97" fillId="0" borderId="0" xfId="0" applyNumberFormat="1" applyFont="1" applyAlignment="1">
      <alignment horizontal="right"/>
    </xf>
    <xf numFmtId="185" fontId="97" fillId="0" borderId="0" xfId="0" applyNumberFormat="1" applyFont="1" applyAlignment="1">
      <alignment horizontal="right"/>
    </xf>
    <xf numFmtId="0" fontId="98" fillId="0" borderId="0" xfId="0" applyFont="1" applyAlignment="1">
      <alignment horizontal="left"/>
    </xf>
    <xf numFmtId="0" fontId="98" fillId="0" borderId="0" xfId="0" applyFont="1" applyAlignment="1">
      <alignment horizontal="right"/>
    </xf>
    <xf numFmtId="0" fontId="99" fillId="0" borderId="0" xfId="0" applyFont="1" applyAlignment="1">
      <alignment horizontal="right"/>
    </xf>
    <xf numFmtId="0" fontId="98" fillId="0" borderId="0" xfId="0" applyFont="1" applyAlignment="1">
      <alignment horizontal="right" indent="1"/>
    </xf>
    <xf numFmtId="190" fontId="100" fillId="0" borderId="0" xfId="17" applyNumberFormat="1" applyFont="1" applyFill="1" applyAlignment="1">
      <alignment horizontal="left" vertical="center" wrapText="1"/>
    </xf>
    <xf numFmtId="190" fontId="100" fillId="0" borderId="0" xfId="17" applyNumberFormat="1" applyFont="1" applyFill="1" applyAlignment="1">
      <alignment horizontal="center" vertical="center" wrapText="1"/>
    </xf>
    <xf numFmtId="190" fontId="101" fillId="0" borderId="0" xfId="0" applyNumberFormat="1" applyFont="1" applyAlignment="1">
      <alignment horizontal="right" wrapText="1"/>
    </xf>
    <xf numFmtId="190" fontId="102" fillId="0" borderId="0" xfId="0" applyNumberFormat="1" applyFont="1" applyAlignment="1">
      <alignment horizontal="center" wrapText="1"/>
    </xf>
    <xf numFmtId="190" fontId="103" fillId="0" borderId="0" xfId="0" applyNumberFormat="1" applyFont="1" applyAlignment="1">
      <alignment wrapText="1"/>
    </xf>
    <xf numFmtId="190" fontId="104" fillId="0" borderId="0" xfId="17" applyNumberFormat="1" applyFont="1" applyFill="1" applyAlignment="1"/>
    <xf numFmtId="190" fontId="104" fillId="0" borderId="0" xfId="17" applyNumberFormat="1" applyFont="1" applyFill="1"/>
    <xf numFmtId="189" fontId="104" fillId="0" borderId="0" xfId="33" applyNumberFormat="1" applyFont="1" applyFill="1"/>
    <xf numFmtId="190" fontId="3" fillId="0" borderId="0" xfId="17" applyNumberFormat="1" applyFont="1" applyFill="1" applyBorder="1"/>
    <xf numFmtId="190" fontId="103" fillId="0" borderId="0" xfId="0" applyNumberFormat="1" applyFont="1"/>
    <xf numFmtId="3" fontId="99" fillId="0" borderId="0" xfId="0" applyNumberFormat="1" applyFont="1" applyAlignment="1">
      <alignment horizontal="left"/>
    </xf>
    <xf numFmtId="3" fontId="105" fillId="0" borderId="0" xfId="17" applyNumberFormat="1" applyFont="1" applyFill="1" applyAlignment="1">
      <alignment horizontal="right"/>
    </xf>
    <xf numFmtId="3" fontId="3" fillId="0" borderId="0" xfId="17" applyNumberFormat="1" applyFont="1" applyFill="1" applyAlignment="1">
      <alignment horizontal="right"/>
    </xf>
    <xf numFmtId="3" fontId="3" fillId="0" borderId="0" xfId="17" applyNumberFormat="1" applyFont="1" applyFill="1" applyBorder="1" applyAlignment="1">
      <alignment horizontal="right"/>
    </xf>
    <xf numFmtId="3" fontId="105" fillId="0" borderId="0" xfId="17" applyNumberFormat="1" applyFont="1" applyFill="1" applyBorder="1" applyAlignment="1">
      <alignment horizontal="right"/>
    </xf>
    <xf numFmtId="3" fontId="99" fillId="0" borderId="0" xfId="0" applyNumberFormat="1" applyFont="1" applyAlignment="1">
      <alignment horizontal="right"/>
    </xf>
    <xf numFmtId="3" fontId="106" fillId="0" borderId="0" xfId="0" applyNumberFormat="1" applyFont="1" applyAlignment="1">
      <alignment horizontal="right"/>
    </xf>
    <xf numFmtId="3" fontId="106" fillId="0" borderId="0" xfId="0" applyNumberFormat="1" applyFont="1" applyAlignment="1">
      <alignment horizontal="right" indent="1"/>
    </xf>
    <xf numFmtId="0" fontId="107" fillId="0" borderId="0" xfId="0" applyFont="1" applyAlignment="1">
      <alignment horizontal="left"/>
    </xf>
    <xf numFmtId="165" fontId="108" fillId="0" borderId="0" xfId="33" applyNumberFormat="1" applyFont="1" applyFill="1" applyAlignment="1">
      <alignment horizontal="right"/>
    </xf>
    <xf numFmtId="165" fontId="108" fillId="0" borderId="0" xfId="33" applyNumberFormat="1" applyFont="1" applyFill="1" applyBorder="1" applyAlignment="1">
      <alignment horizontal="right"/>
    </xf>
    <xf numFmtId="0" fontId="106" fillId="0" borderId="0" xfId="0" applyFont="1" applyAlignment="1">
      <alignment horizontal="right"/>
    </xf>
    <xf numFmtId="0" fontId="106" fillId="0" borderId="0" xfId="0" applyFont="1" applyAlignment="1">
      <alignment horizontal="right" indent="1"/>
    </xf>
    <xf numFmtId="0" fontId="99" fillId="0" borderId="0" xfId="0" applyFont="1" applyAlignment="1">
      <alignment horizontal="left"/>
    </xf>
    <xf numFmtId="166" fontId="108" fillId="0" borderId="0" xfId="12" applyNumberFormat="1" applyFont="1" applyFill="1" applyAlignment="1">
      <alignment horizontal="right"/>
    </xf>
    <xf numFmtId="165" fontId="109" fillId="0" borderId="0" xfId="33" applyNumberFormat="1" applyFont="1" applyFill="1" applyBorder="1" applyAlignment="1">
      <alignment horizontal="right"/>
    </xf>
    <xf numFmtId="166" fontId="109" fillId="0" borderId="0" xfId="12" applyNumberFormat="1" applyFont="1" applyFill="1" applyAlignment="1">
      <alignment horizontal="right"/>
    </xf>
    <xf numFmtId="3" fontId="97" fillId="0" borderId="0" xfId="0" applyNumberFormat="1" applyFont="1" applyAlignment="1">
      <alignment horizontal="left"/>
    </xf>
    <xf numFmtId="3" fontId="94" fillId="0" borderId="0" xfId="0" applyNumberFormat="1" applyFont="1" applyAlignment="1">
      <alignment horizontal="right"/>
    </xf>
    <xf numFmtId="3" fontId="105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110" fillId="0" borderId="0" xfId="0" applyNumberFormat="1" applyFont="1" applyAlignment="1">
      <alignment horizontal="right"/>
    </xf>
    <xf numFmtId="3" fontId="110" fillId="0" borderId="0" xfId="17" applyNumberFormat="1" applyFont="1" applyFill="1" applyAlignment="1">
      <alignment horizontal="right"/>
    </xf>
    <xf numFmtId="3" fontId="97" fillId="0" borderId="0" xfId="33" applyNumberFormat="1" applyFont="1" applyFill="1" applyBorder="1" applyAlignment="1">
      <alignment horizontal="right"/>
    </xf>
    <xf numFmtId="3" fontId="97" fillId="0" borderId="0" xfId="17" applyNumberFormat="1" applyFont="1" applyFill="1" applyBorder="1" applyAlignment="1">
      <alignment horizontal="right"/>
    </xf>
    <xf numFmtId="3" fontId="94" fillId="0" borderId="0" xfId="0" applyNumberFormat="1" applyFont="1" applyAlignment="1">
      <alignment horizontal="right" indent="1"/>
    </xf>
    <xf numFmtId="9" fontId="96" fillId="0" borderId="0" xfId="33" applyFont="1" applyFill="1" applyAlignment="1">
      <alignment horizontal="left"/>
    </xf>
    <xf numFmtId="9" fontId="96" fillId="0" borderId="0" xfId="33" applyFont="1" applyFill="1" applyAlignment="1">
      <alignment horizontal="right"/>
    </xf>
    <xf numFmtId="9" fontId="96" fillId="0" borderId="0" xfId="33" applyFont="1" applyFill="1" applyBorder="1" applyAlignment="1">
      <alignment horizontal="right"/>
    </xf>
    <xf numFmtId="9" fontId="96" fillId="0" borderId="0" xfId="33" applyFont="1" applyFill="1" applyAlignment="1">
      <alignment horizontal="right" indent="1"/>
    </xf>
    <xf numFmtId="9" fontId="109" fillId="0" borderId="0" xfId="33" applyFont="1" applyFill="1" applyAlignment="1">
      <alignment horizontal="right"/>
    </xf>
    <xf numFmtId="9" fontId="111" fillId="0" borderId="0" xfId="33" applyFont="1" applyFill="1" applyAlignment="1">
      <alignment horizontal="right"/>
    </xf>
    <xf numFmtId="9" fontId="111" fillId="0" borderId="0" xfId="33" applyFont="1" applyFill="1" applyBorder="1" applyAlignment="1">
      <alignment horizontal="right"/>
    </xf>
    <xf numFmtId="9" fontId="111" fillId="0" borderId="0" xfId="33" applyFont="1" applyFill="1" applyAlignment="1">
      <alignment horizontal="right" indent="1"/>
    </xf>
    <xf numFmtId="3" fontId="100" fillId="0" borderId="0" xfId="0" applyNumberFormat="1" applyFont="1" applyAlignment="1">
      <alignment horizontal="left"/>
    </xf>
    <xf numFmtId="3" fontId="111" fillId="0" borderId="0" xfId="0" applyNumberFormat="1" applyFont="1" applyAlignment="1">
      <alignment horizontal="right"/>
    </xf>
    <xf numFmtId="3" fontId="100" fillId="0" borderId="0" xfId="0" applyNumberFormat="1" applyFont="1" applyAlignment="1">
      <alignment horizontal="right"/>
    </xf>
    <xf numFmtId="3" fontId="111" fillId="0" borderId="0" xfId="33" applyNumberFormat="1" applyFont="1" applyFill="1" applyBorder="1" applyAlignment="1">
      <alignment horizontal="right"/>
    </xf>
    <xf numFmtId="3" fontId="100" fillId="0" borderId="0" xfId="17" applyNumberFormat="1" applyFont="1" applyFill="1" applyBorder="1" applyAlignment="1">
      <alignment horizontal="right"/>
    </xf>
    <xf numFmtId="3" fontId="111" fillId="0" borderId="0" xfId="0" applyNumberFormat="1" applyFont="1" applyAlignment="1">
      <alignment horizontal="right" indent="1"/>
    </xf>
    <xf numFmtId="3" fontId="100" fillId="0" borderId="0" xfId="17" applyNumberFormat="1" applyFont="1" applyFill="1" applyAlignment="1">
      <alignment horizontal="right"/>
    </xf>
    <xf numFmtId="166" fontId="112" fillId="0" borderId="0" xfId="12" applyNumberFormat="1" applyFont="1" applyFill="1" applyAlignment="1">
      <alignment horizontal="left"/>
    </xf>
    <xf numFmtId="166" fontId="112" fillId="0" borderId="0" xfId="12" applyNumberFormat="1" applyFont="1" applyFill="1" applyAlignment="1">
      <alignment horizontal="right"/>
    </xf>
    <xf numFmtId="3" fontId="108" fillId="0" borderId="0" xfId="33" applyNumberFormat="1" applyFont="1" applyFill="1" applyBorder="1" applyAlignment="1">
      <alignment horizontal="right"/>
    </xf>
    <xf numFmtId="0" fontId="108" fillId="0" borderId="0" xfId="0" applyFont="1" applyAlignment="1">
      <alignment horizontal="left"/>
    </xf>
    <xf numFmtId="165" fontId="113" fillId="0" borderId="0" xfId="33" applyNumberFormat="1" applyFont="1" applyFill="1" applyAlignment="1">
      <alignment horizontal="right"/>
    </xf>
    <xf numFmtId="165" fontId="113" fillId="0" borderId="0" xfId="33" applyNumberFormat="1" applyFont="1" applyFill="1" applyBorder="1" applyAlignment="1">
      <alignment horizontal="right"/>
    </xf>
    <xf numFmtId="0" fontId="97" fillId="0" borderId="0" xfId="0" applyFont="1" applyAlignment="1">
      <alignment horizontal="left" indent="1"/>
    </xf>
    <xf numFmtId="0" fontId="108" fillId="0" borderId="0" xfId="0" applyFont="1" applyAlignment="1">
      <alignment horizontal="left" indent="1"/>
    </xf>
    <xf numFmtId="165" fontId="108" fillId="0" borderId="0" xfId="33" applyNumberFormat="1" applyFont="1" applyFill="1" applyAlignment="1">
      <alignment horizontal="left" indent="1"/>
    </xf>
    <xf numFmtId="164" fontId="3" fillId="0" borderId="0" xfId="18" applyNumberFormat="1" applyFont="1" applyFill="1" applyAlignment="1">
      <alignment horizontal="right"/>
    </xf>
    <xf numFmtId="164" fontId="97" fillId="0" borderId="0" xfId="17" applyNumberFormat="1" applyFont="1" applyFill="1" applyBorder="1" applyAlignment="1">
      <alignment horizontal="right"/>
    </xf>
    <xf numFmtId="0" fontId="113" fillId="0" borderId="0" xfId="0" applyFont="1" applyAlignment="1">
      <alignment horizontal="right"/>
    </xf>
    <xf numFmtId="166" fontId="113" fillId="0" borderId="0" xfId="12" applyNumberFormat="1" applyFont="1" applyFill="1" applyAlignment="1">
      <alignment horizontal="right"/>
    </xf>
    <xf numFmtId="3" fontId="3" fillId="0" borderId="0" xfId="33" applyNumberFormat="1" applyFont="1" applyFill="1" applyBorder="1" applyAlignment="1">
      <alignment horizontal="right"/>
    </xf>
    <xf numFmtId="3" fontId="96" fillId="0" borderId="0" xfId="33" applyNumberFormat="1" applyFont="1" applyFill="1" applyBorder="1" applyAlignment="1">
      <alignment horizontal="right"/>
    </xf>
    <xf numFmtId="165" fontId="96" fillId="0" borderId="0" xfId="33" applyNumberFormat="1" applyFont="1" applyFill="1" applyAlignment="1">
      <alignment horizontal="right"/>
    </xf>
    <xf numFmtId="165" fontId="106" fillId="0" borderId="0" xfId="33" applyNumberFormat="1" applyFont="1" applyFill="1" applyBorder="1" applyAlignment="1">
      <alignment horizontal="right"/>
    </xf>
    <xf numFmtId="165" fontId="106" fillId="0" borderId="0" xfId="33" applyNumberFormat="1" applyFont="1" applyFill="1" applyAlignment="1">
      <alignment horizontal="right"/>
    </xf>
    <xf numFmtId="165" fontId="106" fillId="0" borderId="0" xfId="33" applyNumberFormat="1" applyFont="1" applyFill="1" applyAlignment="1">
      <alignment horizontal="right" indent="1"/>
    </xf>
    <xf numFmtId="3" fontId="3" fillId="0" borderId="0" xfId="33" applyNumberFormat="1" applyFont="1" applyFill="1" applyAlignment="1">
      <alignment horizontal="right"/>
    </xf>
    <xf numFmtId="0" fontId="98" fillId="0" borderId="0" xfId="0" applyFont="1" applyAlignment="1">
      <alignment horizontal="center" vertical="center" wrapText="1"/>
    </xf>
    <xf numFmtId="190" fontId="101" fillId="0" borderId="0" xfId="0" applyNumberFormat="1" applyFont="1"/>
    <xf numFmtId="0" fontId="110" fillId="0" borderId="0" xfId="0" applyFont="1" applyAlignment="1">
      <alignment horizontal="right"/>
    </xf>
    <xf numFmtId="190" fontId="98" fillId="0" borderId="0" xfId="0" applyNumberFormat="1" applyFont="1"/>
    <xf numFmtId="0" fontId="3" fillId="0" borderId="0" xfId="0" applyFont="1" applyAlignment="1">
      <alignment horizontal="left" vertical="center"/>
    </xf>
    <xf numFmtId="0" fontId="110" fillId="0" borderId="0" xfId="0" applyFont="1" applyAlignment="1">
      <alignment horizontal="center"/>
    </xf>
    <xf numFmtId="174" fontId="115" fillId="0" borderId="0" xfId="0" applyNumberFormat="1" applyFont="1"/>
    <xf numFmtId="174" fontId="110" fillId="0" borderId="0" xfId="0" applyNumberFormat="1" applyFont="1"/>
    <xf numFmtId="174" fontId="115" fillId="0" borderId="0" xfId="0" applyNumberFormat="1" applyFont="1" applyAlignment="1">
      <alignment vertical="center" wrapText="1"/>
    </xf>
    <xf numFmtId="174" fontId="115" fillId="0" borderId="0" xfId="0" applyNumberFormat="1" applyFont="1" applyAlignment="1">
      <alignment wrapText="1"/>
    </xf>
    <xf numFmtId="174" fontId="110" fillId="0" borderId="0" xfId="0" applyNumberFormat="1" applyFont="1" applyAlignment="1">
      <alignment wrapText="1"/>
    </xf>
    <xf numFmtId="190" fontId="110" fillId="0" borderId="0" xfId="0" applyNumberFormat="1" applyFont="1"/>
    <xf numFmtId="190" fontId="3" fillId="0" borderId="0" xfId="0" applyNumberFormat="1" applyFont="1"/>
    <xf numFmtId="0" fontId="110" fillId="0" borderId="0" xfId="0" applyFont="1" applyAlignment="1">
      <alignment horizontal="right" indent="1"/>
    </xf>
    <xf numFmtId="174" fontId="115" fillId="0" borderId="0" xfId="0" applyNumberFormat="1" applyFont="1" applyAlignment="1">
      <alignment horizontal="right"/>
    </xf>
    <xf numFmtId="166" fontId="110" fillId="0" borderId="0" xfId="12" applyNumberFormat="1" applyFont="1" applyFill="1" applyAlignment="1">
      <alignment horizontal="right"/>
    </xf>
    <xf numFmtId="174" fontId="110" fillId="0" borderId="0" xfId="12" applyNumberFormat="1" applyFont="1" applyFill="1" applyAlignment="1"/>
    <xf numFmtId="174" fontId="115" fillId="0" borderId="0" xfId="12" applyNumberFormat="1" applyFont="1" applyFill="1" applyAlignment="1"/>
    <xf numFmtId="190" fontId="110" fillId="0" borderId="0" xfId="12" applyNumberFormat="1" applyFont="1" applyFill="1" applyAlignment="1"/>
    <xf numFmtId="166" fontId="110" fillId="0" borderId="0" xfId="12" applyNumberFormat="1" applyFont="1" applyFill="1" applyBorder="1" applyAlignment="1">
      <alignment horizontal="right"/>
    </xf>
    <xf numFmtId="166" fontId="110" fillId="0" borderId="0" xfId="12" applyNumberFormat="1" applyFont="1" applyFill="1" applyAlignment="1">
      <alignment horizontal="right" indent="1"/>
    </xf>
    <xf numFmtId="0" fontId="100" fillId="0" borderId="0" xfId="0" applyFont="1" applyAlignment="1">
      <alignment horizontal="left" vertical="center"/>
    </xf>
    <xf numFmtId="0" fontId="116" fillId="0" borderId="0" xfId="0" applyFont="1" applyAlignment="1">
      <alignment horizontal="right"/>
    </xf>
    <xf numFmtId="174" fontId="100" fillId="0" borderId="0" xfId="0" applyNumberFormat="1" applyFont="1" applyAlignment="1">
      <alignment horizontal="right"/>
    </xf>
    <xf numFmtId="190" fontId="116" fillId="0" borderId="0" xfId="0" applyNumberFormat="1" applyFont="1"/>
    <xf numFmtId="190" fontId="100" fillId="0" borderId="0" xfId="0" applyNumberFormat="1" applyFont="1"/>
    <xf numFmtId="0" fontId="116" fillId="0" borderId="0" xfId="0" applyFont="1" applyAlignment="1">
      <alignment horizontal="right" indent="1"/>
    </xf>
    <xf numFmtId="0" fontId="3" fillId="0" borderId="0" xfId="0" applyFont="1" applyAlignment="1">
      <alignment horizontal="left" vertical="center" indent="1"/>
    </xf>
    <xf numFmtId="43" fontId="3" fillId="0" borderId="0" xfId="0" applyNumberFormat="1" applyFont="1" applyAlignment="1">
      <alignment horizontal="right"/>
    </xf>
    <xf numFmtId="43" fontId="110" fillId="0" borderId="0" xfId="0" applyNumberFormat="1" applyFont="1" applyAlignment="1">
      <alignment horizontal="right"/>
    </xf>
    <xf numFmtId="9" fontId="116" fillId="0" borderId="0" xfId="33" applyFont="1" applyFill="1" applyAlignment="1">
      <alignment horizontal="right"/>
    </xf>
    <xf numFmtId="9" fontId="100" fillId="0" borderId="0" xfId="33" applyFont="1" applyFill="1" applyAlignment="1">
      <alignment horizontal="right"/>
    </xf>
    <xf numFmtId="9" fontId="116" fillId="0" borderId="0" xfId="33" applyFont="1" applyFill="1" applyBorder="1" applyAlignment="1">
      <alignment horizontal="right"/>
    </xf>
    <xf numFmtId="9" fontId="100" fillId="0" borderId="0" xfId="33" applyFont="1" applyFill="1" applyBorder="1" applyAlignment="1"/>
    <xf numFmtId="9" fontId="116" fillId="0" borderId="0" xfId="33" applyFont="1" applyFill="1" applyAlignment="1">
      <alignment horizontal="right" indent="1"/>
    </xf>
    <xf numFmtId="9" fontId="3" fillId="0" borderId="0" xfId="33" applyFont="1" applyFill="1" applyAlignment="1">
      <alignment horizontal="left"/>
    </xf>
    <xf numFmtId="9" fontId="110" fillId="0" borderId="0" xfId="33" applyFont="1" applyFill="1" applyAlignment="1">
      <alignment horizontal="right"/>
    </xf>
    <xf numFmtId="9" fontId="115" fillId="0" borderId="0" xfId="33" applyFont="1" applyFill="1" applyAlignment="1">
      <alignment horizontal="right"/>
    </xf>
    <xf numFmtId="9" fontId="110" fillId="0" borderId="0" xfId="33" applyFont="1" applyFill="1" applyBorder="1" applyAlignment="1">
      <alignment horizontal="right"/>
    </xf>
    <xf numFmtId="9" fontId="3" fillId="0" borderId="0" xfId="33" applyFont="1" applyFill="1" applyBorder="1" applyAlignment="1"/>
    <xf numFmtId="9" fontId="3" fillId="0" borderId="0" xfId="33" applyFont="1" applyFill="1" applyAlignment="1">
      <alignment horizontal="right"/>
    </xf>
    <xf numFmtId="0" fontId="94" fillId="0" borderId="0" xfId="0" applyFont="1" applyAlignment="1">
      <alignment horizontal="left"/>
    </xf>
    <xf numFmtId="174" fontId="98" fillId="0" borderId="0" xfId="0" applyNumberFormat="1" applyFont="1" applyAlignment="1">
      <alignment horizontal="right"/>
    </xf>
    <xf numFmtId="174" fontId="117" fillId="0" borderId="0" xfId="0" applyNumberFormat="1" applyFont="1" applyAlignment="1">
      <alignment horizontal="right"/>
    </xf>
    <xf numFmtId="174" fontId="94" fillId="0" borderId="0" xfId="0" applyNumberFormat="1" applyFont="1" applyAlignment="1">
      <alignment horizontal="right"/>
    </xf>
    <xf numFmtId="174" fontId="118" fillId="0" borderId="0" xfId="0" applyNumberFormat="1" applyFont="1" applyAlignment="1">
      <alignment horizontal="right"/>
    </xf>
    <xf numFmtId="0" fontId="98" fillId="0" borderId="0" xfId="0" applyFont="1"/>
    <xf numFmtId="0" fontId="98" fillId="0" borderId="0" xfId="0" applyFont="1" applyAlignment="1">
      <alignment horizontal="center" wrapText="1"/>
    </xf>
    <xf numFmtId="3" fontId="98" fillId="0" borderId="0" xfId="0" applyNumberFormat="1" applyFont="1" applyAlignment="1">
      <alignment horizontal="right"/>
    </xf>
    <xf numFmtId="166" fontId="3" fillId="0" borderId="0" xfId="12" applyNumberFormat="1" applyFont="1" applyFill="1" applyAlignment="1"/>
    <xf numFmtId="166" fontId="110" fillId="0" borderId="0" xfId="12" applyNumberFormat="1" applyFont="1" applyFill="1" applyAlignment="1">
      <alignment horizontal="center" vertical="center" wrapText="1"/>
    </xf>
    <xf numFmtId="166" fontId="110" fillId="0" borderId="0" xfId="12" applyNumberFormat="1" applyFont="1" applyFill="1" applyAlignment="1">
      <alignment horizontal="center" wrapText="1"/>
    </xf>
    <xf numFmtId="166" fontId="115" fillId="0" borderId="0" xfId="12" applyNumberFormat="1" applyFont="1" applyFill="1" applyBorder="1" applyAlignment="1">
      <alignment horizontal="right"/>
    </xf>
    <xf numFmtId="166" fontId="3" fillId="0" borderId="0" xfId="12" applyNumberFormat="1" applyFont="1" applyFill="1" applyAlignment="1">
      <alignment horizontal="left" vertical="center"/>
    </xf>
    <xf numFmtId="166" fontId="119" fillId="0" borderId="0" xfId="12" applyNumberFormat="1" applyFont="1" applyFill="1" applyAlignment="1">
      <alignment horizontal="left" vertical="center"/>
    </xf>
    <xf numFmtId="166" fontId="119" fillId="0" borderId="0" xfId="12" applyNumberFormat="1" applyFont="1" applyFill="1" applyAlignment="1">
      <alignment horizontal="right"/>
    </xf>
    <xf numFmtId="166" fontId="119" fillId="0" borderId="0" xfId="12" applyNumberFormat="1" applyFont="1" applyFill="1" applyAlignment="1">
      <alignment horizontal="center" vertical="center" wrapText="1"/>
    </xf>
    <xf numFmtId="166" fontId="119" fillId="0" borderId="0" xfId="12" applyNumberFormat="1" applyFont="1" applyFill="1" applyAlignment="1">
      <alignment horizontal="center" wrapText="1"/>
    </xf>
    <xf numFmtId="166" fontId="119" fillId="0" borderId="0" xfId="12" applyNumberFormat="1" applyFont="1" applyFill="1" applyBorder="1" applyAlignment="1">
      <alignment horizontal="right"/>
    </xf>
    <xf numFmtId="3" fontId="119" fillId="0" borderId="0" xfId="0" applyNumberFormat="1" applyFont="1" applyAlignment="1">
      <alignment horizontal="right"/>
    </xf>
    <xf numFmtId="166" fontId="119" fillId="0" borderId="0" xfId="12" applyNumberFormat="1" applyFont="1" applyFill="1" applyAlignment="1">
      <alignment horizontal="right" indent="1"/>
    </xf>
    <xf numFmtId="166" fontId="94" fillId="0" borderId="0" xfId="12" applyNumberFormat="1" applyFont="1" applyFill="1" applyAlignment="1">
      <alignment horizontal="right"/>
    </xf>
    <xf numFmtId="166" fontId="94" fillId="0" borderId="0" xfId="12" applyNumberFormat="1" applyFont="1" applyFill="1" applyAlignment="1">
      <alignment horizontal="center" vertical="center" wrapText="1"/>
    </xf>
    <xf numFmtId="166" fontId="94" fillId="0" borderId="0" xfId="12" applyNumberFormat="1" applyFont="1" applyFill="1" applyAlignment="1">
      <alignment horizontal="center" wrapText="1"/>
    </xf>
    <xf numFmtId="166" fontId="94" fillId="0" borderId="0" xfId="12" applyNumberFormat="1" applyFont="1" applyFill="1" applyBorder="1" applyAlignment="1">
      <alignment horizontal="right"/>
    </xf>
    <xf numFmtId="166" fontId="94" fillId="0" borderId="0" xfId="12" applyNumberFormat="1" applyFont="1" applyFill="1" applyAlignment="1">
      <alignment horizontal="right" indent="1"/>
    </xf>
    <xf numFmtId="0" fontId="94" fillId="0" borderId="0" xfId="0" applyFont="1" applyAlignment="1">
      <alignment horizontal="left" vertical="center" indent="1"/>
    </xf>
    <xf numFmtId="0" fontId="103" fillId="0" borderId="0" xfId="26" applyFont="1" applyAlignment="1">
      <alignment vertical="center"/>
    </xf>
    <xf numFmtId="9" fontId="108" fillId="0" borderId="0" xfId="33" applyFont="1" applyFill="1" applyAlignment="1">
      <alignment horizontal="left"/>
    </xf>
    <xf numFmtId="9" fontId="113" fillId="0" borderId="0" xfId="33" applyFont="1" applyFill="1" applyAlignment="1">
      <alignment horizontal="right"/>
    </xf>
    <xf numFmtId="9" fontId="113" fillId="0" borderId="0" xfId="33" applyFont="1" applyFill="1" applyBorder="1" applyAlignment="1">
      <alignment horizontal="right"/>
    </xf>
    <xf numFmtId="9" fontId="113" fillId="0" borderId="0" xfId="33" applyFont="1" applyFill="1" applyAlignment="1">
      <alignment horizontal="right" indent="1"/>
    </xf>
    <xf numFmtId="165" fontId="97" fillId="0" borderId="0" xfId="33" applyNumberFormat="1" applyFont="1" applyFill="1" applyAlignment="1">
      <alignment horizontal="left" indent="1"/>
    </xf>
    <xf numFmtId="165" fontId="3" fillId="0" borderId="0" xfId="33" applyNumberFormat="1" applyFont="1" applyFill="1" applyAlignment="1">
      <alignment horizontal="right"/>
    </xf>
    <xf numFmtId="165" fontId="97" fillId="0" borderId="0" xfId="33" applyNumberFormat="1" applyFont="1" applyFill="1" applyBorder="1" applyAlignment="1">
      <alignment horizontal="right"/>
    </xf>
    <xf numFmtId="3" fontId="97" fillId="0" borderId="0" xfId="0" applyNumberFormat="1" applyFont="1" applyAlignment="1">
      <alignment horizontal="right"/>
    </xf>
    <xf numFmtId="3" fontId="97" fillId="0" borderId="0" xfId="0" applyNumberFormat="1" applyFont="1" applyAlignment="1">
      <alignment horizontal="left" indent="1"/>
    </xf>
    <xf numFmtId="166" fontId="108" fillId="0" borderId="0" xfId="12" applyNumberFormat="1" applyFont="1" applyFill="1" applyBorder="1" applyAlignment="1">
      <alignment horizontal="right"/>
    </xf>
    <xf numFmtId="166" fontId="113" fillId="0" borderId="0" xfId="12" applyNumberFormat="1" applyFont="1" applyFill="1" applyBorder="1" applyAlignment="1">
      <alignment horizontal="right"/>
    </xf>
    <xf numFmtId="166" fontId="113" fillId="0" borderId="0" xfId="12" applyNumberFormat="1" applyFont="1" applyFill="1" applyAlignment="1">
      <alignment horizontal="right" indent="1"/>
    </xf>
    <xf numFmtId="164" fontId="99" fillId="0" borderId="0" xfId="0" applyNumberFormat="1" applyFont="1" applyAlignment="1">
      <alignment horizontal="right"/>
    </xf>
    <xf numFmtId="164" fontId="100" fillId="0" borderId="0" xfId="0" applyNumberFormat="1" applyFont="1" applyAlignment="1">
      <alignment horizontal="right"/>
    </xf>
    <xf numFmtId="164" fontId="106" fillId="0" borderId="0" xfId="0" applyNumberFormat="1" applyFont="1" applyAlignment="1">
      <alignment horizontal="right"/>
    </xf>
    <xf numFmtId="165" fontId="99" fillId="0" borderId="0" xfId="33" applyNumberFormat="1" applyFont="1" applyFill="1" applyAlignment="1">
      <alignment horizontal="right"/>
    </xf>
    <xf numFmtId="164" fontId="99" fillId="0" borderId="0" xfId="17" applyNumberFormat="1" applyFont="1" applyFill="1" applyBorder="1" applyAlignment="1">
      <alignment horizontal="right"/>
    </xf>
    <xf numFmtId="3" fontId="114" fillId="0" borderId="0" xfId="0" applyNumberFormat="1" applyFont="1" applyAlignment="1">
      <alignment horizontal="right"/>
    </xf>
    <xf numFmtId="3" fontId="98" fillId="0" borderId="0" xfId="0" applyNumberFormat="1" applyFont="1" applyAlignment="1">
      <alignment horizontal="right" indent="1"/>
    </xf>
    <xf numFmtId="166" fontId="100" fillId="0" borderId="0" xfId="12" applyNumberFormat="1" applyFont="1" applyFill="1" applyAlignment="1">
      <alignment horizontal="right"/>
    </xf>
    <xf numFmtId="166" fontId="105" fillId="0" borderId="0" xfId="12" applyNumberFormat="1" applyFont="1" applyFill="1" applyAlignment="1">
      <alignment horizontal="right"/>
    </xf>
    <xf numFmtId="166" fontId="100" fillId="0" borderId="0" xfId="12" applyNumberFormat="1" applyFont="1" applyFill="1" applyBorder="1" applyAlignment="1">
      <alignment horizontal="right"/>
    </xf>
    <xf numFmtId="166" fontId="97" fillId="0" borderId="0" xfId="12" applyNumberFormat="1" applyFont="1" applyFill="1" applyBorder="1" applyAlignment="1">
      <alignment horizontal="right"/>
    </xf>
    <xf numFmtId="166" fontId="106" fillId="0" borderId="0" xfId="12" applyNumberFormat="1" applyFont="1" applyFill="1" applyBorder="1" applyAlignment="1">
      <alignment horizontal="right"/>
    </xf>
    <xf numFmtId="166" fontId="106" fillId="0" borderId="0" xfId="12" applyNumberFormat="1" applyFont="1" applyFill="1" applyAlignment="1">
      <alignment horizontal="right"/>
    </xf>
    <xf numFmtId="166" fontId="106" fillId="0" borderId="0" xfId="12" applyNumberFormat="1" applyFont="1" applyFill="1" applyAlignment="1">
      <alignment horizontal="right" indent="1"/>
    </xf>
    <xf numFmtId="3" fontId="108" fillId="0" borderId="0" xfId="33" applyNumberFormat="1" applyFont="1" applyFill="1" applyAlignment="1">
      <alignment horizontal="right"/>
    </xf>
    <xf numFmtId="3" fontId="109" fillId="0" borderId="0" xfId="33" applyNumberFormat="1" applyFont="1" applyFill="1" applyAlignment="1">
      <alignment horizontal="right"/>
    </xf>
    <xf numFmtId="3" fontId="109" fillId="0" borderId="0" xfId="33" applyNumberFormat="1" applyFont="1" applyFill="1" applyBorder="1" applyAlignment="1">
      <alignment horizontal="right"/>
    </xf>
    <xf numFmtId="166" fontId="3" fillId="0" borderId="0" xfId="12" applyNumberFormat="1" applyFont="1" applyFill="1" applyAlignment="1">
      <alignment horizontal="left"/>
    </xf>
    <xf numFmtId="190" fontId="104" fillId="0" borderId="0" xfId="0" applyNumberFormat="1" applyFont="1"/>
    <xf numFmtId="190" fontId="100" fillId="0" borderId="0" xfId="0" applyNumberFormat="1" applyFont="1" applyAlignment="1">
      <alignment horizontal="left"/>
    </xf>
    <xf numFmtId="3" fontId="120" fillId="0" borderId="0" xfId="0" applyNumberFormat="1" applyFont="1" applyAlignment="1">
      <alignment horizontal="right"/>
    </xf>
    <xf numFmtId="3" fontId="97" fillId="0" borderId="0" xfId="17" applyNumberFormat="1" applyFont="1" applyFill="1" applyAlignment="1">
      <alignment horizontal="right"/>
    </xf>
    <xf numFmtId="0" fontId="105" fillId="0" borderId="0" xfId="0" applyFont="1" applyAlignment="1">
      <alignment horizontal="right"/>
    </xf>
    <xf numFmtId="171" fontId="105" fillId="0" borderId="0" xfId="0" applyNumberFormat="1" applyFont="1" applyAlignment="1">
      <alignment horizontal="right"/>
    </xf>
    <xf numFmtId="164" fontId="97" fillId="0" borderId="0" xfId="0" applyNumberFormat="1" applyFont="1" applyAlignment="1">
      <alignment horizontal="right"/>
    </xf>
    <xf numFmtId="0" fontId="97" fillId="0" borderId="0" xfId="0" applyFont="1" applyAlignment="1">
      <alignment horizontal="right"/>
    </xf>
    <xf numFmtId="0" fontId="121" fillId="0" borderId="0" xfId="0" applyFont="1" applyAlignment="1">
      <alignment horizontal="left"/>
    </xf>
    <xf numFmtId="0" fontId="120" fillId="0" borderId="0" xfId="0" applyFont="1" applyAlignment="1">
      <alignment horizontal="right"/>
    </xf>
    <xf numFmtId="3" fontId="99" fillId="0" borderId="0" xfId="17" applyNumberFormat="1" applyFont="1" applyFill="1" applyAlignment="1">
      <alignment horizontal="left"/>
    </xf>
    <xf numFmtId="3" fontId="99" fillId="0" borderId="0" xfId="17" applyNumberFormat="1" applyFont="1" applyFill="1" applyAlignment="1">
      <alignment horizontal="right"/>
    </xf>
    <xf numFmtId="3" fontId="99" fillId="0" borderId="0" xfId="17" applyNumberFormat="1" applyFont="1" applyFill="1" applyBorder="1" applyAlignment="1">
      <alignment horizontal="right"/>
    </xf>
    <xf numFmtId="172" fontId="108" fillId="0" borderId="0" xfId="12" applyNumberFormat="1" applyFont="1" applyFill="1" applyAlignment="1">
      <alignment horizontal="right"/>
    </xf>
    <xf numFmtId="172" fontId="108" fillId="0" borderId="0" xfId="12" applyNumberFormat="1" applyFont="1" applyFill="1" applyBorder="1" applyAlignment="1">
      <alignment horizontal="right"/>
    </xf>
    <xf numFmtId="172" fontId="108" fillId="0" borderId="0" xfId="33" applyNumberFormat="1" applyFont="1" applyFill="1" applyBorder="1" applyAlignment="1">
      <alignment horizontal="right"/>
    </xf>
    <xf numFmtId="0" fontId="113" fillId="0" borderId="0" xfId="0" applyFont="1" applyAlignment="1">
      <alignment horizontal="right" indent="1"/>
    </xf>
    <xf numFmtId="164" fontId="122" fillId="0" borderId="0" xfId="17" applyNumberFormat="1" applyFont="1" applyFill="1" applyAlignment="1">
      <alignment horizontal="right"/>
    </xf>
    <xf numFmtId="164" fontId="122" fillId="0" borderId="0" xfId="17" applyNumberFormat="1" applyFont="1" applyFill="1" applyBorder="1" applyAlignment="1">
      <alignment horizontal="right"/>
    </xf>
    <xf numFmtId="1" fontId="97" fillId="0" borderId="0" xfId="0" applyNumberFormat="1" applyFont="1" applyAlignment="1">
      <alignment horizontal="left"/>
    </xf>
    <xf numFmtId="166" fontId="97" fillId="0" borderId="0" xfId="12" applyNumberFormat="1" applyFont="1" applyFill="1" applyAlignment="1">
      <alignment horizontal="right"/>
    </xf>
    <xf numFmtId="1" fontId="105" fillId="0" borderId="0" xfId="17" applyNumberFormat="1" applyFont="1" applyFill="1" applyAlignment="1">
      <alignment horizontal="right"/>
    </xf>
    <xf numFmtId="1" fontId="110" fillId="0" borderId="0" xfId="17" applyNumberFormat="1" applyFont="1" applyFill="1" applyAlignment="1">
      <alignment horizontal="right"/>
    </xf>
    <xf numFmtId="1" fontId="97" fillId="0" borderId="0" xfId="17" applyNumberFormat="1" applyFont="1" applyFill="1" applyAlignment="1">
      <alignment horizontal="right"/>
    </xf>
    <xf numFmtId="1" fontId="97" fillId="0" borderId="0" xfId="17" applyNumberFormat="1" applyFont="1" applyFill="1" applyBorder="1" applyAlignment="1">
      <alignment horizontal="right"/>
    </xf>
    <xf numFmtId="1" fontId="105" fillId="0" borderId="0" xfId="0" applyNumberFormat="1" applyFont="1" applyAlignment="1">
      <alignment horizontal="right"/>
    </xf>
    <xf numFmtId="1" fontId="97" fillId="0" borderId="0" xfId="0" applyNumberFormat="1" applyFont="1" applyAlignment="1">
      <alignment horizontal="right"/>
    </xf>
    <xf numFmtId="1" fontId="94" fillId="0" borderId="0" xfId="0" applyNumberFormat="1" applyFont="1" applyAlignment="1">
      <alignment horizontal="right"/>
    </xf>
    <xf numFmtId="1" fontId="94" fillId="0" borderId="0" xfId="0" applyNumberFormat="1" applyFont="1" applyAlignment="1">
      <alignment horizontal="right" indent="1"/>
    </xf>
    <xf numFmtId="3" fontId="114" fillId="0" borderId="0" xfId="17" applyNumberFormat="1" applyFont="1" applyFill="1" applyAlignment="1">
      <alignment horizontal="right"/>
    </xf>
    <xf numFmtId="2" fontId="97" fillId="0" borderId="0" xfId="0" applyNumberFormat="1" applyFont="1" applyAlignment="1">
      <alignment horizontal="right"/>
    </xf>
    <xf numFmtId="44" fontId="99" fillId="0" borderId="0" xfId="0" applyNumberFormat="1" applyFont="1" applyAlignment="1">
      <alignment horizontal="right"/>
    </xf>
    <xf numFmtId="43" fontId="99" fillId="0" borderId="0" xfId="12" applyFont="1" applyFill="1" applyAlignment="1">
      <alignment horizontal="right"/>
    </xf>
    <xf numFmtId="43" fontId="99" fillId="0" borderId="0" xfId="12" applyFont="1" applyFill="1" applyBorder="1" applyAlignment="1">
      <alignment horizontal="right"/>
    </xf>
    <xf numFmtId="43" fontId="98" fillId="0" borderId="0" xfId="12" applyFont="1" applyFill="1" applyBorder="1" applyAlignment="1">
      <alignment horizontal="right"/>
    </xf>
    <xf numFmtId="43" fontId="98" fillId="0" borderId="0" xfId="12" applyFont="1" applyFill="1" applyAlignment="1">
      <alignment horizontal="right"/>
    </xf>
    <xf numFmtId="43" fontId="98" fillId="0" borderId="0" xfId="12" applyFont="1" applyFill="1" applyAlignment="1">
      <alignment horizontal="right" indent="1"/>
    </xf>
    <xf numFmtId="9" fontId="97" fillId="0" borderId="0" xfId="33" applyFont="1" applyFill="1" applyAlignment="1">
      <alignment horizontal="right"/>
    </xf>
    <xf numFmtId="9" fontId="115" fillId="0" borderId="0" xfId="33" applyFont="1" applyFill="1" applyBorder="1" applyAlignment="1">
      <alignment horizontal="right"/>
    </xf>
    <xf numFmtId="165" fontId="108" fillId="0" borderId="0" xfId="34" applyNumberFormat="1" applyFont="1" applyFill="1" applyBorder="1" applyAlignment="1">
      <alignment horizontal="right"/>
    </xf>
    <xf numFmtId="3" fontId="94" fillId="0" borderId="0" xfId="17" applyNumberFormat="1" applyFont="1" applyFill="1" applyBorder="1" applyAlignment="1">
      <alignment horizontal="right"/>
    </xf>
    <xf numFmtId="3" fontId="94" fillId="0" borderId="0" xfId="17" applyNumberFormat="1" applyFont="1" applyFill="1" applyAlignment="1">
      <alignment horizontal="right"/>
    </xf>
    <xf numFmtId="3" fontId="94" fillId="0" borderId="0" xfId="17" applyNumberFormat="1" applyFont="1" applyFill="1" applyAlignment="1">
      <alignment horizontal="right" indent="1"/>
    </xf>
    <xf numFmtId="3" fontId="98" fillId="0" borderId="0" xfId="17" applyNumberFormat="1" applyFont="1" applyFill="1" applyBorder="1" applyAlignment="1">
      <alignment horizontal="right"/>
    </xf>
    <xf numFmtId="3" fontId="98" fillId="0" borderId="0" xfId="17" applyNumberFormat="1" applyFont="1" applyFill="1" applyAlignment="1">
      <alignment horizontal="right"/>
    </xf>
    <xf numFmtId="3" fontId="98" fillId="0" borderId="0" xfId="17" applyNumberFormat="1" applyFont="1" applyFill="1" applyAlignment="1">
      <alignment horizontal="right" indent="1"/>
    </xf>
    <xf numFmtId="172" fontId="109" fillId="0" borderId="0" xfId="12" applyNumberFormat="1" applyFont="1" applyFill="1" applyAlignment="1">
      <alignment horizontal="right"/>
    </xf>
    <xf numFmtId="172" fontId="109" fillId="0" borderId="0" xfId="12" applyNumberFormat="1" applyFont="1" applyFill="1" applyBorder="1" applyAlignment="1">
      <alignment horizontal="right"/>
    </xf>
    <xf numFmtId="164" fontId="113" fillId="0" borderId="0" xfId="17" applyNumberFormat="1" applyFont="1" applyFill="1" applyAlignment="1">
      <alignment horizontal="right"/>
    </xf>
    <xf numFmtId="164" fontId="113" fillId="0" borderId="0" xfId="17" applyNumberFormat="1" applyFont="1" applyFill="1" applyBorder="1" applyAlignment="1">
      <alignment horizontal="right"/>
    </xf>
    <xf numFmtId="164" fontId="113" fillId="0" borderId="0" xfId="17" applyNumberFormat="1" applyFont="1" applyFill="1" applyAlignment="1">
      <alignment horizontal="right" indent="1"/>
    </xf>
    <xf numFmtId="165" fontId="97" fillId="0" borderId="0" xfId="33" applyNumberFormat="1" applyFont="1" applyFill="1" applyAlignment="1">
      <alignment horizontal="right"/>
    </xf>
    <xf numFmtId="165" fontId="115" fillId="0" borderId="0" xfId="33" applyNumberFormat="1" applyFont="1" applyFill="1" applyAlignment="1">
      <alignment horizontal="right"/>
    </xf>
    <xf numFmtId="165" fontId="115" fillId="0" borderId="0" xfId="33" applyNumberFormat="1" applyFont="1" applyFill="1" applyBorder="1" applyAlignment="1">
      <alignment horizontal="right"/>
    </xf>
    <xf numFmtId="9" fontId="113" fillId="0" borderId="0" xfId="0" applyNumberFormat="1" applyFont="1" applyAlignment="1">
      <alignment horizontal="right"/>
    </xf>
    <xf numFmtId="44" fontId="97" fillId="0" borderId="0" xfId="0" applyNumberFormat="1" applyFont="1" applyAlignment="1">
      <alignment horizontal="right"/>
    </xf>
    <xf numFmtId="164" fontId="105" fillId="0" borderId="0" xfId="17" applyNumberFormat="1" applyFont="1" applyFill="1" applyAlignment="1">
      <alignment horizontal="right"/>
    </xf>
    <xf numFmtId="3" fontId="112" fillId="0" borderId="0" xfId="0" applyNumberFormat="1" applyFont="1" applyAlignment="1">
      <alignment horizontal="right"/>
    </xf>
    <xf numFmtId="3" fontId="115" fillId="0" borderId="0" xfId="17" applyNumberFormat="1" applyFont="1" applyFill="1" applyAlignment="1">
      <alignment horizontal="right"/>
    </xf>
    <xf numFmtId="3" fontId="115" fillId="0" borderId="0" xfId="17" applyNumberFormat="1" applyFont="1" applyFill="1" applyBorder="1" applyAlignment="1">
      <alignment horizontal="right"/>
    </xf>
    <xf numFmtId="166" fontId="115" fillId="0" borderId="0" xfId="12" applyNumberFormat="1" applyFont="1" applyFill="1" applyAlignment="1">
      <alignment horizontal="right"/>
    </xf>
    <xf numFmtId="166" fontId="97" fillId="0" borderId="0" xfId="12" applyNumberFormat="1" applyFont="1" applyFill="1" applyAlignment="1">
      <alignment horizontal="left"/>
    </xf>
    <xf numFmtId="44" fontId="97" fillId="0" borderId="0" xfId="17" applyFont="1" applyFill="1" applyAlignment="1">
      <alignment horizontal="right"/>
    </xf>
    <xf numFmtId="164" fontId="115" fillId="0" borderId="0" xfId="17" applyNumberFormat="1" applyFont="1" applyFill="1" applyAlignment="1">
      <alignment horizontal="right"/>
    </xf>
    <xf numFmtId="164" fontId="109" fillId="0" borderId="0" xfId="18" applyNumberFormat="1" applyFont="1" applyFill="1" applyAlignment="1">
      <alignment horizontal="right"/>
    </xf>
    <xf numFmtId="164" fontId="115" fillId="0" borderId="0" xfId="18" applyNumberFormat="1" applyFont="1" applyFill="1" applyAlignment="1">
      <alignment horizontal="right"/>
    </xf>
    <xf numFmtId="164" fontId="115" fillId="0" borderId="0" xfId="17" applyNumberFormat="1" applyFont="1" applyFill="1" applyBorder="1" applyAlignment="1">
      <alignment horizontal="right"/>
    </xf>
    <xf numFmtId="1" fontId="94" fillId="0" borderId="0" xfId="12" applyNumberFormat="1" applyFont="1" applyFill="1" applyBorder="1" applyAlignment="1">
      <alignment horizontal="right"/>
    </xf>
    <xf numFmtId="1" fontId="94" fillId="0" borderId="0" xfId="12" applyNumberFormat="1" applyFont="1" applyFill="1" applyAlignment="1">
      <alignment horizontal="right"/>
    </xf>
    <xf numFmtId="1" fontId="97" fillId="0" borderId="0" xfId="12" applyNumberFormat="1" applyFont="1" applyFill="1" applyAlignment="1">
      <alignment horizontal="left"/>
    </xf>
    <xf numFmtId="1" fontId="105" fillId="0" borderId="0" xfId="12" applyNumberFormat="1" applyFont="1" applyFill="1" applyAlignment="1">
      <alignment horizontal="right"/>
    </xf>
    <xf numFmtId="1" fontId="110" fillId="0" borderId="0" xfId="12" applyNumberFormat="1" applyFont="1" applyFill="1" applyAlignment="1">
      <alignment horizontal="right"/>
    </xf>
    <xf numFmtId="1" fontId="97" fillId="0" borderId="0" xfId="12" applyNumberFormat="1" applyFont="1" applyFill="1" applyAlignment="1">
      <alignment horizontal="right"/>
    </xf>
    <xf numFmtId="1" fontId="97" fillId="0" borderId="0" xfId="12" applyNumberFormat="1" applyFont="1" applyFill="1" applyBorder="1" applyAlignment="1">
      <alignment horizontal="right"/>
    </xf>
    <xf numFmtId="1" fontId="105" fillId="0" borderId="0" xfId="12" applyNumberFormat="1" applyFont="1" applyFill="1" applyBorder="1" applyAlignment="1">
      <alignment horizontal="right"/>
    </xf>
    <xf numFmtId="1" fontId="94" fillId="0" borderId="0" xfId="12" applyNumberFormat="1" applyFont="1" applyFill="1" applyAlignment="1">
      <alignment horizontal="right" indent="1"/>
    </xf>
    <xf numFmtId="1" fontId="115" fillId="0" borderId="0" xfId="12" applyNumberFormat="1" applyFont="1" applyFill="1" applyAlignment="1">
      <alignment horizontal="right"/>
    </xf>
    <xf numFmtId="1" fontId="115" fillId="0" borderId="0" xfId="12" applyNumberFormat="1" applyFont="1" applyFill="1" applyBorder="1" applyAlignment="1">
      <alignment horizontal="right"/>
    </xf>
    <xf numFmtId="3" fontId="105" fillId="0" borderId="0" xfId="18" applyNumberFormat="1" applyFont="1" applyFill="1" applyAlignment="1">
      <alignment horizontal="right"/>
    </xf>
    <xf numFmtId="3" fontId="105" fillId="0" borderId="0" xfId="0" applyNumberFormat="1" applyFont="1"/>
    <xf numFmtId="3" fontId="108" fillId="0" borderId="0" xfId="0" applyNumberFormat="1" applyFont="1" applyAlignment="1">
      <alignment horizontal="left"/>
    </xf>
    <xf numFmtId="165" fontId="123" fillId="0" borderId="0" xfId="33" applyNumberFormat="1" applyFont="1" applyFill="1"/>
    <xf numFmtId="0" fontId="94" fillId="0" borderId="0" xfId="0" applyFont="1"/>
    <xf numFmtId="0" fontId="103" fillId="0" borderId="0" xfId="0" applyFont="1"/>
    <xf numFmtId="1" fontId="105" fillId="0" borderId="0" xfId="0" applyNumberFormat="1" applyFont="1"/>
    <xf numFmtId="1" fontId="97" fillId="0" borderId="0" xfId="0" applyNumberFormat="1" applyFont="1"/>
    <xf numFmtId="166" fontId="105" fillId="0" borderId="0" xfId="12" applyNumberFormat="1" applyFont="1" applyFill="1" applyBorder="1" applyAlignment="1">
      <alignment vertical="center"/>
    </xf>
    <xf numFmtId="166" fontId="97" fillId="0" borderId="0" xfId="12" applyNumberFormat="1" applyFont="1" applyFill="1" applyBorder="1" applyAlignment="1">
      <alignment vertical="center"/>
    </xf>
    <xf numFmtId="0" fontId="103" fillId="0" borderId="0" xfId="0" applyFont="1" applyAlignment="1">
      <alignment horizontal="left"/>
    </xf>
    <xf numFmtId="166" fontId="97" fillId="0" borderId="0" xfId="0" applyNumberFormat="1" applyFont="1"/>
    <xf numFmtId="0" fontId="103" fillId="0" borderId="0" xfId="0" applyFont="1" applyAlignment="1">
      <alignment horizontal="left" vertical="center"/>
    </xf>
    <xf numFmtId="174" fontId="105" fillId="0" borderId="0" xfId="0" applyNumberFormat="1" applyFont="1"/>
    <xf numFmtId="1" fontId="115" fillId="0" borderId="0" xfId="0" applyNumberFormat="1" applyFont="1"/>
    <xf numFmtId="1" fontId="110" fillId="0" borderId="0" xfId="0" applyNumberFormat="1" applyFont="1"/>
    <xf numFmtId="0" fontId="97" fillId="0" borderId="0" xfId="0" applyFont="1"/>
    <xf numFmtId="170" fontId="97" fillId="0" borderId="0" xfId="0" applyNumberFormat="1" applyFont="1"/>
    <xf numFmtId="0" fontId="105" fillId="0" borderId="0" xfId="0" applyFont="1"/>
    <xf numFmtId="0" fontId="101" fillId="0" borderId="0" xfId="0" applyFont="1"/>
    <xf numFmtId="1" fontId="114" fillId="0" borderId="0" xfId="0" applyNumberFormat="1" applyFont="1"/>
    <xf numFmtId="1" fontId="99" fillId="0" borderId="0" xfId="0" applyNumberFormat="1" applyFont="1"/>
    <xf numFmtId="166" fontId="114" fillId="0" borderId="0" xfId="12" applyNumberFormat="1" applyFont="1" applyFill="1" applyBorder="1" applyAlignment="1">
      <alignment vertical="center"/>
    </xf>
    <xf numFmtId="166" fontId="99" fillId="0" borderId="0" xfId="12" applyNumberFormat="1" applyFont="1" applyFill="1" applyBorder="1" applyAlignment="1">
      <alignment vertical="center"/>
    </xf>
    <xf numFmtId="174" fontId="103" fillId="0" borderId="0" xfId="0" applyNumberFormat="1" applyFont="1"/>
    <xf numFmtId="0" fontId="101" fillId="0" borderId="0" xfId="0" applyFont="1" applyAlignment="1">
      <alignment horizontal="left"/>
    </xf>
    <xf numFmtId="9" fontId="115" fillId="0" borderId="0" xfId="0" applyNumberFormat="1" applyFont="1"/>
    <xf numFmtId="44" fontId="105" fillId="0" borderId="0" xfId="0" applyNumberFormat="1" applyFont="1" applyAlignment="1">
      <alignment horizontal="right"/>
    </xf>
    <xf numFmtId="4" fontId="94" fillId="0" borderId="0" xfId="0" applyNumberFormat="1" applyFont="1"/>
    <xf numFmtId="4" fontId="97" fillId="0" borderId="0" xfId="0" applyNumberFormat="1" applyFont="1"/>
    <xf numFmtId="4" fontId="105" fillId="0" borderId="0" xfId="17" applyNumberFormat="1" applyFont="1" applyFill="1"/>
    <xf numFmtId="4" fontId="105" fillId="0" borderId="0" xfId="18" applyNumberFormat="1" applyFont="1" applyFill="1"/>
    <xf numFmtId="4" fontId="97" fillId="0" borderId="0" xfId="17" applyNumberFormat="1" applyFont="1" applyFill="1"/>
    <xf numFmtId="4" fontId="97" fillId="0" borderId="0" xfId="17" applyNumberFormat="1" applyFont="1" applyFill="1" applyBorder="1"/>
    <xf numFmtId="3" fontId="94" fillId="0" borderId="0" xfId="0" applyNumberFormat="1" applyFont="1"/>
    <xf numFmtId="3" fontId="97" fillId="0" borderId="0" xfId="0" applyNumberFormat="1" applyFont="1"/>
    <xf numFmtId="3" fontId="97" fillId="0" borderId="0" xfId="17" applyNumberFormat="1" applyFont="1" applyFill="1"/>
    <xf numFmtId="3" fontId="97" fillId="0" borderId="0" xfId="17" applyNumberFormat="1" applyFont="1" applyFill="1" applyBorder="1"/>
    <xf numFmtId="0" fontId="101" fillId="0" borderId="0" xfId="0" applyFont="1" applyAlignment="1">
      <alignment horizontal="left" vertical="center" wrapText="1"/>
    </xf>
    <xf numFmtId="0" fontId="101" fillId="0" borderId="0" xfId="0" applyFont="1" applyAlignment="1">
      <alignment horizontal="center" vertical="center" wrapText="1"/>
    </xf>
    <xf numFmtId="0" fontId="93" fillId="0" borderId="0" xfId="0" applyFont="1"/>
    <xf numFmtId="3" fontId="96" fillId="0" borderId="0" xfId="0" applyNumberFormat="1" applyFont="1"/>
    <xf numFmtId="1" fontId="99" fillId="0" borderId="0" xfId="0" applyNumberFormat="1" applyFont="1" applyAlignment="1">
      <alignment horizontal="right"/>
    </xf>
    <xf numFmtId="186" fontId="99" fillId="0" borderId="0" xfId="0" applyNumberFormat="1" applyFont="1" applyAlignment="1">
      <alignment horizontal="right"/>
    </xf>
    <xf numFmtId="3" fontId="99" fillId="0" borderId="0" xfId="0" applyNumberFormat="1" applyFont="1"/>
    <xf numFmtId="0" fontId="106" fillId="0" borderId="0" xfId="0" applyFont="1"/>
    <xf numFmtId="0" fontId="124" fillId="0" borderId="0" xfId="0" applyFont="1"/>
    <xf numFmtId="0" fontId="125" fillId="0" borderId="0" xfId="0" applyFont="1"/>
    <xf numFmtId="3" fontId="126" fillId="0" borderId="0" xfId="0" applyNumberFormat="1" applyFont="1"/>
    <xf numFmtId="0" fontId="127" fillId="0" borderId="0" xfId="0" applyFont="1" applyAlignment="1">
      <alignment horizontal="right"/>
    </xf>
    <xf numFmtId="176" fontId="127" fillId="0" borderId="0" xfId="0" applyNumberFormat="1" applyFont="1" applyAlignment="1">
      <alignment horizontal="right"/>
    </xf>
    <xf numFmtId="185" fontId="127" fillId="0" borderId="0" xfId="0" applyNumberFormat="1" applyFont="1" applyAlignment="1">
      <alignment horizontal="right"/>
    </xf>
    <xf numFmtId="0" fontId="124" fillId="0" borderId="0" xfId="0" applyFont="1" applyAlignment="1">
      <alignment horizontal="right"/>
    </xf>
    <xf numFmtId="0" fontId="128" fillId="0" borderId="0" xfId="0" applyFont="1" applyAlignment="1">
      <alignment horizontal="right"/>
    </xf>
    <xf numFmtId="1" fontId="129" fillId="0" borderId="0" xfId="0" applyNumberFormat="1" applyFont="1" applyAlignment="1">
      <alignment horizontal="right"/>
    </xf>
    <xf numFmtId="186" fontId="129" fillId="0" borderId="0" xfId="0" applyNumberFormat="1" applyFont="1" applyAlignment="1">
      <alignment horizontal="right"/>
    </xf>
    <xf numFmtId="3" fontId="127" fillId="0" borderId="0" xfId="0" applyNumberFormat="1" applyFont="1" applyAlignment="1">
      <alignment vertical="center"/>
    </xf>
    <xf numFmtId="3" fontId="127" fillId="0" borderId="0" xfId="17" applyNumberFormat="1" applyFont="1" applyFill="1" applyAlignment="1">
      <alignment vertical="center"/>
    </xf>
    <xf numFmtId="3" fontId="127" fillId="0" borderId="0" xfId="17" applyNumberFormat="1" applyFont="1" applyFill="1" applyBorder="1" applyAlignment="1">
      <alignment vertical="center"/>
    </xf>
    <xf numFmtId="3" fontId="124" fillId="0" borderId="0" xfId="0" applyNumberFormat="1" applyFont="1" applyAlignment="1">
      <alignment vertical="center"/>
    </xf>
    <xf numFmtId="3" fontId="130" fillId="0" borderId="0" xfId="17" applyNumberFormat="1" applyFont="1" applyFill="1" applyAlignment="1">
      <alignment vertical="center"/>
    </xf>
    <xf numFmtId="3" fontId="129" fillId="0" borderId="0" xfId="0" applyNumberFormat="1" applyFont="1" applyAlignment="1">
      <alignment vertical="center"/>
    </xf>
    <xf numFmtId="3" fontId="129" fillId="0" borderId="0" xfId="17" applyNumberFormat="1" applyFont="1" applyFill="1" applyAlignment="1">
      <alignment vertical="center"/>
    </xf>
    <xf numFmtId="3" fontId="129" fillId="0" borderId="0" xfId="17" applyNumberFormat="1" applyFont="1" applyFill="1" applyBorder="1" applyAlignment="1">
      <alignment vertical="center"/>
    </xf>
    <xf numFmtId="0" fontId="127" fillId="0" borderId="0" xfId="0" applyFont="1" applyAlignment="1">
      <alignment vertical="center"/>
    </xf>
    <xf numFmtId="164" fontId="127" fillId="0" borderId="0" xfId="0" applyNumberFormat="1" applyFont="1" applyAlignment="1">
      <alignment vertical="center"/>
    </xf>
    <xf numFmtId="0" fontId="124" fillId="0" borderId="0" xfId="0" applyFont="1" applyAlignment="1">
      <alignment vertical="center"/>
    </xf>
    <xf numFmtId="3" fontId="131" fillId="0" borderId="0" xfId="17" applyNumberFormat="1" applyFont="1" applyFill="1" applyAlignment="1">
      <alignment vertical="center"/>
    </xf>
    <xf numFmtId="3" fontId="132" fillId="0" borderId="0" xfId="0" applyNumberFormat="1" applyFont="1" applyAlignment="1">
      <alignment vertical="center"/>
    </xf>
    <xf numFmtId="3" fontId="132" fillId="0" borderId="0" xfId="17" applyNumberFormat="1" applyFont="1" applyFill="1" applyAlignment="1">
      <alignment vertical="center"/>
    </xf>
    <xf numFmtId="3" fontId="133" fillId="0" borderId="0" xfId="17" applyNumberFormat="1" applyFont="1" applyFill="1" applyBorder="1" applyAlignment="1">
      <alignment vertical="center"/>
    </xf>
    <xf numFmtId="3" fontId="93" fillId="0" borderId="0" xfId="0" applyNumberFormat="1" applyFont="1" applyAlignment="1">
      <alignment vertical="center"/>
    </xf>
    <xf numFmtId="3" fontId="128" fillId="0" borderId="0" xfId="0" applyNumberFormat="1" applyFont="1" applyAlignment="1">
      <alignment vertical="center"/>
    </xf>
    <xf numFmtId="190" fontId="134" fillId="0" borderId="0" xfId="17" applyNumberFormat="1" applyFont="1" applyFill="1"/>
    <xf numFmtId="190" fontId="134" fillId="0" borderId="0" xfId="17" applyNumberFormat="1" applyFont="1" applyFill="1" applyBorder="1"/>
    <xf numFmtId="190" fontId="135" fillId="0" borderId="0" xfId="0" applyNumberFormat="1" applyFont="1"/>
    <xf numFmtId="0" fontId="129" fillId="0" borderId="0" xfId="0" applyFont="1" applyAlignment="1">
      <alignment vertical="center"/>
    </xf>
    <xf numFmtId="190" fontId="136" fillId="0" borderId="0" xfId="17" applyNumberFormat="1" applyFont="1" applyFill="1" applyAlignment="1"/>
    <xf numFmtId="3" fontId="137" fillId="0" borderId="0" xfId="0" applyNumberFormat="1" applyFont="1" applyAlignment="1">
      <alignment vertical="center"/>
    </xf>
    <xf numFmtId="0" fontId="127" fillId="0" borderId="0" xfId="0" applyFont="1"/>
    <xf numFmtId="165" fontId="127" fillId="0" borderId="0" xfId="33" applyNumberFormat="1" applyFont="1" applyFill="1"/>
    <xf numFmtId="165" fontId="131" fillId="0" borderId="0" xfId="33" applyNumberFormat="1" applyFont="1" applyFill="1" applyAlignment="1">
      <alignment vertical="center"/>
    </xf>
    <xf numFmtId="0" fontId="129" fillId="0" borderId="0" xfId="0" applyFont="1"/>
    <xf numFmtId="164" fontId="127" fillId="0" borderId="0" xfId="0" applyNumberFormat="1" applyFont="1"/>
    <xf numFmtId="3" fontId="127" fillId="0" borderId="0" xfId="0" applyNumberFormat="1" applyFont="1"/>
    <xf numFmtId="3" fontId="127" fillId="0" borderId="0" xfId="17" applyNumberFormat="1" applyFont="1" applyFill="1" applyAlignment="1">
      <alignment horizontal="center"/>
    </xf>
    <xf numFmtId="3" fontId="127" fillId="0" borderId="0" xfId="17" applyNumberFormat="1" applyFont="1" applyFill="1" applyAlignment="1">
      <alignment horizontal="right"/>
    </xf>
    <xf numFmtId="3" fontId="127" fillId="0" borderId="0" xfId="17" applyNumberFormat="1" applyFont="1" applyFill="1" applyBorder="1" applyAlignment="1">
      <alignment horizontal="right"/>
    </xf>
    <xf numFmtId="3" fontId="130" fillId="0" borderId="0" xfId="17" applyNumberFormat="1" applyFont="1" applyFill="1" applyBorder="1" applyAlignment="1">
      <alignment horizontal="right"/>
    </xf>
    <xf numFmtId="3" fontId="124" fillId="0" borderId="0" xfId="0" applyNumberFormat="1" applyFont="1"/>
    <xf numFmtId="3" fontId="127" fillId="0" borderId="0" xfId="17" applyNumberFormat="1" applyFont="1" applyFill="1" applyBorder="1" applyAlignment="1">
      <alignment horizontal="center"/>
    </xf>
    <xf numFmtId="3" fontId="130" fillId="0" borderId="0" xfId="17" applyNumberFormat="1" applyFont="1" applyFill="1" applyBorder="1" applyAlignment="1">
      <alignment horizontal="center"/>
    </xf>
    <xf numFmtId="190" fontId="138" fillId="0" borderId="0" xfId="0" applyNumberFormat="1" applyFont="1" applyAlignment="1">
      <alignment horizontal="left"/>
    </xf>
    <xf numFmtId="3" fontId="130" fillId="0" borderId="0" xfId="17" applyNumberFormat="1" applyFont="1" applyFill="1" applyBorder="1" applyAlignment="1">
      <alignment vertical="center"/>
    </xf>
    <xf numFmtId="3" fontId="129" fillId="0" borderId="0" xfId="0" applyNumberFormat="1" applyFont="1"/>
    <xf numFmtId="3" fontId="93" fillId="0" borderId="0" xfId="17" applyNumberFormat="1" applyFont="1" applyFill="1" applyBorder="1" applyAlignment="1">
      <alignment vertical="center"/>
    </xf>
    <xf numFmtId="3" fontId="127" fillId="0" borderId="0" xfId="0" applyNumberFormat="1" applyFont="1" applyAlignment="1">
      <alignment horizontal="right"/>
    </xf>
    <xf numFmtId="0" fontId="131" fillId="0" borderId="0" xfId="0" applyFont="1"/>
    <xf numFmtId="187" fontId="127" fillId="0" borderId="0" xfId="0" applyNumberFormat="1" applyFont="1"/>
    <xf numFmtId="168" fontId="127" fillId="0" borderId="0" xfId="0" applyNumberFormat="1" applyFont="1"/>
    <xf numFmtId="168" fontId="131" fillId="0" borderId="0" xfId="0" applyNumberFormat="1" applyFont="1"/>
    <xf numFmtId="168" fontId="127" fillId="0" borderId="0" xfId="0" applyNumberFormat="1" applyFont="1" applyAlignment="1">
      <alignment horizontal="right"/>
    </xf>
    <xf numFmtId="165" fontId="131" fillId="0" borderId="0" xfId="33" applyNumberFormat="1" applyFont="1" applyFill="1"/>
    <xf numFmtId="165" fontId="131" fillId="0" borderId="0" xfId="33" applyNumberFormat="1" applyFont="1" applyFill="1" applyBorder="1"/>
    <xf numFmtId="2" fontId="127" fillId="0" borderId="0" xfId="0" applyNumberFormat="1" applyFont="1"/>
    <xf numFmtId="3" fontId="127" fillId="0" borderId="0" xfId="0" applyNumberFormat="1" applyFont="1" applyAlignment="1">
      <alignment horizontal="left"/>
    </xf>
    <xf numFmtId="3" fontId="127" fillId="0" borderId="0" xfId="17" applyNumberFormat="1" applyFont="1" applyFill="1" applyBorder="1" applyAlignment="1"/>
    <xf numFmtId="3" fontId="124" fillId="0" borderId="0" xfId="0" applyNumberFormat="1" applyFont="1" applyAlignment="1">
      <alignment horizontal="right"/>
    </xf>
    <xf numFmtId="3" fontId="127" fillId="0" borderId="0" xfId="17" applyNumberFormat="1" applyFont="1" applyFill="1"/>
    <xf numFmtId="10" fontId="127" fillId="0" borderId="0" xfId="33" applyNumberFormat="1" applyFont="1" applyFill="1" applyAlignment="1">
      <alignment horizontal="right"/>
    </xf>
    <xf numFmtId="10" fontId="131" fillId="0" borderId="0" xfId="0" applyNumberFormat="1" applyFont="1"/>
    <xf numFmtId="10" fontId="127" fillId="0" borderId="0" xfId="33" applyNumberFormat="1" applyFont="1" applyFill="1" applyBorder="1" applyAlignment="1">
      <alignment horizontal="right"/>
    </xf>
    <xf numFmtId="0" fontId="139" fillId="0" borderId="0" xfId="0" applyFont="1"/>
    <xf numFmtId="165" fontId="139" fillId="0" borderId="0" xfId="33" applyNumberFormat="1" applyFont="1" applyFill="1" applyAlignment="1">
      <alignment horizontal="right"/>
    </xf>
    <xf numFmtId="0" fontId="140" fillId="0" borderId="0" xfId="0" applyFont="1"/>
    <xf numFmtId="3" fontId="127" fillId="0" borderId="0" xfId="0" applyNumberFormat="1" applyFont="1" applyAlignment="1">
      <alignment horizontal="left" indent="1"/>
    </xf>
    <xf numFmtId="165" fontId="127" fillId="0" borderId="0" xfId="33" applyNumberFormat="1" applyFont="1" applyFill="1" applyAlignment="1">
      <alignment horizontal="right"/>
    </xf>
    <xf numFmtId="165" fontId="131" fillId="0" borderId="0" xfId="33" applyNumberFormat="1" applyFont="1" applyFill="1" applyAlignment="1">
      <alignment horizontal="right"/>
    </xf>
    <xf numFmtId="168" fontId="127" fillId="0" borderId="0" xfId="12" applyNumberFormat="1" applyFont="1" applyFill="1" applyAlignment="1">
      <alignment horizontal="right"/>
    </xf>
    <xf numFmtId="168" fontId="130" fillId="0" borderId="0" xfId="12" applyNumberFormat="1" applyFont="1" applyFill="1" applyBorder="1" applyAlignment="1">
      <alignment vertical="center"/>
    </xf>
    <xf numFmtId="168" fontId="127" fillId="0" borderId="0" xfId="12" applyNumberFormat="1" applyFont="1" applyFill="1" applyBorder="1" applyAlignment="1">
      <alignment vertical="center"/>
    </xf>
    <xf numFmtId="3" fontId="130" fillId="0" borderId="0" xfId="17" applyNumberFormat="1" applyFont="1" applyFill="1"/>
    <xf numFmtId="3" fontId="127" fillId="0" borderId="0" xfId="17" applyNumberFormat="1" applyFont="1" applyFill="1" applyBorder="1" applyAlignment="1">
      <alignment horizontal="right" vertical="center"/>
    </xf>
    <xf numFmtId="190" fontId="125" fillId="0" borderId="0" xfId="0" applyNumberFormat="1" applyFont="1"/>
    <xf numFmtId="0" fontId="135" fillId="0" borderId="0" xfId="26" applyFont="1" applyAlignment="1">
      <alignment horizontal="left" indent="1"/>
    </xf>
    <xf numFmtId="0" fontId="135" fillId="0" borderId="0" xfId="26" applyFont="1" applyAlignment="1">
      <alignment horizontal="center"/>
    </xf>
    <xf numFmtId="0" fontId="125" fillId="0" borderId="0" xfId="26" applyFont="1" applyAlignment="1">
      <alignment horizontal="left" indent="1"/>
    </xf>
    <xf numFmtId="0" fontId="125" fillId="0" borderId="0" xfId="26" applyFont="1" applyAlignment="1">
      <alignment horizontal="center"/>
    </xf>
    <xf numFmtId="190" fontId="141" fillId="0" borderId="0" xfId="0" applyNumberFormat="1" applyFont="1"/>
    <xf numFmtId="166" fontId="135" fillId="0" borderId="0" xfId="14" applyNumberFormat="1" applyFont="1" applyFill="1" applyBorder="1" applyAlignment="1">
      <alignment horizontal="left" indent="1"/>
    </xf>
    <xf numFmtId="0" fontId="125" fillId="0" borderId="0" xfId="0" applyFont="1" applyAlignment="1">
      <alignment horizontal="center"/>
    </xf>
    <xf numFmtId="166" fontId="135" fillId="0" borderId="0" xfId="14" applyNumberFormat="1" applyFont="1" applyFill="1" applyBorder="1" applyAlignment="1">
      <alignment horizontal="center"/>
    </xf>
    <xf numFmtId="0" fontId="135" fillId="0" borderId="0" xfId="0" applyFont="1"/>
    <xf numFmtId="165" fontId="142" fillId="0" borderId="0" xfId="33" applyNumberFormat="1" applyFont="1" applyFill="1" applyAlignment="1"/>
    <xf numFmtId="0" fontId="135" fillId="0" borderId="0" xfId="26" applyFont="1"/>
    <xf numFmtId="3" fontId="135" fillId="0" borderId="0" xfId="0" applyNumberFormat="1" applyFont="1" applyAlignment="1">
      <alignment horizontal="center"/>
    </xf>
    <xf numFmtId="4" fontId="135" fillId="0" borderId="0" xfId="0" applyNumberFormat="1" applyFont="1" applyAlignment="1">
      <alignment horizontal="center"/>
    </xf>
    <xf numFmtId="9" fontId="135" fillId="0" borderId="0" xfId="33" applyFont="1" applyFill="1" applyAlignment="1">
      <alignment horizontal="center"/>
    </xf>
    <xf numFmtId="165" fontId="135" fillId="0" borderId="0" xfId="33" applyNumberFormat="1" applyFont="1" applyFill="1" applyAlignment="1"/>
    <xf numFmtId="0" fontId="135" fillId="0" borderId="0" xfId="0" applyFont="1" applyAlignment="1">
      <alignment horizontal="center"/>
    </xf>
    <xf numFmtId="0" fontId="142" fillId="0" borderId="0" xfId="26" applyFont="1"/>
    <xf numFmtId="165" fontId="135" fillId="0" borderId="0" xfId="33" applyNumberFormat="1" applyFont="1" applyFill="1" applyAlignment="1">
      <alignment horizontal="center"/>
    </xf>
    <xf numFmtId="43" fontId="135" fillId="0" borderId="0" xfId="12" applyFont="1" applyFill="1" applyAlignment="1">
      <alignment horizontal="left" indent="1"/>
    </xf>
    <xf numFmtId="43" fontId="135" fillId="0" borderId="0" xfId="12" applyFont="1" applyFill="1" applyAlignment="1">
      <alignment horizontal="center"/>
    </xf>
    <xf numFmtId="0" fontId="135" fillId="0" borderId="0" xfId="0" applyFont="1" applyAlignment="1">
      <alignment horizontal="left"/>
    </xf>
    <xf numFmtId="0" fontId="135" fillId="0" borderId="0" xfId="0" applyFont="1" applyAlignment="1">
      <alignment vertical="center"/>
    </xf>
    <xf numFmtId="0" fontId="125" fillId="0" borderId="0" xfId="0" applyFont="1" applyAlignment="1">
      <alignment horizontal="left"/>
    </xf>
    <xf numFmtId="0" fontId="135" fillId="0" borderId="0" xfId="0" applyFont="1" applyAlignment="1">
      <alignment horizontal="left" wrapText="1"/>
    </xf>
    <xf numFmtId="14" fontId="135" fillId="0" borderId="0" xfId="0" applyNumberFormat="1" applyFont="1" applyAlignment="1">
      <alignment horizontal="center"/>
    </xf>
    <xf numFmtId="14" fontId="135" fillId="0" borderId="0" xfId="0" quotePrefix="1" applyNumberFormat="1" applyFont="1" applyAlignment="1">
      <alignment horizontal="center"/>
    </xf>
    <xf numFmtId="0" fontId="125" fillId="0" borderId="0" xfId="0" applyFont="1" applyAlignment="1">
      <alignment horizontal="left" wrapText="1"/>
    </xf>
    <xf numFmtId="14" fontId="125" fillId="0" borderId="0" xfId="0" applyNumberFormat="1" applyFont="1" applyAlignment="1">
      <alignment horizontal="center"/>
    </xf>
    <xf numFmtId="14" fontId="125" fillId="0" borderId="0" xfId="0" quotePrefix="1" applyNumberFormat="1" applyFont="1" applyAlignment="1">
      <alignment horizontal="center"/>
    </xf>
    <xf numFmtId="165" fontId="108" fillId="0" borderId="0" xfId="33" applyNumberFormat="1" applyFont="1" applyFill="1" applyBorder="1"/>
    <xf numFmtId="0" fontId="124" fillId="8" borderId="0" xfId="0" applyFont="1" applyFill="1"/>
    <xf numFmtId="0" fontId="125" fillId="8" borderId="0" xfId="0" applyFont="1" applyFill="1"/>
    <xf numFmtId="0" fontId="127" fillId="8" borderId="0" xfId="0" applyFont="1" applyFill="1" applyAlignment="1">
      <alignment horizontal="right"/>
    </xf>
    <xf numFmtId="3" fontId="124" fillId="8" borderId="0" xfId="0" applyNumberFormat="1" applyFont="1" applyFill="1"/>
    <xf numFmtId="3" fontId="145" fillId="8" borderId="0" xfId="17" applyNumberFormat="1" applyFont="1" applyFill="1"/>
    <xf numFmtId="0" fontId="129" fillId="8" borderId="0" xfId="0" applyFont="1" applyFill="1"/>
    <xf numFmtId="0" fontId="127" fillId="8" borderId="0" xfId="0" applyFont="1" applyFill="1"/>
    <xf numFmtId="0" fontId="144" fillId="0" borderId="0" xfId="0" applyFont="1"/>
    <xf numFmtId="190" fontId="125" fillId="0" borderId="0" xfId="0" quotePrefix="1" applyNumberFormat="1" applyFont="1" applyAlignment="1">
      <alignment horizontal="right"/>
    </xf>
    <xf numFmtId="3" fontId="135" fillId="0" borderId="0" xfId="0" quotePrefix="1" applyNumberFormat="1" applyFont="1" applyAlignment="1">
      <alignment horizontal="right"/>
    </xf>
    <xf numFmtId="3" fontId="135" fillId="0" borderId="0" xfId="0" quotePrefix="1" applyNumberFormat="1" applyFont="1"/>
    <xf numFmtId="3" fontId="135" fillId="0" borderId="0" xfId="0" applyNumberFormat="1" applyFont="1"/>
    <xf numFmtId="0" fontId="135" fillId="0" borderId="26" xfId="0" applyFont="1" applyBorder="1"/>
    <xf numFmtId="0" fontId="125" fillId="0" borderId="26" xfId="0" applyFont="1" applyBorder="1"/>
    <xf numFmtId="3" fontId="125" fillId="0" borderId="27" xfId="0" applyNumberFormat="1" applyFont="1" applyBorder="1"/>
    <xf numFmtId="3" fontId="125" fillId="0" borderId="0" xfId="0" applyNumberFormat="1" applyFont="1"/>
    <xf numFmtId="1" fontId="125" fillId="0" borderId="0" xfId="12" applyNumberFormat="1" applyFont="1" applyFill="1" applyBorder="1" applyAlignment="1">
      <alignment horizontal="right"/>
    </xf>
    <xf numFmtId="3" fontId="135" fillId="0" borderId="27" xfId="0" applyNumberFormat="1" applyFont="1" applyBorder="1"/>
    <xf numFmtId="190" fontId="135" fillId="0" borderId="27" xfId="0" applyNumberFormat="1" applyFont="1" applyBorder="1"/>
    <xf numFmtId="0" fontId="125" fillId="0" borderId="28" xfId="0" applyFont="1" applyBorder="1"/>
    <xf numFmtId="1" fontId="125" fillId="0" borderId="22" xfId="12" applyNumberFormat="1" applyFont="1" applyFill="1" applyBorder="1" applyAlignment="1">
      <alignment horizontal="right"/>
    </xf>
    <xf numFmtId="0" fontId="135" fillId="0" borderId="30" xfId="0" applyFont="1" applyBorder="1"/>
    <xf numFmtId="0" fontId="135" fillId="0" borderId="31" xfId="0" applyFont="1" applyBorder="1"/>
    <xf numFmtId="165" fontId="135" fillId="0" borderId="32" xfId="33" applyNumberFormat="1" applyFont="1" applyFill="1" applyBorder="1"/>
    <xf numFmtId="165" fontId="135" fillId="0" borderId="0" xfId="33" applyNumberFormat="1" applyFont="1" applyFill="1" applyBorder="1"/>
    <xf numFmtId="0" fontId="146" fillId="0" borderId="0" xfId="0" applyFont="1"/>
    <xf numFmtId="0" fontId="128" fillId="0" borderId="0" xfId="0" applyFont="1"/>
    <xf numFmtId="191" fontId="135" fillId="0" borderId="0" xfId="12" applyNumberFormat="1" applyFont="1" applyFill="1" applyBorder="1" applyAlignment="1">
      <alignment horizontal="right"/>
    </xf>
    <xf numFmtId="3" fontId="141" fillId="0" borderId="0" xfId="0" applyNumberFormat="1" applyFont="1"/>
    <xf numFmtId="176" fontId="125" fillId="0" borderId="0" xfId="0" applyNumberFormat="1" applyFont="1" applyAlignment="1">
      <alignment horizontal="right"/>
    </xf>
    <xf numFmtId="0" fontId="135" fillId="0" borderId="0" xfId="0" applyFont="1" applyAlignment="1">
      <alignment horizontal="right"/>
    </xf>
    <xf numFmtId="0" fontId="125" fillId="0" borderId="23" xfId="0" applyFont="1" applyBorder="1"/>
    <xf numFmtId="0" fontId="135" fillId="0" borderId="24" xfId="0" applyFont="1" applyBorder="1"/>
    <xf numFmtId="0" fontId="125" fillId="0" borderId="25" xfId="84" applyFont="1" applyBorder="1"/>
    <xf numFmtId="0" fontId="125" fillId="0" borderId="0" xfId="84" applyFont="1"/>
    <xf numFmtId="0" fontId="125" fillId="0" borderId="0" xfId="0" applyFont="1" applyAlignment="1">
      <alignment horizontal="center" vertical="center"/>
    </xf>
    <xf numFmtId="44" fontId="135" fillId="0" borderId="0" xfId="17" applyFont="1" applyFill="1" applyBorder="1"/>
    <xf numFmtId="44" fontId="135" fillId="0" borderId="0" xfId="18" applyFont="1" applyFill="1" applyBorder="1" applyAlignment="1"/>
    <xf numFmtId="3" fontId="135" fillId="0" borderId="27" xfId="84" applyNumberFormat="1" applyFont="1" applyBorder="1"/>
    <xf numFmtId="3" fontId="135" fillId="0" borderId="0" xfId="84" applyNumberFormat="1" applyFont="1"/>
    <xf numFmtId="3" fontId="135" fillId="0" borderId="0" xfId="0" applyNumberFormat="1" applyFont="1" applyAlignment="1">
      <alignment horizontal="center" vertical="center"/>
    </xf>
    <xf numFmtId="0" fontId="147" fillId="0" borderId="0" xfId="0" applyFont="1" applyAlignment="1">
      <alignment horizontal="center"/>
    </xf>
    <xf numFmtId="166" fontId="135" fillId="0" borderId="0" xfId="12" applyNumberFormat="1" applyFont="1" applyFill="1" applyBorder="1"/>
    <xf numFmtId="192" fontId="135" fillId="0" borderId="27" xfId="0" applyNumberFormat="1" applyFont="1" applyBorder="1"/>
    <xf numFmtId="192" fontId="135" fillId="0" borderId="0" xfId="0" applyNumberFormat="1" applyFont="1"/>
    <xf numFmtId="0" fontId="125" fillId="0" borderId="0" xfId="29" applyFont="1"/>
    <xf numFmtId="164" fontId="135" fillId="0" borderId="0" xfId="17" applyNumberFormat="1" applyFont="1" applyFill="1" applyBorder="1"/>
    <xf numFmtId="3" fontId="125" fillId="0" borderId="0" xfId="0" applyNumberFormat="1" applyFont="1" applyAlignment="1">
      <alignment horizontal="center" vertical="center"/>
    </xf>
    <xf numFmtId="0" fontId="135" fillId="0" borderId="0" xfId="29" applyFont="1"/>
    <xf numFmtId="9" fontId="135" fillId="0" borderId="0" xfId="33" applyFont="1" applyFill="1" applyBorder="1"/>
    <xf numFmtId="164" fontId="135" fillId="0" borderId="0" xfId="0" applyNumberFormat="1" applyFont="1"/>
    <xf numFmtId="2" fontId="135" fillId="0" borderId="0" xfId="0" applyNumberFormat="1" applyFont="1"/>
    <xf numFmtId="0" fontId="135" fillId="0" borderId="0" xfId="29" applyFont="1" applyAlignment="1">
      <alignment horizontal="left" indent="1"/>
    </xf>
    <xf numFmtId="9" fontId="135" fillId="0" borderId="0" xfId="0" applyNumberFormat="1" applyFont="1"/>
    <xf numFmtId="9" fontId="135" fillId="0" borderId="0" xfId="0" applyNumberFormat="1" applyFont="1" applyAlignment="1">
      <alignment horizontal="right"/>
    </xf>
    <xf numFmtId="3" fontId="125" fillId="0" borderId="27" xfId="84" applyNumberFormat="1" applyFont="1" applyBorder="1"/>
    <xf numFmtId="3" fontId="125" fillId="0" borderId="0" xfId="84" applyNumberFormat="1" applyFont="1"/>
    <xf numFmtId="3" fontId="125" fillId="0" borderId="0" xfId="0" applyNumberFormat="1" applyFont="1" applyAlignment="1">
      <alignment horizontal="center"/>
    </xf>
    <xf numFmtId="164" fontId="135" fillId="0" borderId="0" xfId="18" applyNumberFormat="1" applyFont="1" applyFill="1" applyBorder="1"/>
    <xf numFmtId="177" fontId="144" fillId="0" borderId="0" xfId="0" applyNumberFormat="1" applyFont="1" applyAlignment="1">
      <alignment horizontal="right"/>
    </xf>
    <xf numFmtId="0" fontId="125" fillId="0" borderId="22" xfId="84" applyFont="1" applyBorder="1"/>
    <xf numFmtId="1" fontId="125" fillId="0" borderId="29" xfId="84" applyNumberFormat="1" applyFont="1" applyBorder="1"/>
    <xf numFmtId="1" fontId="125" fillId="0" borderId="0" xfId="84" applyNumberFormat="1" applyFont="1"/>
    <xf numFmtId="167" fontId="135" fillId="0" borderId="0" xfId="0" applyNumberFormat="1" applyFont="1"/>
    <xf numFmtId="0" fontId="141" fillId="0" borderId="0" xfId="0" applyFont="1"/>
    <xf numFmtId="165" fontId="141" fillId="0" borderId="0" xfId="33" applyNumberFormat="1" applyFont="1" applyFill="1" applyBorder="1"/>
    <xf numFmtId="1" fontId="135" fillId="0" borderId="0" xfId="0" applyNumberFormat="1" applyFont="1"/>
    <xf numFmtId="1" fontId="135" fillId="0" borderId="27" xfId="0" applyNumberFormat="1" applyFont="1" applyBorder="1"/>
    <xf numFmtId="165" fontId="135" fillId="0" borderId="0" xfId="0" applyNumberFormat="1" applyFont="1"/>
    <xf numFmtId="165" fontId="135" fillId="0" borderId="0" xfId="34" applyNumberFormat="1" applyFont="1" applyFill="1" applyBorder="1"/>
    <xf numFmtId="167" fontId="125" fillId="0" borderId="0" xfId="0" applyNumberFormat="1" applyFont="1"/>
    <xf numFmtId="3" fontId="135" fillId="0" borderId="0" xfId="17" applyNumberFormat="1" applyFont="1" applyFill="1"/>
    <xf numFmtId="175" fontId="135" fillId="0" borderId="0" xfId="0" applyNumberFormat="1" applyFont="1"/>
    <xf numFmtId="175" fontId="125" fillId="0" borderId="0" xfId="0" applyNumberFormat="1" applyFont="1"/>
    <xf numFmtId="9" fontId="135" fillId="0" borderId="0" xfId="0" quotePrefix="1" applyNumberFormat="1" applyFont="1" applyAlignment="1">
      <alignment horizontal="right"/>
    </xf>
    <xf numFmtId="175" fontId="135" fillId="0" borderId="0" xfId="0" applyNumberFormat="1" applyFont="1" applyAlignment="1">
      <alignment horizontal="right"/>
    </xf>
    <xf numFmtId="175" fontId="135" fillId="0" borderId="0" xfId="0" applyNumberFormat="1" applyFont="1" applyAlignment="1">
      <alignment horizontal="center"/>
    </xf>
    <xf numFmtId="165" fontId="135" fillId="0" borderId="0" xfId="34" applyNumberFormat="1" applyFont="1" applyFill="1" applyBorder="1" applyAlignment="1">
      <alignment horizontal="right"/>
    </xf>
    <xf numFmtId="0" fontId="125" fillId="0" borderId="0" xfId="27" applyFont="1"/>
    <xf numFmtId="0" fontId="135" fillId="0" borderId="0" xfId="27" applyFont="1" applyAlignment="1">
      <alignment horizontal="left" indent="1"/>
    </xf>
    <xf numFmtId="44" fontId="135" fillId="0" borderId="0" xfId="0" applyNumberFormat="1" applyFont="1"/>
    <xf numFmtId="0" fontId="135" fillId="0" borderId="0" xfId="27" applyFont="1"/>
    <xf numFmtId="43" fontId="135" fillId="0" borderId="0" xfId="12" applyFont="1" applyFill="1" applyBorder="1"/>
    <xf numFmtId="0" fontId="124" fillId="8" borderId="0" xfId="0" applyFont="1" applyFill="1" applyAlignment="1">
      <alignment horizontal="right"/>
    </xf>
    <xf numFmtId="176" fontId="127" fillId="8" borderId="0" xfId="0" applyNumberFormat="1" applyFont="1" applyFill="1" applyAlignment="1">
      <alignment horizontal="right"/>
    </xf>
    <xf numFmtId="185" fontId="127" fillId="8" borderId="0" xfId="0" applyNumberFormat="1" applyFont="1" applyFill="1" applyAlignment="1">
      <alignment horizontal="right"/>
    </xf>
    <xf numFmtId="1" fontId="127" fillId="8" borderId="0" xfId="0" applyNumberFormat="1" applyFont="1" applyFill="1" applyAlignment="1">
      <alignment horizontal="right"/>
    </xf>
    <xf numFmtId="186" fontId="127" fillId="8" borderId="0" xfId="0" applyNumberFormat="1" applyFont="1" applyFill="1" applyAlignment="1">
      <alignment horizontal="right"/>
    </xf>
    <xf numFmtId="0" fontId="128" fillId="8" borderId="0" xfId="0" applyFont="1" applyFill="1" applyAlignment="1">
      <alignment horizontal="right"/>
    </xf>
    <xf numFmtId="164" fontId="127" fillId="8" borderId="0" xfId="17" applyNumberFormat="1" applyFont="1" applyFill="1" applyBorder="1" applyAlignment="1">
      <alignment horizontal="right"/>
    </xf>
    <xf numFmtId="164" fontId="127" fillId="8" borderId="0" xfId="17" applyNumberFormat="1" applyFont="1" applyFill="1" applyBorder="1" applyAlignment="1">
      <alignment horizontal="center"/>
    </xf>
    <xf numFmtId="3" fontId="127" fillId="8" borderId="0" xfId="0" applyNumberFormat="1" applyFont="1" applyFill="1"/>
    <xf numFmtId="3" fontId="127" fillId="8" borderId="0" xfId="0" applyNumberFormat="1" applyFont="1" applyFill="1" applyAlignment="1">
      <alignment horizontal="right"/>
    </xf>
    <xf numFmtId="3" fontId="127" fillId="8" borderId="0" xfId="17" applyNumberFormat="1" applyFont="1" applyFill="1"/>
    <xf numFmtId="3" fontId="130" fillId="8" borderId="0" xfId="17" applyNumberFormat="1" applyFont="1" applyFill="1" applyBorder="1" applyAlignment="1">
      <alignment horizontal="right" vertical="center"/>
    </xf>
    <xf numFmtId="3" fontId="127" fillId="8" borderId="0" xfId="17" applyNumberFormat="1" applyFont="1" applyFill="1" applyBorder="1" applyAlignment="1">
      <alignment horizontal="right" vertical="center"/>
    </xf>
    <xf numFmtId="3" fontId="127" fillId="8" borderId="0" xfId="17" applyNumberFormat="1" applyFont="1" applyFill="1" applyBorder="1" applyAlignment="1">
      <alignment vertical="center"/>
    </xf>
    <xf numFmtId="3" fontId="131" fillId="8" borderId="0" xfId="17" applyNumberFormat="1" applyFont="1" applyFill="1"/>
    <xf numFmtId="3" fontId="127" fillId="8" borderId="0" xfId="17" applyNumberFormat="1" applyFont="1" applyFill="1" applyBorder="1" applyAlignment="1">
      <alignment horizontal="right"/>
    </xf>
    <xf numFmtId="3" fontId="127" fillId="8" borderId="0" xfId="17" applyNumberFormat="1" applyFont="1" applyFill="1" applyBorder="1" applyAlignment="1">
      <alignment horizontal="center"/>
    </xf>
    <xf numFmtId="3" fontId="127" fillId="8" borderId="0" xfId="0" applyNumberFormat="1" applyFont="1" applyFill="1" applyAlignment="1">
      <alignment horizontal="left" indent="1"/>
    </xf>
    <xf numFmtId="3" fontId="127" fillId="8" borderId="0" xfId="0" applyNumberFormat="1" applyFont="1" applyFill="1" applyAlignment="1">
      <alignment horizontal="left" indent="2"/>
    </xf>
    <xf numFmtId="3" fontId="130" fillId="8" borderId="0" xfId="17" applyNumberFormat="1" applyFont="1" applyFill="1" applyBorder="1" applyAlignment="1">
      <alignment horizontal="right"/>
    </xf>
    <xf numFmtId="3" fontId="130" fillId="8" borderId="0" xfId="17" applyNumberFormat="1" applyFont="1" applyFill="1"/>
    <xf numFmtId="0" fontId="127" fillId="8" borderId="0" xfId="0" applyFont="1" applyFill="1" applyAlignment="1">
      <alignment horizontal="left" indent="1"/>
    </xf>
    <xf numFmtId="165" fontId="130" fillId="8" borderId="0" xfId="33" applyNumberFormat="1" applyFont="1" applyFill="1"/>
    <xf numFmtId="165" fontId="131" fillId="8" borderId="0" xfId="33" applyNumberFormat="1" applyFont="1" applyFill="1"/>
    <xf numFmtId="165" fontId="130" fillId="8" borderId="0" xfId="33" applyNumberFormat="1" applyFont="1" applyFill="1" applyBorder="1" applyAlignment="1">
      <alignment horizontal="right"/>
    </xf>
    <xf numFmtId="165" fontId="127" fillId="8" borderId="0" xfId="33" applyNumberFormat="1" applyFont="1" applyFill="1" applyBorder="1" applyAlignment="1">
      <alignment horizontal="right"/>
    </xf>
    <xf numFmtId="165" fontId="127" fillId="8" borderId="0" xfId="17" applyNumberFormat="1" applyFont="1" applyFill="1" applyBorder="1" applyAlignment="1">
      <alignment horizontal="right" vertical="center"/>
    </xf>
    <xf numFmtId="3" fontId="127" fillId="8" borderId="0" xfId="0" applyNumberFormat="1" applyFont="1" applyFill="1" applyAlignment="1">
      <alignment horizontal="left"/>
    </xf>
    <xf numFmtId="10" fontId="131" fillId="8" borderId="0" xfId="33" applyNumberFormat="1" applyFont="1" applyFill="1" applyAlignment="1">
      <alignment horizontal="right"/>
    </xf>
    <xf numFmtId="164" fontId="131" fillId="8" borderId="0" xfId="17" applyNumberFormat="1" applyFont="1" applyFill="1" applyAlignment="1">
      <alignment horizontal="right"/>
    </xf>
    <xf numFmtId="164" fontId="127" fillId="8" borderId="0" xfId="18" applyNumberFormat="1" applyFont="1" applyFill="1" applyAlignment="1">
      <alignment horizontal="right"/>
    </xf>
    <xf numFmtId="164" fontId="130" fillId="8" borderId="0" xfId="18" applyNumberFormat="1" applyFont="1" applyFill="1" applyBorder="1" applyAlignment="1">
      <alignment horizontal="right" vertical="center"/>
    </xf>
    <xf numFmtId="164" fontId="127" fillId="8" borderId="0" xfId="18" applyNumberFormat="1" applyFont="1" applyFill="1" applyBorder="1" applyAlignment="1">
      <alignment horizontal="right" vertical="center"/>
    </xf>
    <xf numFmtId="164" fontId="127" fillId="8" borderId="0" xfId="18" applyNumberFormat="1" applyFont="1" applyFill="1" applyBorder="1" applyAlignment="1">
      <alignment vertical="center"/>
    </xf>
    <xf numFmtId="3" fontId="127" fillId="8" borderId="0" xfId="17" applyNumberFormat="1" applyFont="1" applyFill="1" applyAlignment="1">
      <alignment horizontal="right"/>
    </xf>
    <xf numFmtId="165" fontId="127" fillId="8" borderId="0" xfId="33" applyNumberFormat="1" applyFont="1" applyFill="1"/>
    <xf numFmtId="165" fontId="131" fillId="8" borderId="0" xfId="0" applyNumberFormat="1" applyFont="1" applyFill="1"/>
    <xf numFmtId="165" fontId="130" fillId="8" borderId="0" xfId="17" applyNumberFormat="1" applyFont="1" applyFill="1" applyBorder="1" applyAlignment="1">
      <alignment horizontal="right" vertical="center"/>
    </xf>
    <xf numFmtId="164" fontId="127" fillId="8" borderId="0" xfId="0" applyNumberFormat="1" applyFont="1" applyFill="1"/>
    <xf numFmtId="189" fontId="127" fillId="8" borderId="0" xfId="33" applyNumberFormat="1" applyFont="1" applyFill="1"/>
    <xf numFmtId="189" fontId="131" fillId="8" borderId="0" xfId="33" applyNumberFormat="1" applyFont="1" applyFill="1"/>
    <xf numFmtId="189" fontId="127" fillId="8" borderId="0" xfId="33" applyNumberFormat="1" applyFont="1" applyFill="1" applyBorder="1" applyAlignment="1">
      <alignment horizontal="right"/>
    </xf>
    <xf numFmtId="164" fontId="127" fillId="8" borderId="0" xfId="17" applyNumberFormat="1" applyFont="1" applyFill="1"/>
    <xf numFmtId="49" fontId="127" fillId="8" borderId="0" xfId="0" applyNumberFormat="1" applyFont="1" applyFill="1" applyAlignment="1">
      <alignment horizontal="right"/>
    </xf>
    <xf numFmtId="10" fontId="127" fillId="8" borderId="0" xfId="0" applyNumberFormat="1" applyFont="1" applyFill="1"/>
    <xf numFmtId="10" fontId="124" fillId="8" borderId="0" xfId="0" applyNumberFormat="1" applyFont="1" applyFill="1"/>
    <xf numFmtId="173" fontId="124" fillId="8" borderId="0" xfId="17" applyNumberFormat="1" applyFont="1" applyFill="1"/>
    <xf numFmtId="164" fontId="124" fillId="8" borderId="0" xfId="17" applyNumberFormat="1" applyFont="1" applyFill="1"/>
    <xf numFmtId="15" fontId="124" fillId="8" borderId="0" xfId="0" applyNumberFormat="1" applyFont="1" applyFill="1"/>
    <xf numFmtId="165" fontId="150" fillId="0" borderId="0" xfId="33" applyNumberFormat="1" applyFont="1" applyFill="1" applyAlignment="1">
      <alignment horizontal="right" vertical="center"/>
    </xf>
    <xf numFmtId="165" fontId="150" fillId="0" borderId="0" xfId="33" applyNumberFormat="1" applyFont="1" applyFill="1" applyBorder="1" applyAlignment="1">
      <alignment horizontal="right"/>
    </xf>
    <xf numFmtId="165" fontId="139" fillId="0" borderId="0" xfId="33" applyNumberFormat="1" applyFont="1" applyFill="1" applyAlignment="1">
      <alignment horizontal="right" vertical="center"/>
    </xf>
    <xf numFmtId="165" fontId="139" fillId="0" borderId="0" xfId="33" applyNumberFormat="1" applyFont="1" applyFill="1" applyBorder="1" applyAlignment="1">
      <alignment horizontal="right"/>
    </xf>
    <xf numFmtId="1" fontId="127" fillId="0" borderId="0" xfId="0" applyNumberFormat="1" applyFont="1" applyAlignment="1">
      <alignment horizontal="right"/>
    </xf>
    <xf numFmtId="186" fontId="127" fillId="0" borderId="0" xfId="0" applyNumberFormat="1" applyFont="1" applyAlignment="1">
      <alignment horizontal="right"/>
    </xf>
    <xf numFmtId="3" fontId="127" fillId="0" borderId="0" xfId="17" applyNumberFormat="1" applyFont="1" applyFill="1" applyAlignment="1">
      <alignment horizontal="left" vertical="center"/>
    </xf>
    <xf numFmtId="3" fontId="127" fillId="0" borderId="0" xfId="17" applyNumberFormat="1" applyFont="1" applyFill="1" applyAlignment="1">
      <alignment horizontal="right" vertical="center"/>
    </xf>
    <xf numFmtId="3" fontId="124" fillId="0" borderId="0" xfId="17" applyNumberFormat="1" applyFont="1" applyFill="1" applyAlignment="1">
      <alignment horizontal="right"/>
    </xf>
    <xf numFmtId="3" fontId="127" fillId="0" borderId="0" xfId="0" applyNumberFormat="1" applyFont="1" applyAlignment="1">
      <alignment horizontal="left" vertical="center"/>
    </xf>
    <xf numFmtId="3" fontId="130" fillId="0" borderId="0" xfId="17" applyNumberFormat="1" applyFont="1" applyFill="1" applyAlignment="1">
      <alignment horizontal="right" vertical="center"/>
    </xf>
    <xf numFmtId="3" fontId="131" fillId="0" borderId="0" xfId="17" applyNumberFormat="1" applyFont="1" applyFill="1" applyAlignment="1">
      <alignment horizontal="right" vertical="center"/>
    </xf>
    <xf numFmtId="3" fontId="148" fillId="0" borderId="0" xfId="17" applyNumberFormat="1" applyFont="1" applyFill="1" applyAlignment="1">
      <alignment horizontal="right" vertical="center"/>
    </xf>
    <xf numFmtId="3" fontId="127" fillId="0" borderId="0" xfId="0" applyNumberFormat="1" applyFont="1" applyAlignment="1">
      <alignment horizontal="left" vertical="center" indent="1"/>
    </xf>
    <xf numFmtId="3" fontId="129" fillId="0" borderId="0" xfId="0" applyNumberFormat="1" applyFont="1" applyAlignment="1">
      <alignment horizontal="left" vertical="center"/>
    </xf>
    <xf numFmtId="3" fontId="129" fillId="0" borderId="0" xfId="17" applyNumberFormat="1" applyFont="1" applyFill="1" applyAlignment="1">
      <alignment horizontal="right" vertical="center"/>
    </xf>
    <xf numFmtId="3" fontId="129" fillId="0" borderId="0" xfId="17" applyNumberFormat="1" applyFont="1" applyFill="1" applyBorder="1" applyAlignment="1">
      <alignment horizontal="right"/>
    </xf>
    <xf numFmtId="3" fontId="128" fillId="0" borderId="0" xfId="0" applyNumberFormat="1" applyFont="1" applyAlignment="1">
      <alignment horizontal="right"/>
    </xf>
    <xf numFmtId="0" fontId="127" fillId="0" borderId="0" xfId="0" applyFont="1" applyAlignment="1">
      <alignment horizontal="left" vertical="center"/>
    </xf>
    <xf numFmtId="0" fontId="132" fillId="0" borderId="0" xfId="0" applyFont="1" applyAlignment="1">
      <alignment horizontal="center" vertical="center"/>
    </xf>
    <xf numFmtId="165" fontId="132" fillId="0" borderId="0" xfId="33" applyNumberFormat="1" applyFont="1" applyFill="1" applyBorder="1" applyAlignment="1">
      <alignment horizontal="center"/>
    </xf>
    <xf numFmtId="0" fontId="132" fillId="0" borderId="0" xfId="0" applyFont="1" applyAlignment="1">
      <alignment horizontal="center"/>
    </xf>
    <xf numFmtId="3" fontId="132" fillId="0" borderId="0" xfId="0" applyNumberFormat="1" applyFont="1" applyAlignment="1">
      <alignment horizontal="right" vertical="center"/>
    </xf>
    <xf numFmtId="3" fontId="132" fillId="0" borderId="0" xfId="0" applyNumberFormat="1" applyFont="1" applyAlignment="1">
      <alignment horizontal="right"/>
    </xf>
    <xf numFmtId="3" fontId="93" fillId="0" borderId="0" xfId="17" applyNumberFormat="1" applyFont="1" applyFill="1" applyAlignment="1">
      <alignment horizontal="right" vertical="center"/>
    </xf>
    <xf numFmtId="3" fontId="129" fillId="0" borderId="0" xfId="0" applyNumberFormat="1" applyFont="1" applyAlignment="1">
      <alignment horizontal="right"/>
    </xf>
    <xf numFmtId="3" fontId="127" fillId="0" borderId="9" xfId="0" applyNumberFormat="1" applyFont="1" applyBorder="1" applyAlignment="1">
      <alignment horizontal="left" vertical="center"/>
    </xf>
    <xf numFmtId="3" fontId="127" fillId="0" borderId="9" xfId="17" applyNumberFormat="1" applyFont="1" applyFill="1" applyBorder="1" applyAlignment="1">
      <alignment horizontal="right" vertical="center"/>
    </xf>
    <xf numFmtId="3" fontId="127" fillId="0" borderId="9" xfId="17" applyNumberFormat="1" applyFont="1" applyFill="1" applyBorder="1" applyAlignment="1">
      <alignment horizontal="right"/>
    </xf>
    <xf numFmtId="0" fontId="132" fillId="0" borderId="0" xfId="0" applyFont="1" applyAlignment="1">
      <alignment horizontal="left" vertical="center"/>
    </xf>
    <xf numFmtId="164" fontId="132" fillId="0" borderId="0" xfId="17" applyNumberFormat="1" applyFont="1" applyFill="1" applyAlignment="1">
      <alignment vertical="center"/>
    </xf>
    <xf numFmtId="164" fontId="132" fillId="0" borderId="0" xfId="17" applyNumberFormat="1" applyFont="1" applyFill="1" applyBorder="1"/>
    <xf numFmtId="0" fontId="149" fillId="0" borderId="0" xfId="0" applyFont="1"/>
    <xf numFmtId="0" fontId="139" fillId="0" borderId="0" xfId="0" applyFont="1" applyAlignment="1">
      <alignment horizontal="left"/>
    </xf>
    <xf numFmtId="0" fontId="124" fillId="0" borderId="0" xfId="0" applyFont="1" applyAlignment="1">
      <alignment horizontal="left"/>
    </xf>
    <xf numFmtId="3" fontId="127" fillId="0" borderId="0" xfId="0" applyNumberFormat="1" applyFont="1" applyAlignment="1">
      <alignment horizontal="right" vertical="center"/>
    </xf>
    <xf numFmtId="0" fontId="127" fillId="0" borderId="0" xfId="0" applyFont="1" applyAlignment="1">
      <alignment horizontal="center" vertical="center"/>
    </xf>
    <xf numFmtId="0" fontId="127" fillId="0" borderId="0" xfId="0" applyFont="1" applyAlignment="1">
      <alignment horizontal="center"/>
    </xf>
    <xf numFmtId="0" fontId="139" fillId="0" borderId="0" xfId="0" applyFont="1" applyAlignment="1">
      <alignment horizontal="left" vertical="center"/>
    </xf>
    <xf numFmtId="3" fontId="129" fillId="0" borderId="0" xfId="0" applyNumberFormat="1" applyFont="1" applyAlignment="1">
      <alignment horizontal="right" vertical="center"/>
    </xf>
    <xf numFmtId="0" fontId="150" fillId="0" borderId="0" xfId="0" applyFont="1" applyAlignment="1">
      <alignment horizontal="left" vertical="center"/>
    </xf>
    <xf numFmtId="165" fontId="150" fillId="0" borderId="0" xfId="33" applyNumberFormat="1" applyFont="1" applyFill="1" applyBorder="1" applyAlignment="1">
      <alignment horizontal="right" vertical="center"/>
    </xf>
    <xf numFmtId="0" fontId="129" fillId="0" borderId="0" xfId="0" applyFont="1" applyAlignment="1">
      <alignment horizontal="left" vertical="center"/>
    </xf>
    <xf numFmtId="165" fontId="127" fillId="0" borderId="0" xfId="33" applyNumberFormat="1" applyFont="1" applyFill="1" applyAlignment="1">
      <alignment horizontal="right" vertical="center"/>
    </xf>
    <xf numFmtId="165" fontId="127" fillId="0" borderId="0" xfId="33" applyNumberFormat="1" applyFont="1" applyFill="1" applyAlignment="1">
      <alignment vertical="center"/>
    </xf>
    <xf numFmtId="4" fontId="127" fillId="0" borderId="0" xfId="0" applyNumberFormat="1" applyFont="1" applyAlignment="1">
      <alignment horizontal="left"/>
    </xf>
    <xf numFmtId="4" fontId="130" fillId="0" borderId="0" xfId="0" applyNumberFormat="1" applyFont="1" applyAlignment="1">
      <alignment horizontal="right" vertical="center"/>
    </xf>
    <xf numFmtId="4" fontId="131" fillId="0" borderId="0" xfId="0" applyNumberFormat="1" applyFont="1" applyAlignment="1">
      <alignment horizontal="right" vertical="center"/>
    </xf>
    <xf numFmtId="4" fontId="127" fillId="0" borderId="0" xfId="0" applyNumberFormat="1" applyFont="1" applyAlignment="1">
      <alignment horizontal="right"/>
    </xf>
    <xf numFmtId="4" fontId="124" fillId="0" borderId="0" xfId="0" applyNumberFormat="1" applyFont="1" applyAlignment="1">
      <alignment horizontal="right"/>
    </xf>
    <xf numFmtId="0" fontId="127" fillId="0" borderId="0" xfId="0" applyFont="1" applyAlignment="1">
      <alignment horizontal="left"/>
    </xf>
    <xf numFmtId="2" fontId="99" fillId="0" borderId="0" xfId="12" applyNumberFormat="1" applyFont="1" applyFill="1"/>
    <xf numFmtId="43" fontId="99" fillId="0" borderId="0" xfId="12" applyFont="1" applyFill="1"/>
    <xf numFmtId="176" fontId="94" fillId="0" borderId="0" xfId="0" applyNumberFormat="1" applyFont="1" applyAlignment="1">
      <alignment horizontal="right"/>
    </xf>
    <xf numFmtId="185" fontId="94" fillId="0" borderId="0" xfId="0" applyNumberFormat="1" applyFont="1" applyAlignment="1">
      <alignment horizontal="right"/>
    </xf>
    <xf numFmtId="0" fontId="143" fillId="0" borderId="0" xfId="0" applyFont="1"/>
    <xf numFmtId="3" fontId="114" fillId="0" borderId="0" xfId="17" applyNumberFormat="1" applyFont="1" applyFill="1" applyBorder="1" applyAlignment="1">
      <alignment horizontal="right"/>
    </xf>
    <xf numFmtId="3" fontId="3" fillId="0" borderId="0" xfId="0" applyNumberFormat="1" applyFont="1" applyAlignment="1">
      <alignment horizontal="left"/>
    </xf>
    <xf numFmtId="3" fontId="99" fillId="0" borderId="0" xfId="17" applyNumberFormat="1" applyFont="1" applyFill="1"/>
    <xf numFmtId="3" fontId="99" fillId="0" borderId="0" xfId="17" applyNumberFormat="1" applyFont="1" applyFill="1" applyBorder="1"/>
    <xf numFmtId="3" fontId="98" fillId="0" borderId="0" xfId="17" applyNumberFormat="1" applyFont="1" applyFill="1" applyBorder="1"/>
    <xf numFmtId="3" fontId="98" fillId="0" borderId="0" xfId="17" applyNumberFormat="1" applyFont="1" applyFill="1"/>
    <xf numFmtId="0" fontId="100" fillId="0" borderId="0" xfId="0" applyFont="1"/>
    <xf numFmtId="3" fontId="98" fillId="0" borderId="0" xfId="0" applyNumberFormat="1" applyFont="1"/>
    <xf numFmtId="1" fontId="3" fillId="0" borderId="0" xfId="0" applyNumberFormat="1" applyFont="1" applyAlignment="1">
      <alignment horizontal="left"/>
    </xf>
    <xf numFmtId="1" fontId="3" fillId="0" borderId="0" xfId="17" applyNumberFormat="1" applyFont="1" applyFill="1"/>
    <xf numFmtId="1" fontId="3" fillId="0" borderId="0" xfId="0" applyNumberFormat="1" applyFont="1"/>
    <xf numFmtId="1" fontId="3" fillId="0" borderId="0" xfId="0" applyNumberFormat="1" applyFont="1" applyAlignment="1">
      <alignment horizontal="right"/>
    </xf>
    <xf numFmtId="166" fontId="105" fillId="0" borderId="0" xfId="12" applyNumberFormat="1" applyFont="1" applyFill="1" applyBorder="1" applyAlignment="1">
      <alignment horizontal="right"/>
    </xf>
    <xf numFmtId="166" fontId="94" fillId="0" borderId="0" xfId="12" applyNumberFormat="1" applyFont="1" applyFill="1" applyBorder="1"/>
    <xf numFmtId="166" fontId="94" fillId="0" borderId="0" xfId="12" applyNumberFormat="1" applyFont="1" applyFill="1"/>
    <xf numFmtId="3" fontId="99" fillId="0" borderId="0" xfId="12" applyNumberFormat="1" applyFont="1" applyFill="1" applyAlignment="1">
      <alignment horizontal="left"/>
    </xf>
    <xf numFmtId="3" fontId="94" fillId="0" borderId="0" xfId="12" applyNumberFormat="1" applyFont="1" applyFill="1"/>
    <xf numFmtId="3" fontId="94" fillId="0" borderId="0" xfId="12" applyNumberFormat="1" applyFont="1" applyFill="1" applyBorder="1"/>
    <xf numFmtId="1" fontId="94" fillId="0" borderId="0" xfId="0" applyNumberFormat="1" applyFont="1"/>
    <xf numFmtId="165" fontId="108" fillId="0" borderId="0" xfId="33" applyNumberFormat="1" applyFont="1" applyFill="1"/>
    <xf numFmtId="164" fontId="94" fillId="0" borderId="0" xfId="0" applyNumberFormat="1" applyFont="1"/>
    <xf numFmtId="3" fontId="97" fillId="0" borderId="0" xfId="18" applyNumberFormat="1" applyFont="1" applyFill="1" applyBorder="1" applyAlignment="1">
      <alignment horizontal="right"/>
    </xf>
    <xf numFmtId="3" fontId="3" fillId="0" borderId="0" xfId="18" applyNumberFormat="1" applyFont="1" applyFill="1" applyAlignment="1">
      <alignment horizontal="right"/>
    </xf>
    <xf numFmtId="3" fontId="3" fillId="0" borderId="0" xfId="0" applyNumberFormat="1" applyFont="1"/>
    <xf numFmtId="190" fontId="99" fillId="0" borderId="0" xfId="17" applyNumberFormat="1" applyFont="1" applyFill="1" applyBorder="1" applyAlignment="1">
      <alignment horizontal="right"/>
    </xf>
    <xf numFmtId="2" fontId="99" fillId="0" borderId="0" xfId="12" applyNumberFormat="1" applyFont="1" applyFill="1" applyAlignment="1">
      <alignment horizontal="left"/>
    </xf>
    <xf numFmtId="2" fontId="99" fillId="0" borderId="0" xfId="12" applyNumberFormat="1" applyFont="1" applyFill="1" applyBorder="1"/>
    <xf numFmtId="2" fontId="99" fillId="0" borderId="0" xfId="12" applyNumberFormat="1" applyFont="1" applyFill="1" applyBorder="1" applyAlignment="1">
      <alignment horizontal="right"/>
    </xf>
    <xf numFmtId="2" fontId="98" fillId="0" borderId="0" xfId="12" applyNumberFormat="1" applyFont="1" applyFill="1" applyBorder="1"/>
    <xf numFmtId="2" fontId="98" fillId="0" borderId="0" xfId="12" applyNumberFormat="1" applyFont="1" applyFill="1"/>
    <xf numFmtId="9" fontId="101" fillId="0" borderId="9" xfId="33" applyFont="1" applyFill="1" applyBorder="1" applyAlignment="1">
      <alignment horizontal="left"/>
    </xf>
    <xf numFmtId="164" fontId="94" fillId="0" borderId="0" xfId="17" applyNumberFormat="1" applyFont="1" applyFill="1" applyBorder="1"/>
    <xf numFmtId="164" fontId="94" fillId="0" borderId="0" xfId="17" applyNumberFormat="1" applyFont="1" applyFill="1"/>
    <xf numFmtId="0" fontId="113" fillId="0" borderId="0" xfId="0" applyFont="1"/>
    <xf numFmtId="3" fontId="3" fillId="0" borderId="0" xfId="17" applyNumberFormat="1" applyFont="1" applyFill="1"/>
    <xf numFmtId="3" fontId="105" fillId="0" borderId="0" xfId="17" applyNumberFormat="1" applyFont="1" applyFill="1" applyBorder="1"/>
    <xf numFmtId="3" fontId="112" fillId="0" borderId="0" xfId="0" applyNumberFormat="1" applyFont="1"/>
    <xf numFmtId="0" fontId="3" fillId="0" borderId="0" xfId="0" applyFont="1"/>
    <xf numFmtId="1" fontId="94" fillId="0" borderId="0" xfId="0" applyNumberFormat="1" applyFont="1" applyAlignment="1">
      <alignment horizontal="left"/>
    </xf>
    <xf numFmtId="1" fontId="3" fillId="0" borderId="0" xfId="12" applyNumberFormat="1" applyFont="1" applyFill="1" applyAlignment="1">
      <alignment horizontal="right"/>
    </xf>
    <xf numFmtId="3" fontId="116" fillId="0" borderId="0" xfId="17" applyNumberFormat="1" applyFont="1" applyFill="1"/>
    <xf numFmtId="174" fontId="3" fillId="0" borderId="0" xfId="12" applyNumberFormat="1" applyFont="1" applyFill="1" applyAlignment="1">
      <alignment horizontal="right"/>
    </xf>
    <xf numFmtId="2" fontId="3" fillId="0" borderId="0" xfId="12" applyNumberFormat="1" applyFont="1" applyFill="1" applyAlignment="1">
      <alignment horizontal="right"/>
    </xf>
    <xf numFmtId="2" fontId="100" fillId="0" borderId="0" xfId="0" applyNumberFormat="1" applyFont="1"/>
    <xf numFmtId="3" fontId="116" fillId="0" borderId="0" xfId="0" applyNumberFormat="1" applyFont="1"/>
    <xf numFmtId="43" fontId="99" fillId="0" borderId="0" xfId="12" applyFont="1" applyFill="1" applyBorder="1"/>
    <xf numFmtId="43" fontId="98" fillId="0" borderId="0" xfId="12" applyFont="1" applyFill="1" applyBorder="1"/>
    <xf numFmtId="43" fontId="98" fillId="0" borderId="0" xfId="12" applyFont="1" applyFill="1"/>
    <xf numFmtId="172" fontId="108" fillId="0" borderId="0" xfId="12" applyNumberFormat="1" applyFont="1" applyFill="1"/>
    <xf numFmtId="172" fontId="108" fillId="0" borderId="0" xfId="12" applyNumberFormat="1" applyFont="1" applyFill="1" applyBorder="1"/>
    <xf numFmtId="172" fontId="108" fillId="0" borderId="0" xfId="33" applyNumberFormat="1" applyFont="1" applyFill="1" applyBorder="1"/>
    <xf numFmtId="0" fontId="125" fillId="0" borderId="0" xfId="0" applyFont="1" applyAlignment="1">
      <alignment horizontal="center"/>
    </xf>
    <xf numFmtId="0" fontId="151" fillId="0" borderId="0" xfId="0" applyFont="1"/>
  </cellXfs>
  <cellStyles count="1239">
    <cellStyle name=" 1" xfId="542" xr:uid="{00000000-0005-0000-0000-000000000000}"/>
    <cellStyle name="_%(SignOnly)" xfId="93" xr:uid="{00000000-0005-0000-0000-00000B000000}"/>
    <cellStyle name="_%(SignOnly) 2" xfId="272" xr:uid="{00000000-0005-0000-0000-00000C000000}"/>
    <cellStyle name="_%(SignSpaceOnly)" xfId="94" xr:uid="{00000000-0005-0000-0000-00000D000000}"/>
    <cellStyle name="_%(SignSpaceOnly) 2" xfId="273" xr:uid="{00000000-0005-0000-0000-00000E000000}"/>
    <cellStyle name="_Comma" xfId="95" xr:uid="{00000000-0005-0000-0000-00000F000000}"/>
    <cellStyle name="_Comma 2" xfId="274" xr:uid="{00000000-0005-0000-0000-000010000000}"/>
    <cellStyle name="_Currency" xfId="96" xr:uid="{00000000-0005-0000-0000-000011000000}"/>
    <cellStyle name="_Currency 2" xfId="275" xr:uid="{00000000-0005-0000-0000-000012000000}"/>
    <cellStyle name="_CurrencySpace" xfId="97" xr:uid="{00000000-0005-0000-0000-000013000000}"/>
    <cellStyle name="_CurrencySpace 2" xfId="276" xr:uid="{00000000-0005-0000-0000-000014000000}"/>
    <cellStyle name="_Euro" xfId="98" xr:uid="{00000000-0005-0000-0000-000015000000}"/>
    <cellStyle name="_Euro 2" xfId="277" xr:uid="{00000000-0005-0000-0000-000016000000}"/>
    <cellStyle name="_Heading" xfId="99" xr:uid="{00000000-0005-0000-0000-000017000000}"/>
    <cellStyle name="_Highlight" xfId="100" xr:uid="{00000000-0005-0000-0000-000018000000}"/>
    <cellStyle name="_Highlight 2" xfId="278" xr:uid="{00000000-0005-0000-0000-000019000000}"/>
    <cellStyle name="_Multiple" xfId="101" xr:uid="{00000000-0005-0000-0000-00001A000000}"/>
    <cellStyle name="_Multiple 2" xfId="279" xr:uid="{00000000-0005-0000-0000-00001B000000}"/>
    <cellStyle name="_MultipleSpace" xfId="102" xr:uid="{00000000-0005-0000-0000-00001C000000}"/>
    <cellStyle name="_MultipleSpace 2" xfId="280" xr:uid="{00000000-0005-0000-0000-00001D000000}"/>
    <cellStyle name="_Percent" xfId="103" xr:uid="{00000000-0005-0000-0000-00001E000000}"/>
    <cellStyle name="_Percent 2" xfId="281" xr:uid="{00000000-0005-0000-0000-00001F000000}"/>
    <cellStyle name="_PercentSpace" xfId="104" xr:uid="{00000000-0005-0000-0000-000020000000}"/>
    <cellStyle name="_PercentSpace 2" xfId="282" xr:uid="{00000000-0005-0000-0000-000021000000}"/>
    <cellStyle name="_SubHeading" xfId="105" xr:uid="{00000000-0005-0000-0000-000022000000}"/>
    <cellStyle name="_SUMMARY " xfId="2" xr:uid="{00000000-0005-0000-0000-000023000000}"/>
    <cellStyle name="_Table" xfId="106" xr:uid="{00000000-0005-0000-0000-000024000000}"/>
    <cellStyle name="_TableHead" xfId="107" xr:uid="{00000000-0005-0000-0000-000025000000}"/>
    <cellStyle name="_TableRowHead" xfId="108" xr:uid="{00000000-0005-0000-0000-000026000000}"/>
    <cellStyle name="_TableSuperHead" xfId="109" xr:uid="{00000000-0005-0000-0000-000027000000}"/>
    <cellStyle name="%" xfId="1" xr:uid="{00000000-0005-0000-0000-000009000000}"/>
    <cellStyle name="% 2" xfId="92" xr:uid="{00000000-0005-0000-0000-00000A000000}"/>
    <cellStyle name="=C:\WINNT35\SYSTEM32\COMMAND.COM" xfId="3" xr:uid="{00000000-0005-0000-0000-000028000000}"/>
    <cellStyle name="$" xfId="85" xr:uid="{00000000-0005-0000-0000-000001000000}"/>
    <cellStyle name="$ 2" xfId="271" xr:uid="{00000000-0005-0000-0000-000002000000}"/>
    <cellStyle name="$_5B" xfId="86" xr:uid="{00000000-0005-0000-0000-000003000000}"/>
    <cellStyle name="$_5B (2)" xfId="87" xr:uid="{00000000-0005-0000-0000-000004000000}"/>
    <cellStyle name="$_6A" xfId="88" xr:uid="{00000000-0005-0000-0000-000005000000}"/>
    <cellStyle name="$_6B" xfId="89" xr:uid="{00000000-0005-0000-0000-000006000000}"/>
    <cellStyle name="$_FY12 Q2 Press Tables" xfId="90" xr:uid="{00000000-0005-0000-0000-000007000000}"/>
    <cellStyle name="$_Index" xfId="91" xr:uid="{00000000-0005-0000-0000-000008000000}"/>
    <cellStyle name="0_Capex &amp; Depreciation " xfId="4" xr:uid="{00000000-0005-0000-0000-000029000000}"/>
    <cellStyle name="0_Valuing BP " xfId="5" xr:uid="{00000000-0005-0000-0000-00002A000000}"/>
    <cellStyle name="20% - Accent1 2" xfId="283" xr:uid="{00000000-0005-0000-0000-00002B000000}"/>
    <cellStyle name="20% - Accent1 3" xfId="361" xr:uid="{00000000-0005-0000-0000-00002C000000}"/>
    <cellStyle name="20% - Accent1 4" xfId="220" xr:uid="{00000000-0005-0000-0000-00002D000000}"/>
    <cellStyle name="20% - Accent2 2" xfId="284" xr:uid="{00000000-0005-0000-0000-00002E000000}"/>
    <cellStyle name="20% - Accent2 3" xfId="362" xr:uid="{00000000-0005-0000-0000-00002F000000}"/>
    <cellStyle name="20% - Accent2 4" xfId="221" xr:uid="{00000000-0005-0000-0000-000030000000}"/>
    <cellStyle name="20% - Accent3 2" xfId="285" xr:uid="{00000000-0005-0000-0000-000031000000}"/>
    <cellStyle name="20% - Accent3 3" xfId="363" xr:uid="{00000000-0005-0000-0000-000032000000}"/>
    <cellStyle name="20% - Accent3 4" xfId="222" xr:uid="{00000000-0005-0000-0000-000033000000}"/>
    <cellStyle name="20% - Accent4 2" xfId="286" xr:uid="{00000000-0005-0000-0000-000034000000}"/>
    <cellStyle name="20% - Accent4 2 2" xfId="882" xr:uid="{00000000-0005-0000-0000-000035000000}"/>
    <cellStyle name="20% - Accent4 2 2 2" xfId="942" xr:uid="{00000000-0005-0000-0000-000036000000}"/>
    <cellStyle name="20% - Accent4 2 2 2 2" xfId="969" xr:uid="{00000000-0005-0000-0000-000037000000}"/>
    <cellStyle name="20% - Accent4 2 2 3" xfId="960" xr:uid="{00000000-0005-0000-0000-000038000000}"/>
    <cellStyle name="20% - Accent4 2 2 4" xfId="951" xr:uid="{00000000-0005-0000-0000-000039000000}"/>
    <cellStyle name="20% - Accent4 2 3" xfId="940" xr:uid="{00000000-0005-0000-0000-00003A000000}"/>
    <cellStyle name="20% - Accent4 2 3 2" xfId="966" xr:uid="{00000000-0005-0000-0000-00003B000000}"/>
    <cellStyle name="20% - Accent4 2 4" xfId="958" xr:uid="{00000000-0005-0000-0000-00003C000000}"/>
    <cellStyle name="20% - Accent4 2 5" xfId="948" xr:uid="{00000000-0005-0000-0000-00003D000000}"/>
    <cellStyle name="20% - Accent4 2 6" xfId="798" xr:uid="{00000000-0005-0000-0000-00003E000000}"/>
    <cellStyle name="20% - Accent4 3" xfId="364" xr:uid="{00000000-0005-0000-0000-00003F000000}"/>
    <cellStyle name="20% - Accent4 4" xfId="223" xr:uid="{00000000-0005-0000-0000-000040000000}"/>
    <cellStyle name="20% - Accent5 2" xfId="287" xr:uid="{00000000-0005-0000-0000-000041000000}"/>
    <cellStyle name="20% - Accent5 3" xfId="365" xr:uid="{00000000-0005-0000-0000-000042000000}"/>
    <cellStyle name="20% - Accent5 4" xfId="224" xr:uid="{00000000-0005-0000-0000-000043000000}"/>
    <cellStyle name="20% - Accent6 2" xfId="288" xr:uid="{00000000-0005-0000-0000-000044000000}"/>
    <cellStyle name="20% - Accent6 3" xfId="366" xr:uid="{00000000-0005-0000-0000-000045000000}"/>
    <cellStyle name="20% - Accent6 4" xfId="225" xr:uid="{00000000-0005-0000-0000-000046000000}"/>
    <cellStyle name="40% - Accent1 2" xfId="289" xr:uid="{00000000-0005-0000-0000-000047000000}"/>
    <cellStyle name="40% - Accent1 3" xfId="367" xr:uid="{00000000-0005-0000-0000-000048000000}"/>
    <cellStyle name="40% - Accent1 4" xfId="226" xr:uid="{00000000-0005-0000-0000-000049000000}"/>
    <cellStyle name="40% - Accent2 2" xfId="290" xr:uid="{00000000-0005-0000-0000-00004A000000}"/>
    <cellStyle name="40% - Accent2 3" xfId="368" xr:uid="{00000000-0005-0000-0000-00004B000000}"/>
    <cellStyle name="40% - Accent2 4" xfId="227" xr:uid="{00000000-0005-0000-0000-00004C000000}"/>
    <cellStyle name="40% - Accent3 2" xfId="291" xr:uid="{00000000-0005-0000-0000-00004D000000}"/>
    <cellStyle name="40% - Accent3 3" xfId="369" xr:uid="{00000000-0005-0000-0000-00004E000000}"/>
    <cellStyle name="40% - Accent3 4" xfId="228" xr:uid="{00000000-0005-0000-0000-00004F000000}"/>
    <cellStyle name="40% - Accent4 2" xfId="292" xr:uid="{00000000-0005-0000-0000-000050000000}"/>
    <cellStyle name="40% - Accent4 3" xfId="370" xr:uid="{00000000-0005-0000-0000-000051000000}"/>
    <cellStyle name="40% - Accent4 4" xfId="229" xr:uid="{00000000-0005-0000-0000-000052000000}"/>
    <cellStyle name="40% - Accent5 2" xfId="293" xr:uid="{00000000-0005-0000-0000-000053000000}"/>
    <cellStyle name="40% - Accent5 3" xfId="371" xr:uid="{00000000-0005-0000-0000-000054000000}"/>
    <cellStyle name="40% - Accent5 4" xfId="230" xr:uid="{00000000-0005-0000-0000-000055000000}"/>
    <cellStyle name="40% - Accent6 2" xfId="294" xr:uid="{00000000-0005-0000-0000-000056000000}"/>
    <cellStyle name="40% - Accent6 3" xfId="372" xr:uid="{00000000-0005-0000-0000-000057000000}"/>
    <cellStyle name="40% - Accent6 4" xfId="231" xr:uid="{00000000-0005-0000-0000-000058000000}"/>
    <cellStyle name="60% - Accent1 2" xfId="373" xr:uid="{00000000-0005-0000-0000-000059000000}"/>
    <cellStyle name="60% - Accent1 3" xfId="232" xr:uid="{00000000-0005-0000-0000-00005A000000}"/>
    <cellStyle name="60% - Accent2 2" xfId="374" xr:uid="{00000000-0005-0000-0000-00005B000000}"/>
    <cellStyle name="60% - Accent2 3" xfId="233" xr:uid="{00000000-0005-0000-0000-00005C000000}"/>
    <cellStyle name="60% - Accent3 2" xfId="375" xr:uid="{00000000-0005-0000-0000-00005D000000}"/>
    <cellStyle name="60% - Accent3 3" xfId="234" xr:uid="{00000000-0005-0000-0000-00005E000000}"/>
    <cellStyle name="60% - Accent4 2" xfId="376" xr:uid="{00000000-0005-0000-0000-00005F000000}"/>
    <cellStyle name="60% - Accent4 3" xfId="235" xr:uid="{00000000-0005-0000-0000-000060000000}"/>
    <cellStyle name="60% - Accent5 2" xfId="377" xr:uid="{00000000-0005-0000-0000-000061000000}"/>
    <cellStyle name="60% - Accent5 3" xfId="236" xr:uid="{00000000-0005-0000-0000-000062000000}"/>
    <cellStyle name="60% - Accent6 2" xfId="378" xr:uid="{00000000-0005-0000-0000-000063000000}"/>
    <cellStyle name="60% - Accent6 3" xfId="237" xr:uid="{00000000-0005-0000-0000-000064000000}"/>
    <cellStyle name="Accent1 2" xfId="379" xr:uid="{00000000-0005-0000-0000-000065000000}"/>
    <cellStyle name="Accent1 3" xfId="238" xr:uid="{00000000-0005-0000-0000-000066000000}"/>
    <cellStyle name="Accent2 2" xfId="380" xr:uid="{00000000-0005-0000-0000-000067000000}"/>
    <cellStyle name="Accent2 3" xfId="239" xr:uid="{00000000-0005-0000-0000-000068000000}"/>
    <cellStyle name="Accent3 2" xfId="381" xr:uid="{00000000-0005-0000-0000-000069000000}"/>
    <cellStyle name="Accent3 3" xfId="240" xr:uid="{00000000-0005-0000-0000-00006A000000}"/>
    <cellStyle name="Accent4 2" xfId="382" xr:uid="{00000000-0005-0000-0000-00006B000000}"/>
    <cellStyle name="Accent4 3" xfId="241" xr:uid="{00000000-0005-0000-0000-00006C000000}"/>
    <cellStyle name="Accent5 2" xfId="383" xr:uid="{00000000-0005-0000-0000-00006D000000}"/>
    <cellStyle name="Accent5 3" xfId="242" xr:uid="{00000000-0005-0000-0000-00006E000000}"/>
    <cellStyle name="Accent6 2" xfId="384" xr:uid="{00000000-0005-0000-0000-00006F000000}"/>
    <cellStyle name="Accent6 3" xfId="243" xr:uid="{00000000-0005-0000-0000-000070000000}"/>
    <cellStyle name="AFE" xfId="445" xr:uid="{00000000-0005-0000-0000-000071000000}"/>
    <cellStyle name="Bad" xfId="73" builtinId="27" hidden="1"/>
    <cellStyle name="Bad 2" xfId="385" xr:uid="{00000000-0005-0000-0000-000073000000}"/>
    <cellStyle name="Bad 3" xfId="244" xr:uid="{00000000-0005-0000-0000-000074000000}"/>
    <cellStyle name="Balance Sheet" xfId="110" xr:uid="{00000000-0005-0000-0000-000075000000}"/>
    <cellStyle name="BalanceSheet" xfId="111" xr:uid="{00000000-0005-0000-0000-000076000000}"/>
    <cellStyle name="bch" xfId="6" xr:uid="{00000000-0005-0000-0000-000077000000}"/>
    <cellStyle name="bci" xfId="7" xr:uid="{00000000-0005-0000-0000-000078000000}"/>
    <cellStyle name="c_HardInc " xfId="8" xr:uid="{00000000-0005-0000-0000-000079000000}"/>
    <cellStyle name="Calc Currency (0)" xfId="112" xr:uid="{00000000-0005-0000-0000-00007A000000}"/>
    <cellStyle name="Calc Currency (0) 2" xfId="295" xr:uid="{00000000-0005-0000-0000-00007B000000}"/>
    <cellStyle name="Calc Currency (0) 2 2" xfId="799" xr:uid="{00000000-0005-0000-0000-00007C000000}"/>
    <cellStyle name="Calc Currency (0) 2 2 2" xfId="884" xr:uid="{00000000-0005-0000-0000-00007D000000}"/>
    <cellStyle name="Calc Currency (0) 2 3" xfId="883" xr:uid="{00000000-0005-0000-0000-00007E000000}"/>
    <cellStyle name="Calc Currency (0) 3" xfId="800" xr:uid="{00000000-0005-0000-0000-00007F000000}"/>
    <cellStyle name="Calc Currency (0) 3 2" xfId="801" xr:uid="{00000000-0005-0000-0000-000080000000}"/>
    <cellStyle name="Calc Currency (0) 3 2 2" xfId="886" xr:uid="{00000000-0005-0000-0000-000081000000}"/>
    <cellStyle name="Calc Currency (0) 3 3" xfId="885" xr:uid="{00000000-0005-0000-0000-000082000000}"/>
    <cellStyle name="Calc Currency (0) 4" xfId="802" xr:uid="{00000000-0005-0000-0000-000083000000}"/>
    <cellStyle name="Calc Currency (0) 4 2" xfId="887" xr:uid="{00000000-0005-0000-0000-000084000000}"/>
    <cellStyle name="Calc Currency (0) 5" xfId="803" xr:uid="{00000000-0005-0000-0000-000085000000}"/>
    <cellStyle name="Calc Currency (0) 5 2" xfId="888" xr:uid="{00000000-0005-0000-0000-000086000000}"/>
    <cellStyle name="Calc Currency (0) 6" xfId="804" xr:uid="{00000000-0005-0000-0000-000087000000}"/>
    <cellStyle name="Calc Currency (0) 6 2" xfId="889" xr:uid="{00000000-0005-0000-0000-000088000000}"/>
    <cellStyle name="Calc Currency (0) 7" xfId="805" xr:uid="{00000000-0005-0000-0000-000089000000}"/>
    <cellStyle name="Calc Currency (0) 7 2" xfId="890" xr:uid="{00000000-0005-0000-0000-00008A000000}"/>
    <cellStyle name="Calc Currency (0) 8" xfId="806" xr:uid="{00000000-0005-0000-0000-00008B000000}"/>
    <cellStyle name="Calc Currency (0) 8 2" xfId="891" xr:uid="{00000000-0005-0000-0000-00008C000000}"/>
    <cellStyle name="Calc Currency (2)" xfId="113" xr:uid="{00000000-0005-0000-0000-00008D000000}"/>
    <cellStyle name="Calc Currency (2) 2" xfId="543" xr:uid="{00000000-0005-0000-0000-00008E000000}"/>
    <cellStyle name="Calc Currency (2) 3" xfId="613" xr:uid="{00000000-0005-0000-0000-00008F000000}"/>
    <cellStyle name="Calc Currency (2) 3 2" xfId="807" xr:uid="{00000000-0005-0000-0000-000090000000}"/>
    <cellStyle name="Calc Percent (0)" xfId="114" xr:uid="{00000000-0005-0000-0000-000091000000}"/>
    <cellStyle name="Calc Percent (0) 2" xfId="544" xr:uid="{00000000-0005-0000-0000-000092000000}"/>
    <cellStyle name="Calc Percent (0) 3" xfId="614" xr:uid="{00000000-0005-0000-0000-000093000000}"/>
    <cellStyle name="Calc Percent (0) 3 2" xfId="808" xr:uid="{00000000-0005-0000-0000-000094000000}"/>
    <cellStyle name="Calc Percent (1)" xfId="115" xr:uid="{00000000-0005-0000-0000-000095000000}"/>
    <cellStyle name="Calc Percent (1) 2" xfId="545" xr:uid="{00000000-0005-0000-0000-000096000000}"/>
    <cellStyle name="Calc Percent (1) 3" xfId="615" xr:uid="{00000000-0005-0000-0000-000097000000}"/>
    <cellStyle name="Calc Percent (1) 3 2" xfId="810" xr:uid="{00000000-0005-0000-0000-000098000000}"/>
    <cellStyle name="Calc Percent (2)" xfId="116" xr:uid="{00000000-0005-0000-0000-000099000000}"/>
    <cellStyle name="Calc Percent (2) 2" xfId="546" xr:uid="{00000000-0005-0000-0000-00009A000000}"/>
    <cellStyle name="Calc Percent (2) 3" xfId="616" xr:uid="{00000000-0005-0000-0000-00009B000000}"/>
    <cellStyle name="Calc Percent (2) 3 2" xfId="811" xr:uid="{00000000-0005-0000-0000-00009C000000}"/>
    <cellStyle name="Calc Units (0)" xfId="117" xr:uid="{00000000-0005-0000-0000-00009D000000}"/>
    <cellStyle name="Calc Units (0) 2" xfId="547" xr:uid="{00000000-0005-0000-0000-00009E000000}"/>
    <cellStyle name="Calc Units (0) 3" xfId="617" xr:uid="{00000000-0005-0000-0000-00009F000000}"/>
    <cellStyle name="Calc Units (0) 3 2" xfId="812" xr:uid="{00000000-0005-0000-0000-0000A0000000}"/>
    <cellStyle name="Calc Units (1)" xfId="118" xr:uid="{00000000-0005-0000-0000-0000A1000000}"/>
    <cellStyle name="Calc Units (1) 2" xfId="548" xr:uid="{00000000-0005-0000-0000-0000A2000000}"/>
    <cellStyle name="Calc Units (1) 3" xfId="618" xr:uid="{00000000-0005-0000-0000-0000A3000000}"/>
    <cellStyle name="Calc Units (1) 3 2" xfId="813" xr:uid="{00000000-0005-0000-0000-0000A4000000}"/>
    <cellStyle name="Calc Units (2)" xfId="119" xr:uid="{00000000-0005-0000-0000-0000A5000000}"/>
    <cellStyle name="Calc Units (2) 2" xfId="549" xr:uid="{00000000-0005-0000-0000-0000A6000000}"/>
    <cellStyle name="Calc Units (2) 3" xfId="619" xr:uid="{00000000-0005-0000-0000-0000A7000000}"/>
    <cellStyle name="Calc Units (2) 3 2" xfId="814" xr:uid="{00000000-0005-0000-0000-0000A8000000}"/>
    <cellStyle name="Calculation" xfId="77" builtinId="22" hidden="1"/>
    <cellStyle name="Calculation 2" xfId="386" xr:uid="{00000000-0005-0000-0000-0000AA000000}"/>
    <cellStyle name="Calculation 3" xfId="247" xr:uid="{00000000-0005-0000-0000-0000AB000000}"/>
    <cellStyle name="CashFlow" xfId="120" xr:uid="{00000000-0005-0000-0000-0000AC000000}"/>
    <cellStyle name="cell" xfId="9" xr:uid="{00000000-0005-0000-0000-0000AD000000}"/>
    <cellStyle name="ch" xfId="10" xr:uid="{00000000-0005-0000-0000-0000AE000000}"/>
    <cellStyle name="Check Cell" xfId="79" builtinId="23" hidden="1"/>
    <cellStyle name="Check Cell 2" xfId="387" xr:uid="{00000000-0005-0000-0000-0000B0000000}"/>
    <cellStyle name="Check Cell 3" xfId="248" xr:uid="{00000000-0005-0000-0000-0000B1000000}"/>
    <cellStyle name="ColHeading" xfId="11" xr:uid="{00000000-0005-0000-0000-0000B2000000}"/>
    <cellStyle name="Comma" xfId="12" builtinId="3"/>
    <cellStyle name="Comma  - Style1" xfId="121" xr:uid="{00000000-0005-0000-0000-0000B4000000}"/>
    <cellStyle name="Comma [00]" xfId="122" xr:uid="{00000000-0005-0000-0000-0000B5000000}"/>
    <cellStyle name="Comma [00] 2" xfId="550" xr:uid="{00000000-0005-0000-0000-0000B6000000}"/>
    <cellStyle name="Comma [00] 3" xfId="620" xr:uid="{00000000-0005-0000-0000-0000B7000000}"/>
    <cellStyle name="Comma [00] 3 2" xfId="816" xr:uid="{00000000-0005-0000-0000-0000B8000000}"/>
    <cellStyle name="Comma 10" xfId="13" xr:uid="{00000000-0005-0000-0000-0000B9000000}"/>
    <cellStyle name="Comma 10 2" xfId="505" xr:uid="{00000000-0005-0000-0000-0000BA000000}"/>
    <cellStyle name="Comma 10 3" xfId="447" xr:uid="{00000000-0005-0000-0000-0000BB000000}"/>
    <cellStyle name="Comma 11" xfId="354" xr:uid="{00000000-0005-0000-0000-0000BC000000}"/>
    <cellStyle name="Comma 11 2" xfId="506" xr:uid="{00000000-0005-0000-0000-0000BD000000}"/>
    <cellStyle name="Comma 11 2 2" xfId="1152" xr:uid="{00000000-0005-0000-0000-0000BE000000}"/>
    <cellStyle name="Comma 11 2 3" xfId="892" xr:uid="{00000000-0005-0000-0000-0000BF000000}"/>
    <cellStyle name="Comma 11 3" xfId="448" xr:uid="{00000000-0005-0000-0000-0000C0000000}"/>
    <cellStyle name="Comma 11 3 2" xfId="1112" xr:uid="{00000000-0005-0000-0000-0000C1000000}"/>
    <cellStyle name="Comma 11 3 3" xfId="817" xr:uid="{00000000-0005-0000-0000-0000C2000000}"/>
    <cellStyle name="Comma 12" xfId="388" xr:uid="{00000000-0005-0000-0000-0000C3000000}"/>
    <cellStyle name="Comma 12 2" xfId="508" xr:uid="{00000000-0005-0000-0000-0000C4000000}"/>
    <cellStyle name="Comma 12 3" xfId="449" xr:uid="{00000000-0005-0000-0000-0000C5000000}"/>
    <cellStyle name="Comma 13" xfId="399" xr:uid="{00000000-0005-0000-0000-0000C6000000}"/>
    <cellStyle name="Comma 13 2" xfId="509" xr:uid="{00000000-0005-0000-0000-0000C7000000}"/>
    <cellStyle name="Comma 13 2 2" xfId="1154" xr:uid="{00000000-0005-0000-0000-0000C8000000}"/>
    <cellStyle name="Comma 13 2 3" xfId="893" xr:uid="{00000000-0005-0000-0000-0000C9000000}"/>
    <cellStyle name="Comma 13 3" xfId="446" xr:uid="{00000000-0005-0000-0000-0000CA000000}"/>
    <cellStyle name="Comma 14" xfId="357" xr:uid="{00000000-0005-0000-0000-0000CB000000}"/>
    <cellStyle name="Comma 14 2" xfId="894" xr:uid="{00000000-0005-0000-0000-0000CC000000}"/>
    <cellStyle name="Comma 14 3" xfId="818" xr:uid="{00000000-0005-0000-0000-0000CD000000}"/>
    <cellStyle name="Comma 15" xfId="423" xr:uid="{00000000-0005-0000-0000-0000CE000000}"/>
    <cellStyle name="Comma 16" xfId="249" xr:uid="{00000000-0005-0000-0000-0000CF000000}"/>
    <cellStyle name="Comma 17" xfId="255" xr:uid="{00000000-0005-0000-0000-0000D0000000}"/>
    <cellStyle name="Comma 18" xfId="428" xr:uid="{00000000-0005-0000-0000-0000D1000000}"/>
    <cellStyle name="Comma 19" xfId="433" xr:uid="{00000000-0005-0000-0000-0000D2000000}"/>
    <cellStyle name="Comma 2" xfId="14" xr:uid="{00000000-0005-0000-0000-0000D3000000}"/>
    <cellStyle name="Comma 2 2" xfId="124" xr:uid="{00000000-0005-0000-0000-0000D4000000}"/>
    <cellStyle name="Comma 2 2 2" xfId="297" xr:uid="{00000000-0005-0000-0000-0000D5000000}"/>
    <cellStyle name="Comma 2 2 3" xfId="551" xr:uid="{00000000-0005-0000-0000-0000D6000000}"/>
    <cellStyle name="Comma 2 2 3 2" xfId="947" xr:uid="{00000000-0005-0000-0000-0000D7000000}"/>
    <cellStyle name="Comma 2 2 3 2 2" xfId="975" xr:uid="{00000000-0005-0000-0000-0000D8000000}"/>
    <cellStyle name="Comma 2 2 3 3" xfId="965" xr:uid="{00000000-0005-0000-0000-0000D9000000}"/>
    <cellStyle name="Comma 2 2 3 4" xfId="957" xr:uid="{00000000-0005-0000-0000-0000DA000000}"/>
    <cellStyle name="Comma 2 3" xfId="296" xr:uid="{00000000-0005-0000-0000-0000DB000000}"/>
    <cellStyle name="Comma 2 4" xfId="552" xr:uid="{00000000-0005-0000-0000-0000DC000000}"/>
    <cellStyle name="Comma 2 5" xfId="946" xr:uid="{00000000-0005-0000-0000-0000DD000000}"/>
    <cellStyle name="Comma 2 5 2" xfId="974" xr:uid="{00000000-0005-0000-0000-0000DE000000}"/>
    <cellStyle name="Comma 2 6" xfId="964" xr:uid="{00000000-0005-0000-0000-0000DF000000}"/>
    <cellStyle name="Comma 2 7" xfId="956" xr:uid="{00000000-0005-0000-0000-0000E0000000}"/>
    <cellStyle name="Comma 2 8" xfId="123" xr:uid="{00000000-0005-0000-0000-0000E1000000}"/>
    <cellStyle name="Comma 20" xfId="434" xr:uid="{00000000-0005-0000-0000-0000E2000000}"/>
    <cellStyle name="Comma 21" xfId="441" xr:uid="{00000000-0005-0000-0000-0000E3000000}"/>
    <cellStyle name="Comma 22" xfId="538" xr:uid="{00000000-0005-0000-0000-0000E4000000}"/>
    <cellStyle name="Comma 23" xfId="608" xr:uid="{00000000-0005-0000-0000-0000E5000000}"/>
    <cellStyle name="Comma 24" xfId="611" xr:uid="{00000000-0005-0000-0000-0000E6000000}"/>
    <cellStyle name="Comma 25" xfId="660" xr:uid="{00000000-0005-0000-0000-0000E7000000}"/>
    <cellStyle name="Comma 26" xfId="663" xr:uid="{00000000-0005-0000-0000-0000E8000000}"/>
    <cellStyle name="Comma 27" xfId="792" xr:uid="{00000000-0005-0000-0000-0000E9000000}"/>
    <cellStyle name="Comma 28" xfId="793" xr:uid="{00000000-0005-0000-0000-0000EA000000}"/>
    <cellStyle name="Comma 29" xfId="795" xr:uid="{00000000-0005-0000-0000-0000EB000000}"/>
    <cellStyle name="Comma 3" xfId="322" xr:uid="{00000000-0005-0000-0000-0000EC000000}"/>
    <cellStyle name="Comma 3 2" xfId="493" xr:uid="{00000000-0005-0000-0000-0000ED000000}"/>
    <cellStyle name="Comma 3 2 2" xfId="895" xr:uid="{00000000-0005-0000-0000-0000EE000000}"/>
    <cellStyle name="Comma 3 2 3" xfId="1142" xr:uid="{00000000-0005-0000-0000-0000EF000000}"/>
    <cellStyle name="Comma 3 2 4" xfId="553" xr:uid="{00000000-0005-0000-0000-0000F0000000}"/>
    <cellStyle name="Comma 3 3" xfId="450" xr:uid="{00000000-0005-0000-0000-0000F1000000}"/>
    <cellStyle name="Comma 3 3 2" xfId="1113" xr:uid="{00000000-0005-0000-0000-0000F2000000}"/>
    <cellStyle name="Comma 3 3 3" xfId="650" xr:uid="{00000000-0005-0000-0000-0000F3000000}"/>
    <cellStyle name="Comma 3 4" xfId="984" xr:uid="{00000000-0005-0000-0000-0000F4000000}"/>
    <cellStyle name="Comma 30" xfId="815" xr:uid="{00000000-0005-0000-0000-0000F5000000}"/>
    <cellStyle name="Comma 31" xfId="976" xr:uid="{00000000-0005-0000-0000-0000F6000000}"/>
    <cellStyle name="Comma 32" xfId="978" xr:uid="{00000000-0005-0000-0000-0000F7000000}"/>
    <cellStyle name="Comma 33" xfId="981" xr:uid="{00000000-0005-0000-0000-0000F8000000}"/>
    <cellStyle name="Comma 34" xfId="986" xr:uid="{00000000-0005-0000-0000-0000F9000000}"/>
    <cellStyle name="Comma 35" xfId="994" xr:uid="{00000000-0005-0000-0000-0000FA000000}"/>
    <cellStyle name="Comma 36" xfId="997" xr:uid="{00000000-0005-0000-0000-0000FB000000}"/>
    <cellStyle name="Comma 37" xfId="999" xr:uid="{00000000-0005-0000-0000-0000FC000000}"/>
    <cellStyle name="Comma 38" xfId="1002" xr:uid="{00000000-0005-0000-0000-0000FD000000}"/>
    <cellStyle name="Comma 39" xfId="1010" xr:uid="{00000000-0005-0000-0000-0000FE000000}"/>
    <cellStyle name="Comma 4" xfId="331" xr:uid="{00000000-0005-0000-0000-0000FF000000}"/>
    <cellStyle name="Comma 4 2" xfId="498" xr:uid="{00000000-0005-0000-0000-000000010000}"/>
    <cellStyle name="Comma 4 2 2" xfId="1146" xr:uid="{00000000-0005-0000-0000-000001010000}"/>
    <cellStyle name="Comma 4 2 3" xfId="555" xr:uid="{00000000-0005-0000-0000-000002010000}"/>
    <cellStyle name="Comma 4 3" xfId="451" xr:uid="{00000000-0005-0000-0000-000003010000}"/>
    <cellStyle name="Comma 4 3 2" xfId="1114" xr:uid="{00000000-0005-0000-0000-000004010000}"/>
    <cellStyle name="Comma 4 3 3" xfId="554" xr:uid="{00000000-0005-0000-0000-000005010000}"/>
    <cellStyle name="Comma 4 4" xfId="653" xr:uid="{00000000-0005-0000-0000-000006010000}"/>
    <cellStyle name="Comma 40" xfId="1023" xr:uid="{00000000-0005-0000-0000-000007010000}"/>
    <cellStyle name="Comma 41" xfId="1011" xr:uid="{00000000-0005-0000-0000-000008010000}"/>
    <cellStyle name="Comma 42" xfId="1014" xr:uid="{00000000-0005-0000-0000-000009010000}"/>
    <cellStyle name="Comma 43" xfId="1021" xr:uid="{00000000-0005-0000-0000-00000A010000}"/>
    <cellStyle name="Comma 44" xfId="1039" xr:uid="{00000000-0005-0000-0000-00000B010000}"/>
    <cellStyle name="Comma 45" xfId="1032" xr:uid="{00000000-0005-0000-0000-00000C010000}"/>
    <cellStyle name="Comma 46" xfId="1026" xr:uid="{00000000-0005-0000-0000-00000D010000}"/>
    <cellStyle name="Comma 47" xfId="1031" xr:uid="{00000000-0005-0000-0000-00000E010000}"/>
    <cellStyle name="Comma 48" xfId="1024" xr:uid="{00000000-0005-0000-0000-00000F010000}"/>
    <cellStyle name="Comma 49" xfId="1015" xr:uid="{00000000-0005-0000-0000-000010010000}"/>
    <cellStyle name="Comma 5" xfId="318" xr:uid="{00000000-0005-0000-0000-000011010000}"/>
    <cellStyle name="Comma 5 2" xfId="489" xr:uid="{00000000-0005-0000-0000-000012010000}"/>
    <cellStyle name="Comma 5 3" xfId="452" xr:uid="{00000000-0005-0000-0000-000013010000}"/>
    <cellStyle name="Comma 50" xfId="1013" xr:uid="{00000000-0005-0000-0000-000014010000}"/>
    <cellStyle name="Comma 51" xfId="1037" xr:uid="{00000000-0005-0000-0000-000015010000}"/>
    <cellStyle name="Comma 52" xfId="1033" xr:uid="{00000000-0005-0000-0000-000016010000}"/>
    <cellStyle name="Comma 53" xfId="1035" xr:uid="{00000000-0005-0000-0000-000017010000}"/>
    <cellStyle name="Comma 54" xfId="1036" xr:uid="{00000000-0005-0000-0000-000018010000}"/>
    <cellStyle name="Comma 55" xfId="1042" xr:uid="{00000000-0005-0000-0000-000019010000}"/>
    <cellStyle name="Comma 56" xfId="1046" xr:uid="{00000000-0005-0000-0000-00001A010000}"/>
    <cellStyle name="Comma 57" xfId="1049" xr:uid="{00000000-0005-0000-0000-00001B010000}"/>
    <cellStyle name="Comma 58" xfId="1041" xr:uid="{00000000-0005-0000-0000-00001C010000}"/>
    <cellStyle name="Comma 59" xfId="1053" xr:uid="{00000000-0005-0000-0000-00001D010000}"/>
    <cellStyle name="Comma 6" xfId="332" xr:uid="{00000000-0005-0000-0000-00001E010000}"/>
    <cellStyle name="Comma 6 2" xfId="499" xr:uid="{00000000-0005-0000-0000-00001F010000}"/>
    <cellStyle name="Comma 6 3" xfId="453" xr:uid="{00000000-0005-0000-0000-000020010000}"/>
    <cellStyle name="Comma 60" xfId="1052" xr:uid="{00000000-0005-0000-0000-000021010000}"/>
    <cellStyle name="Comma 61" xfId="1054" xr:uid="{00000000-0005-0000-0000-000022010000}"/>
    <cellStyle name="Comma 62" xfId="1058" xr:uid="{00000000-0005-0000-0000-000023010000}"/>
    <cellStyle name="Comma 63" xfId="1062" xr:uid="{00000000-0005-0000-0000-000024010000}"/>
    <cellStyle name="Comma 64" xfId="1063" xr:uid="{00000000-0005-0000-0000-000025010000}"/>
    <cellStyle name="Comma 65" xfId="1066" xr:uid="{00000000-0005-0000-0000-000026010000}"/>
    <cellStyle name="Comma 66" xfId="1070" xr:uid="{00000000-0005-0000-0000-000027010000}"/>
    <cellStyle name="Comma 67" xfId="1074" xr:uid="{00000000-0005-0000-0000-000028010000}"/>
    <cellStyle name="Comma 68" xfId="1082" xr:uid="{00000000-0005-0000-0000-000029010000}"/>
    <cellStyle name="Comma 69" xfId="1076" xr:uid="{00000000-0005-0000-0000-00002A010000}"/>
    <cellStyle name="Comma 7" xfId="317" xr:uid="{00000000-0005-0000-0000-00002B010000}"/>
    <cellStyle name="Comma 7 2" xfId="488" xr:uid="{00000000-0005-0000-0000-00002C010000}"/>
    <cellStyle name="Comma 7 3" xfId="454" xr:uid="{00000000-0005-0000-0000-00002D010000}"/>
    <cellStyle name="Comma 70" xfId="1079" xr:uid="{00000000-0005-0000-0000-00002E010000}"/>
    <cellStyle name="Comma 71" xfId="1084" xr:uid="{00000000-0005-0000-0000-00002F010000}"/>
    <cellStyle name="Comma 72" xfId="1087" xr:uid="{00000000-0005-0000-0000-000030010000}"/>
    <cellStyle name="Comma 73" xfId="1168" xr:uid="{00000000-0005-0000-0000-000031010000}"/>
    <cellStyle name="Comma 74" xfId="1171" xr:uid="{00000000-0005-0000-0000-000032010000}"/>
    <cellStyle name="Comma 75" xfId="1174" xr:uid="{00000000-0005-0000-0000-000033010000}"/>
    <cellStyle name="Comma 76" xfId="1177" xr:uid="{00000000-0005-0000-0000-000034010000}"/>
    <cellStyle name="Comma 77" xfId="1180" xr:uid="{00000000-0005-0000-0000-000035010000}"/>
    <cellStyle name="Comma 78" xfId="1183" xr:uid="{00000000-0005-0000-0000-000036010000}"/>
    <cellStyle name="Comma 79" xfId="1186" xr:uid="{00000000-0005-0000-0000-000037010000}"/>
    <cellStyle name="Comma 8" xfId="333" xr:uid="{00000000-0005-0000-0000-000038010000}"/>
    <cellStyle name="Comma 8 2" xfId="500" xr:uid="{00000000-0005-0000-0000-000039010000}"/>
    <cellStyle name="Comma 8 2 2" xfId="1147" xr:uid="{00000000-0005-0000-0000-00003A010000}"/>
    <cellStyle name="Comma 8 2 3" xfId="896" xr:uid="{00000000-0005-0000-0000-00003B010000}"/>
    <cellStyle name="Comma 8 3" xfId="455" xr:uid="{00000000-0005-0000-0000-00003C010000}"/>
    <cellStyle name="Comma 8 3 2" xfId="1115" xr:uid="{00000000-0005-0000-0000-00003D010000}"/>
    <cellStyle name="Comma 8 3 3" xfId="819" xr:uid="{00000000-0005-0000-0000-00003E010000}"/>
    <cellStyle name="Comma 80" xfId="1189" xr:uid="{00000000-0005-0000-0000-00003F010000}"/>
    <cellStyle name="Comma 81" xfId="1192" xr:uid="{00000000-0005-0000-0000-000040010000}"/>
    <cellStyle name="Comma 82" xfId="1195" xr:uid="{00000000-0005-0000-0000-000041010000}"/>
    <cellStyle name="Comma 83" xfId="1198" xr:uid="{00000000-0005-0000-0000-000042010000}"/>
    <cellStyle name="Comma 84" xfId="1201" xr:uid="{00000000-0005-0000-0000-000043010000}"/>
    <cellStyle name="Comma 85" xfId="1204" xr:uid="{00000000-0005-0000-0000-000044010000}"/>
    <cellStyle name="Comma 86" xfId="1225" xr:uid="{00000000-0005-0000-0000-000045010000}"/>
    <cellStyle name="Comma 87" xfId="1237" xr:uid="{00000000-0005-0000-0000-000046010000}"/>
    <cellStyle name="Comma 88" xfId="1236" xr:uid="{00000000-0005-0000-0000-000047010000}"/>
    <cellStyle name="Comma 9" xfId="347" xr:uid="{00000000-0005-0000-0000-000048010000}"/>
    <cellStyle name="Comma 9 2" xfId="503" xr:uid="{00000000-0005-0000-0000-000049010000}"/>
    <cellStyle name="Comma 9 2 2" xfId="1150" xr:uid="{00000000-0005-0000-0000-00004A010000}"/>
    <cellStyle name="Comma 9 2 3" xfId="897" xr:uid="{00000000-0005-0000-0000-00004B010000}"/>
    <cellStyle name="Comma 9 3" xfId="456" xr:uid="{00000000-0005-0000-0000-00004C010000}"/>
    <cellStyle name="Comma 9 3 2" xfId="1116" xr:uid="{00000000-0005-0000-0000-00004D010000}"/>
    <cellStyle name="Comma 9 3 3" xfId="820" xr:uid="{00000000-0005-0000-0000-00004E010000}"/>
    <cellStyle name="Company" xfId="15" xr:uid="{00000000-0005-0000-0000-00004F010000}"/>
    <cellStyle name="Copied" xfId="125" xr:uid="{00000000-0005-0000-0000-000050010000}"/>
    <cellStyle name="CurRatio" xfId="16" xr:uid="{00000000-0005-0000-0000-000051010000}"/>
    <cellStyle name="Curren - Style3" xfId="126" xr:uid="{00000000-0005-0000-0000-000052010000}"/>
    <cellStyle name="Curren - Style4" xfId="127" xr:uid="{00000000-0005-0000-0000-000053010000}"/>
    <cellStyle name="Currency" xfId="17" builtinId="4"/>
    <cellStyle name="Currency [00]" xfId="128" xr:uid="{00000000-0005-0000-0000-000055010000}"/>
    <cellStyle name="Currency [00] 2" xfId="556" xr:uid="{00000000-0005-0000-0000-000056010000}"/>
    <cellStyle name="Currency [00] 3" xfId="621" xr:uid="{00000000-0005-0000-0000-000057010000}"/>
    <cellStyle name="Currency [00] 3 2" xfId="821" xr:uid="{00000000-0005-0000-0000-000058010000}"/>
    <cellStyle name="Currency 10" xfId="348" xr:uid="{00000000-0005-0000-0000-000059010000}"/>
    <cellStyle name="Currency 11" xfId="349" xr:uid="{00000000-0005-0000-0000-00005A010000}"/>
    <cellStyle name="Currency 12" xfId="355" xr:uid="{00000000-0005-0000-0000-00005B010000}"/>
    <cellStyle name="Currency 13" xfId="389" xr:uid="{00000000-0005-0000-0000-00005C010000}"/>
    <cellStyle name="Currency 14" xfId="398" xr:uid="{00000000-0005-0000-0000-00005D010000}"/>
    <cellStyle name="Currency 15" xfId="415" xr:uid="{00000000-0005-0000-0000-00005E010000}"/>
    <cellStyle name="Currency 16" xfId="424" xr:uid="{00000000-0005-0000-0000-00005F010000}"/>
    <cellStyle name="Currency 17" xfId="250" xr:uid="{00000000-0005-0000-0000-000060010000}"/>
    <cellStyle name="Currency 18" xfId="252" xr:uid="{00000000-0005-0000-0000-000061010000}"/>
    <cellStyle name="Currency 19" xfId="426" xr:uid="{00000000-0005-0000-0000-000062010000}"/>
    <cellStyle name="Currency 2" xfId="18" xr:uid="{00000000-0005-0000-0000-000063010000}"/>
    <cellStyle name="Currency 2 2" xfId="19" xr:uid="{00000000-0005-0000-0000-000064010000}"/>
    <cellStyle name="Currency 2 3" xfId="458" xr:uid="{00000000-0005-0000-0000-000065010000}"/>
    <cellStyle name="Currency 2 3 2" xfId="1118" xr:uid="{00000000-0005-0000-0000-000066010000}"/>
    <cellStyle name="Currency 2 3 3" xfId="557" xr:uid="{00000000-0005-0000-0000-000067010000}"/>
    <cellStyle name="Currency 2 4" xfId="459" xr:uid="{00000000-0005-0000-0000-000068010000}"/>
    <cellStyle name="Currency 2 4 2" xfId="1119" xr:uid="{00000000-0005-0000-0000-000069010000}"/>
    <cellStyle name="Currency 2 4 3" xfId="622" xr:uid="{00000000-0005-0000-0000-00006A010000}"/>
    <cellStyle name="Currency 20" xfId="219" xr:uid="{00000000-0005-0000-0000-00006B010000}"/>
    <cellStyle name="Currency 21" xfId="435" xr:uid="{00000000-0005-0000-0000-00006C010000}"/>
    <cellStyle name="Currency 22" xfId="442" xr:uid="{00000000-0005-0000-0000-00006D010000}"/>
    <cellStyle name="Currency 23" xfId="539" xr:uid="{00000000-0005-0000-0000-00006E010000}"/>
    <cellStyle name="Currency 24" xfId="609" xr:uid="{00000000-0005-0000-0000-00006F010000}"/>
    <cellStyle name="Currency 25" xfId="610" xr:uid="{00000000-0005-0000-0000-000070010000}"/>
    <cellStyle name="Currency 26" xfId="662" xr:uid="{00000000-0005-0000-0000-000071010000}"/>
    <cellStyle name="Currency 27" xfId="796" xr:uid="{00000000-0005-0000-0000-000072010000}"/>
    <cellStyle name="Currency 28" xfId="979" xr:uid="{00000000-0005-0000-0000-000073010000}"/>
    <cellStyle name="Currency 29" xfId="982" xr:uid="{00000000-0005-0000-0000-000074010000}"/>
    <cellStyle name="Currency 3" xfId="129" xr:uid="{00000000-0005-0000-0000-000075010000}"/>
    <cellStyle name="Currency 3 2" xfId="898" xr:uid="{00000000-0005-0000-0000-000076010000}"/>
    <cellStyle name="Currency 30" xfId="988" xr:uid="{00000000-0005-0000-0000-000077010000}"/>
    <cellStyle name="Currency 31" xfId="989" xr:uid="{00000000-0005-0000-0000-000078010000}"/>
    <cellStyle name="Currency 32" xfId="993" xr:uid="{00000000-0005-0000-0000-000079010000}"/>
    <cellStyle name="Currency 33" xfId="996" xr:uid="{00000000-0005-0000-0000-00007A010000}"/>
    <cellStyle name="Currency 34" xfId="1003" xr:uid="{00000000-0005-0000-0000-00007B010000}"/>
    <cellStyle name="Currency 35" xfId="1012" xr:uid="{00000000-0005-0000-0000-00007C010000}"/>
    <cellStyle name="Currency 36" xfId="1027" xr:uid="{00000000-0005-0000-0000-00007D010000}"/>
    <cellStyle name="Currency 37" xfId="1038" xr:uid="{00000000-0005-0000-0000-00007E010000}"/>
    <cellStyle name="Currency 38" xfId="1017" xr:uid="{00000000-0005-0000-0000-00007F010000}"/>
    <cellStyle name="Currency 39" xfId="1030" xr:uid="{00000000-0005-0000-0000-000080010000}"/>
    <cellStyle name="Currency 4" xfId="325" xr:uid="{00000000-0005-0000-0000-000081010000}"/>
    <cellStyle name="Currency 4 2" xfId="494" xr:uid="{00000000-0005-0000-0000-000082010000}"/>
    <cellStyle name="Currency 4 2 2" xfId="1143" xr:uid="{00000000-0005-0000-0000-000083010000}"/>
    <cellStyle name="Currency 4 2 3" xfId="558" xr:uid="{00000000-0005-0000-0000-000084010000}"/>
    <cellStyle name="Currency 4 3" xfId="457" xr:uid="{00000000-0005-0000-0000-000085010000}"/>
    <cellStyle name="Currency 4 3 2" xfId="1117" xr:uid="{00000000-0005-0000-0000-000086010000}"/>
    <cellStyle name="Currency 4 3 3" xfId="651" xr:uid="{00000000-0005-0000-0000-000087010000}"/>
    <cellStyle name="Currency 40" xfId="1028" xr:uid="{00000000-0005-0000-0000-000088010000}"/>
    <cellStyle name="Currency 41" xfId="1019" xr:uid="{00000000-0005-0000-0000-000089010000}"/>
    <cellStyle name="Currency 42" xfId="1020" xr:uid="{00000000-0005-0000-0000-00008A010000}"/>
    <cellStyle name="Currency 43" xfId="1018" xr:uid="{00000000-0005-0000-0000-00008B010000}"/>
    <cellStyle name="Currency 44" xfId="1034" xr:uid="{00000000-0005-0000-0000-00008C010000}"/>
    <cellStyle name="Currency 45" xfId="1040" xr:uid="{00000000-0005-0000-0000-00008D010000}"/>
    <cellStyle name="Currency 46" xfId="1022" xr:uid="{00000000-0005-0000-0000-00008E010000}"/>
    <cellStyle name="Currency 47" xfId="1016" xr:uid="{00000000-0005-0000-0000-00008F010000}"/>
    <cellStyle name="Currency 48" xfId="1025" xr:uid="{00000000-0005-0000-0000-000090010000}"/>
    <cellStyle name="Currency 49" xfId="1043" xr:uid="{00000000-0005-0000-0000-000091010000}"/>
    <cellStyle name="Currency 5" xfId="327" xr:uid="{00000000-0005-0000-0000-000092010000}"/>
    <cellStyle name="Currency 50" xfId="1048" xr:uid="{00000000-0005-0000-0000-000093010000}"/>
    <cellStyle name="Currency 51" xfId="1051" xr:uid="{00000000-0005-0000-0000-000094010000}"/>
    <cellStyle name="Currency 52" xfId="1044" xr:uid="{00000000-0005-0000-0000-000095010000}"/>
    <cellStyle name="Currency 53" xfId="1050" xr:uid="{00000000-0005-0000-0000-000096010000}"/>
    <cellStyle name="Currency 54" xfId="1047" xr:uid="{00000000-0005-0000-0000-000097010000}"/>
    <cellStyle name="Currency 55" xfId="1055" xr:uid="{00000000-0005-0000-0000-000098010000}"/>
    <cellStyle name="Currency 56" xfId="1057" xr:uid="{00000000-0005-0000-0000-000099010000}"/>
    <cellStyle name="Currency 57" xfId="1061" xr:uid="{00000000-0005-0000-0000-00009A010000}"/>
    <cellStyle name="Currency 58" xfId="1064" xr:uid="{00000000-0005-0000-0000-00009B010000}"/>
    <cellStyle name="Currency 59" xfId="1067" xr:uid="{00000000-0005-0000-0000-00009C010000}"/>
    <cellStyle name="Currency 6" xfId="323" xr:uid="{00000000-0005-0000-0000-00009D010000}"/>
    <cellStyle name="Currency 60" xfId="1071" xr:uid="{00000000-0005-0000-0000-00009E010000}"/>
    <cellStyle name="Currency 61" xfId="1081" xr:uid="{00000000-0005-0000-0000-00009F010000}"/>
    <cellStyle name="Currency 62" xfId="1083" xr:uid="{00000000-0005-0000-0000-0000A0010000}"/>
    <cellStyle name="Currency 63" xfId="1069" xr:uid="{00000000-0005-0000-0000-0000A1010000}"/>
    <cellStyle name="Currency 64" xfId="1075" xr:uid="{00000000-0005-0000-0000-0000A2010000}"/>
    <cellStyle name="Currency 65" xfId="1086" xr:uid="{00000000-0005-0000-0000-0000A3010000}"/>
    <cellStyle name="Currency 66" xfId="1088" xr:uid="{00000000-0005-0000-0000-0000A4010000}"/>
    <cellStyle name="Currency 67" xfId="1169" xr:uid="{00000000-0005-0000-0000-0000A5010000}"/>
    <cellStyle name="Currency 68" xfId="1172" xr:uid="{00000000-0005-0000-0000-0000A6010000}"/>
    <cellStyle name="Currency 69" xfId="1175" xr:uid="{00000000-0005-0000-0000-0000A7010000}"/>
    <cellStyle name="Currency 7" xfId="335" xr:uid="{00000000-0005-0000-0000-0000A8010000}"/>
    <cellStyle name="Currency 70" xfId="1178" xr:uid="{00000000-0005-0000-0000-0000A9010000}"/>
    <cellStyle name="Currency 71" xfId="1181" xr:uid="{00000000-0005-0000-0000-0000AA010000}"/>
    <cellStyle name="Currency 72" xfId="1184" xr:uid="{00000000-0005-0000-0000-0000AB010000}"/>
    <cellStyle name="Currency 73" xfId="1187" xr:uid="{00000000-0005-0000-0000-0000AC010000}"/>
    <cellStyle name="Currency 74" xfId="1190" xr:uid="{00000000-0005-0000-0000-0000AD010000}"/>
    <cellStyle name="Currency 75" xfId="1193" xr:uid="{00000000-0005-0000-0000-0000AE010000}"/>
    <cellStyle name="Currency 76" xfId="1196" xr:uid="{00000000-0005-0000-0000-0000AF010000}"/>
    <cellStyle name="Currency 77" xfId="1199" xr:uid="{00000000-0005-0000-0000-0000B0010000}"/>
    <cellStyle name="Currency 78" xfId="1202" xr:uid="{00000000-0005-0000-0000-0000B1010000}"/>
    <cellStyle name="Currency 79" xfId="1205" xr:uid="{00000000-0005-0000-0000-0000B2010000}"/>
    <cellStyle name="Currency 8" xfId="324" xr:uid="{00000000-0005-0000-0000-0000B3010000}"/>
    <cellStyle name="Currency 9" xfId="326" xr:uid="{00000000-0005-0000-0000-0000B4010000}"/>
    <cellStyle name="CUS.Work.Area" xfId="20" xr:uid="{00000000-0005-0000-0000-0000B5010000}"/>
    <cellStyle name="dah" xfId="21" xr:uid="{00000000-0005-0000-0000-0000B6010000}"/>
    <cellStyle name="dan" xfId="22" xr:uid="{00000000-0005-0000-0000-0000B7010000}"/>
    <cellStyle name="Date Short" xfId="130" xr:uid="{00000000-0005-0000-0000-0000B8010000}"/>
    <cellStyle name="Dates" xfId="131" xr:uid="{00000000-0005-0000-0000-0000B9010000}"/>
    <cellStyle name="DateYear" xfId="132" xr:uid="{00000000-0005-0000-0000-0000BA010000}"/>
    <cellStyle name="Dezimal_Tabelle1" xfId="133" xr:uid="{00000000-0005-0000-0000-0000BB010000}"/>
    <cellStyle name="Dollar" xfId="134" xr:uid="{00000000-0005-0000-0000-0000BC010000}"/>
    <cellStyle name="Dollars" xfId="135" xr:uid="{00000000-0005-0000-0000-0000BD010000}"/>
    <cellStyle name="EA.com Performance Report" xfId="136" xr:uid="{00000000-0005-0000-0000-0000BE010000}"/>
    <cellStyle name="EA.com Performance Report 2" xfId="298" xr:uid="{00000000-0005-0000-0000-0000BF010000}"/>
    <cellStyle name="Enter Currency (0)" xfId="137" xr:uid="{00000000-0005-0000-0000-0000C0010000}"/>
    <cellStyle name="Enter Currency (0) 2" xfId="559" xr:uid="{00000000-0005-0000-0000-0000C1010000}"/>
    <cellStyle name="Enter Currency (0) 3" xfId="623" xr:uid="{00000000-0005-0000-0000-0000C2010000}"/>
    <cellStyle name="Enter Currency (0) 3 2" xfId="822" xr:uid="{00000000-0005-0000-0000-0000C3010000}"/>
    <cellStyle name="Enter Currency (2)" xfId="138" xr:uid="{00000000-0005-0000-0000-0000C4010000}"/>
    <cellStyle name="Enter Currency (2) 2" xfId="560" xr:uid="{00000000-0005-0000-0000-0000C5010000}"/>
    <cellStyle name="Enter Currency (2) 3" xfId="624" xr:uid="{00000000-0005-0000-0000-0000C6010000}"/>
    <cellStyle name="Enter Currency (2) 3 2" xfId="823" xr:uid="{00000000-0005-0000-0000-0000C7010000}"/>
    <cellStyle name="Enter Units (0)" xfId="139" xr:uid="{00000000-0005-0000-0000-0000C8010000}"/>
    <cellStyle name="Enter Units (0) 2" xfId="561" xr:uid="{00000000-0005-0000-0000-0000C9010000}"/>
    <cellStyle name="Enter Units (0) 3" xfId="625" xr:uid="{00000000-0005-0000-0000-0000CA010000}"/>
    <cellStyle name="Enter Units (0) 3 2" xfId="824" xr:uid="{00000000-0005-0000-0000-0000CB010000}"/>
    <cellStyle name="Enter Units (1)" xfId="140" xr:uid="{00000000-0005-0000-0000-0000CC010000}"/>
    <cellStyle name="Enter Units (1) 2" xfId="562" xr:uid="{00000000-0005-0000-0000-0000CD010000}"/>
    <cellStyle name="Enter Units (1) 3" xfId="626" xr:uid="{00000000-0005-0000-0000-0000CE010000}"/>
    <cellStyle name="Enter Units (1) 3 2" xfId="825" xr:uid="{00000000-0005-0000-0000-0000CF010000}"/>
    <cellStyle name="Enter Units (2)" xfId="141" xr:uid="{00000000-0005-0000-0000-0000D0010000}"/>
    <cellStyle name="Enter Units (2) 2" xfId="563" xr:uid="{00000000-0005-0000-0000-0000D1010000}"/>
    <cellStyle name="Enter Units (2) 3" xfId="627" xr:uid="{00000000-0005-0000-0000-0000D2010000}"/>
    <cellStyle name="Enter Units (2) 3 2" xfId="826" xr:uid="{00000000-0005-0000-0000-0000D3010000}"/>
    <cellStyle name="Entered" xfId="142" xr:uid="{00000000-0005-0000-0000-0000D4010000}"/>
    <cellStyle name="EPS" xfId="143" xr:uid="{00000000-0005-0000-0000-0000D5010000}"/>
    <cellStyle name="EPSActual" xfId="144" xr:uid="{00000000-0005-0000-0000-0000D6010000}"/>
    <cellStyle name="EPSActual 2" xfId="299" xr:uid="{00000000-0005-0000-0000-0000D7010000}"/>
    <cellStyle name="EPSEstimate" xfId="145" xr:uid="{00000000-0005-0000-0000-0000D8010000}"/>
    <cellStyle name="EPSEstimate 2" xfId="300" xr:uid="{00000000-0005-0000-0000-0000D9010000}"/>
    <cellStyle name="Euro" xfId="146" xr:uid="{00000000-0005-0000-0000-0000DA010000}"/>
    <cellStyle name="Euro 2" xfId="147" xr:uid="{00000000-0005-0000-0000-0000DB010000}"/>
    <cellStyle name="Euro 2 2" xfId="480" xr:uid="{00000000-0005-0000-0000-0000DC010000}"/>
    <cellStyle name="Euro 2 2 2" xfId="1134" xr:uid="{00000000-0005-0000-0000-0000DD010000}"/>
    <cellStyle name="Euro 2 2 3" xfId="565" xr:uid="{00000000-0005-0000-0000-0000DE010000}"/>
    <cellStyle name="Euro 2 3" xfId="460" xr:uid="{00000000-0005-0000-0000-0000DF010000}"/>
    <cellStyle name="Euro 2 3 2" xfId="1120" xr:uid="{00000000-0005-0000-0000-0000E0010000}"/>
    <cellStyle name="Euro 2 3 3" xfId="629" xr:uid="{00000000-0005-0000-0000-0000E1010000}"/>
    <cellStyle name="Euro 3" xfId="564" xr:uid="{00000000-0005-0000-0000-0000E2010000}"/>
    <cellStyle name="Euro 4" xfId="628" xr:uid="{00000000-0005-0000-0000-0000E3010000}"/>
    <cellStyle name="Explanatory Text" xfId="82" builtinId="53" hidden="1"/>
    <cellStyle name="Explanatory Text 2" xfId="390" xr:uid="{00000000-0005-0000-0000-0000E5010000}"/>
    <cellStyle name="Explanatory Text 3" xfId="253" xr:uid="{00000000-0005-0000-0000-0000E6010000}"/>
    <cellStyle name="General" xfId="148" xr:uid="{00000000-0005-0000-0000-0000E7010000}"/>
    <cellStyle name="Good" xfId="72" builtinId="26" hidden="1"/>
    <cellStyle name="Good 2" xfId="391" xr:uid="{00000000-0005-0000-0000-0000E9010000}"/>
    <cellStyle name="Good 3" xfId="254" xr:uid="{00000000-0005-0000-0000-0000EA010000}"/>
    <cellStyle name="Grey" xfId="149" xr:uid="{00000000-0005-0000-0000-0000EB010000}"/>
    <cellStyle name="GrowthRate" xfId="150" xr:uid="{00000000-0005-0000-0000-0000EC010000}"/>
    <cellStyle name="GrowthSeq" xfId="151" xr:uid="{00000000-0005-0000-0000-0000ED010000}"/>
    <cellStyle name="Header1" xfId="152" xr:uid="{00000000-0005-0000-0000-0000EE010000}"/>
    <cellStyle name="Header2" xfId="153" xr:uid="{00000000-0005-0000-0000-0000EF010000}"/>
    <cellStyle name="Heading" xfId="154" xr:uid="{00000000-0005-0000-0000-0000F0010000}"/>
    <cellStyle name="Heading 1" xfId="68" builtinId="16" hidden="1"/>
    <cellStyle name="Heading 1 2" xfId="392" xr:uid="{00000000-0005-0000-0000-0000F2010000}"/>
    <cellStyle name="Heading 1 3" xfId="256" xr:uid="{00000000-0005-0000-0000-0000F3010000}"/>
    <cellStyle name="Heading 2" xfId="69" builtinId="17" hidden="1"/>
    <cellStyle name="Heading 2 2" xfId="393" xr:uid="{00000000-0005-0000-0000-0000F5010000}"/>
    <cellStyle name="Heading 2 3" xfId="257" xr:uid="{00000000-0005-0000-0000-0000F6010000}"/>
    <cellStyle name="Heading 3" xfId="70" builtinId="18" hidden="1"/>
    <cellStyle name="Heading 3 2" xfId="394" xr:uid="{00000000-0005-0000-0000-0000F8010000}"/>
    <cellStyle name="Heading 3 3" xfId="258" xr:uid="{00000000-0005-0000-0000-0000F9010000}"/>
    <cellStyle name="Heading 4" xfId="71" builtinId="19" hidden="1"/>
    <cellStyle name="Heading 4 2" xfId="395" xr:uid="{00000000-0005-0000-0000-0000FB010000}"/>
    <cellStyle name="Heading 4 3" xfId="259" xr:uid="{00000000-0005-0000-0000-0000FC010000}"/>
    <cellStyle name="Heading 5" xfId="566" xr:uid="{00000000-0005-0000-0000-0000FD010000}"/>
    <cellStyle name="Heading 6" xfId="630" xr:uid="{00000000-0005-0000-0000-0000FE010000}"/>
    <cellStyle name="Hyperlink 2" xfId="155" xr:uid="{00000000-0005-0000-0000-000000020000}"/>
    <cellStyle name="Hyperlink 3" xfId="1224" xr:uid="{00000000-0005-0000-0000-000001020000}"/>
    <cellStyle name="IncomeStatement" xfId="156" xr:uid="{00000000-0005-0000-0000-000002020000}"/>
    <cellStyle name="Input" xfId="75" builtinId="20" hidden="1"/>
    <cellStyle name="Input [yellow]" xfId="157" xr:uid="{00000000-0005-0000-0000-000004020000}"/>
    <cellStyle name="Input 2" xfId="401" xr:uid="{00000000-0005-0000-0000-000005020000}"/>
    <cellStyle name="Input 3" xfId="260" xr:uid="{00000000-0005-0000-0000-000006020000}"/>
    <cellStyle name="Input 4" xfId="245" xr:uid="{00000000-0005-0000-0000-000007020000}"/>
    <cellStyle name="Input 5" xfId="430" xr:uid="{00000000-0005-0000-0000-000008020000}"/>
    <cellStyle name="Input 6" xfId="432" xr:uid="{00000000-0005-0000-0000-000009020000}"/>
    <cellStyle name="Integer" xfId="23" xr:uid="{00000000-0005-0000-0000-00000A020000}"/>
    <cellStyle name="Item" xfId="24" xr:uid="{00000000-0005-0000-0000-00000B020000}"/>
    <cellStyle name="ItemTypeClass" xfId="25" xr:uid="{00000000-0005-0000-0000-00000C020000}"/>
    <cellStyle name="kirmish" xfId="158" xr:uid="{00000000-0005-0000-0000-00000D020000}"/>
    <cellStyle name="kirmish 2" xfId="567" xr:uid="{00000000-0005-0000-0000-00000E020000}"/>
    <cellStyle name="kirmish 3" xfId="631" xr:uid="{00000000-0005-0000-0000-00000F020000}"/>
    <cellStyle name="kirmish 3 2" xfId="827" xr:uid="{00000000-0005-0000-0000-000010020000}"/>
    <cellStyle name="Link Currency (0)" xfId="159" xr:uid="{00000000-0005-0000-0000-000011020000}"/>
    <cellStyle name="Link Currency (0) 2" xfId="568" xr:uid="{00000000-0005-0000-0000-000012020000}"/>
    <cellStyle name="Link Currency (0) 3" xfId="632" xr:uid="{00000000-0005-0000-0000-000013020000}"/>
    <cellStyle name="Link Currency (0) 3 2" xfId="828" xr:uid="{00000000-0005-0000-0000-000014020000}"/>
    <cellStyle name="Link Currency (2)" xfId="160" xr:uid="{00000000-0005-0000-0000-000015020000}"/>
    <cellStyle name="Link Currency (2) 2" xfId="569" xr:uid="{00000000-0005-0000-0000-000016020000}"/>
    <cellStyle name="Link Currency (2) 3" xfId="633" xr:uid="{00000000-0005-0000-0000-000017020000}"/>
    <cellStyle name="Link Currency (2) 3 2" xfId="829" xr:uid="{00000000-0005-0000-0000-000018020000}"/>
    <cellStyle name="Link Units (0)" xfId="161" xr:uid="{00000000-0005-0000-0000-000019020000}"/>
    <cellStyle name="Link Units (0) 2" xfId="570" xr:uid="{00000000-0005-0000-0000-00001A020000}"/>
    <cellStyle name="Link Units (0) 3" xfId="634" xr:uid="{00000000-0005-0000-0000-00001B020000}"/>
    <cellStyle name="Link Units (0) 3 2" xfId="830" xr:uid="{00000000-0005-0000-0000-00001C020000}"/>
    <cellStyle name="Link Units (1)" xfId="162" xr:uid="{00000000-0005-0000-0000-00001D020000}"/>
    <cellStyle name="Link Units (1) 2" xfId="571" xr:uid="{00000000-0005-0000-0000-00001E020000}"/>
    <cellStyle name="Link Units (1) 3" xfId="635" xr:uid="{00000000-0005-0000-0000-00001F020000}"/>
    <cellStyle name="Link Units (1) 3 2" xfId="831" xr:uid="{00000000-0005-0000-0000-000020020000}"/>
    <cellStyle name="Link Units (2)" xfId="163" xr:uid="{00000000-0005-0000-0000-000021020000}"/>
    <cellStyle name="Link Units (2) 2" xfId="572" xr:uid="{00000000-0005-0000-0000-000022020000}"/>
    <cellStyle name="Link Units (2) 3" xfId="636" xr:uid="{00000000-0005-0000-0000-000023020000}"/>
    <cellStyle name="Link Units (2) 3 2" xfId="832" xr:uid="{00000000-0005-0000-0000-000024020000}"/>
    <cellStyle name="Linked Cell" xfId="78" builtinId="24" hidden="1"/>
    <cellStyle name="Linked Cell 2" xfId="402" xr:uid="{00000000-0005-0000-0000-000026020000}"/>
    <cellStyle name="Linked Cell 3" xfId="261" xr:uid="{00000000-0005-0000-0000-000027020000}"/>
    <cellStyle name="Margin" xfId="164" xr:uid="{00000000-0005-0000-0000-000028020000}"/>
    <cellStyle name="Margins" xfId="165" xr:uid="{00000000-0005-0000-0000-000029020000}"/>
    <cellStyle name="Milliers [0]_AR1194" xfId="166" xr:uid="{00000000-0005-0000-0000-00002A020000}"/>
    <cellStyle name="Milliers_AR1194" xfId="167" xr:uid="{00000000-0005-0000-0000-00002B020000}"/>
    <cellStyle name="Monétaire [0]_AR1194" xfId="168" xr:uid="{00000000-0005-0000-0000-00002C020000}"/>
    <cellStyle name="Monétaire_AR1194" xfId="169" xr:uid="{00000000-0005-0000-0000-00002D020000}"/>
    <cellStyle name="Multiple" xfId="170" xr:uid="{00000000-0005-0000-0000-00002E020000}"/>
    <cellStyle name="Neutral" xfId="74" builtinId="28" hidden="1"/>
    <cellStyle name="Neutral 2" xfId="407" xr:uid="{00000000-0005-0000-0000-000030020000}"/>
    <cellStyle name="Neutral 3" xfId="262" xr:uid="{00000000-0005-0000-0000-000031020000}"/>
    <cellStyle name="Normal" xfId="0" builtinId="0"/>
    <cellStyle name="Normal - Style1" xfId="171" xr:uid="{00000000-0005-0000-0000-000033020000}"/>
    <cellStyle name="Normal - Style1 2" xfId="833" xr:uid="{00000000-0005-0000-0000-000034020000}"/>
    <cellStyle name="Normal - Style1 2 2" xfId="900" xr:uid="{00000000-0005-0000-0000-000035020000}"/>
    <cellStyle name="Normal - Style1 3" xfId="899" xr:uid="{00000000-0005-0000-0000-000036020000}"/>
    <cellStyle name="Normal - Style5" xfId="172" xr:uid="{00000000-0005-0000-0000-000037020000}"/>
    <cellStyle name="Normal 10" xfId="334" xr:uid="{00000000-0005-0000-0000-000038020000}"/>
    <cellStyle name="Normal 10 2" xfId="416" xr:uid="{00000000-0005-0000-0000-000039020000}"/>
    <cellStyle name="Normal 10 2 2" xfId="902" xr:uid="{00000000-0005-0000-0000-00003A020000}"/>
    <cellStyle name="Normal 10 2 2 2" xfId="943" xr:uid="{00000000-0005-0000-0000-00003B020000}"/>
    <cellStyle name="Normal 10 2 2 2 2" xfId="970" xr:uid="{00000000-0005-0000-0000-00003C020000}"/>
    <cellStyle name="Normal 10 2 2 3" xfId="961" xr:uid="{00000000-0005-0000-0000-00003D020000}"/>
    <cellStyle name="Normal 10 2 2 4" xfId="952" xr:uid="{00000000-0005-0000-0000-00003E020000}"/>
    <cellStyle name="Normal 10 2 3" xfId="941" xr:uid="{00000000-0005-0000-0000-00003F020000}"/>
    <cellStyle name="Normal 10 2 3 2" xfId="967" xr:uid="{00000000-0005-0000-0000-000040020000}"/>
    <cellStyle name="Normal 10 2 4" xfId="959" xr:uid="{00000000-0005-0000-0000-000041020000}"/>
    <cellStyle name="Normal 10 2 5" xfId="949" xr:uid="{00000000-0005-0000-0000-000042020000}"/>
    <cellStyle name="Normal 10 3" xfId="573" xr:uid="{00000000-0005-0000-0000-000043020000}"/>
    <cellStyle name="Normal 10 3 2" xfId="901" xr:uid="{00000000-0005-0000-0000-000044020000}"/>
    <cellStyle name="Normal 10 4" xfId="654" xr:uid="{00000000-0005-0000-0000-000045020000}"/>
    <cellStyle name="Normal 10 5" xfId="834" xr:uid="{00000000-0005-0000-0000-000046020000}"/>
    <cellStyle name="Normal 11" xfId="336" xr:uid="{00000000-0005-0000-0000-000047020000}"/>
    <cellStyle name="Normal 11 10" xfId="664" xr:uid="{00000000-0005-0000-0000-000048020000}"/>
    <cellStyle name="Normal 11 11" xfId="665" xr:uid="{00000000-0005-0000-0000-000049020000}"/>
    <cellStyle name="Normal 11 12" xfId="666" xr:uid="{00000000-0005-0000-0000-00004A020000}"/>
    <cellStyle name="Normal 11 13" xfId="667" xr:uid="{00000000-0005-0000-0000-00004B020000}"/>
    <cellStyle name="Normal 11 14" xfId="668" xr:uid="{00000000-0005-0000-0000-00004C020000}"/>
    <cellStyle name="Normal 11 15" xfId="669" xr:uid="{00000000-0005-0000-0000-00004D020000}"/>
    <cellStyle name="Normal 11 16" xfId="670" xr:uid="{00000000-0005-0000-0000-00004E020000}"/>
    <cellStyle name="Normal 11 17" xfId="671" xr:uid="{00000000-0005-0000-0000-00004F020000}"/>
    <cellStyle name="Normal 11 18" xfId="835" xr:uid="{00000000-0005-0000-0000-000050020000}"/>
    <cellStyle name="Normal 11 2" xfId="417" xr:uid="{00000000-0005-0000-0000-000051020000}"/>
    <cellStyle name="Normal 11 2 2" xfId="672" xr:uid="{00000000-0005-0000-0000-000052020000}"/>
    <cellStyle name="Normal 11 2 3" xfId="903" xr:uid="{00000000-0005-0000-0000-000053020000}"/>
    <cellStyle name="Normal 11 3" xfId="574" xr:uid="{00000000-0005-0000-0000-000054020000}"/>
    <cellStyle name="Normal 11 4" xfId="655" xr:uid="{00000000-0005-0000-0000-000055020000}"/>
    <cellStyle name="Normal 11 4 2" xfId="673" xr:uid="{00000000-0005-0000-0000-000056020000}"/>
    <cellStyle name="Normal 11 5" xfId="674" xr:uid="{00000000-0005-0000-0000-000057020000}"/>
    <cellStyle name="Normal 11 6" xfId="675" xr:uid="{00000000-0005-0000-0000-000058020000}"/>
    <cellStyle name="Normal 11 7" xfId="676" xr:uid="{00000000-0005-0000-0000-000059020000}"/>
    <cellStyle name="Normal 11 8" xfId="677" xr:uid="{00000000-0005-0000-0000-00005A020000}"/>
    <cellStyle name="Normal 11 9" xfId="678" xr:uid="{00000000-0005-0000-0000-00005B020000}"/>
    <cellStyle name="Normal 117 10" xfId="679" xr:uid="{00000000-0005-0000-0000-00005C020000}"/>
    <cellStyle name="Normal 117 11" xfId="680" xr:uid="{00000000-0005-0000-0000-00005D020000}"/>
    <cellStyle name="Normal 117 12" xfId="681" xr:uid="{00000000-0005-0000-0000-00005E020000}"/>
    <cellStyle name="Normal 117 13" xfId="682" xr:uid="{00000000-0005-0000-0000-00005F020000}"/>
    <cellStyle name="Normal 117 14" xfId="683" xr:uid="{00000000-0005-0000-0000-000060020000}"/>
    <cellStyle name="Normal 117 15" xfId="684" xr:uid="{00000000-0005-0000-0000-000061020000}"/>
    <cellStyle name="Normal 117 16" xfId="685" xr:uid="{00000000-0005-0000-0000-000062020000}"/>
    <cellStyle name="Normal 117 17" xfId="686" xr:uid="{00000000-0005-0000-0000-000063020000}"/>
    <cellStyle name="Normal 117 2" xfId="687" xr:uid="{00000000-0005-0000-0000-000064020000}"/>
    <cellStyle name="Normal 117 3" xfId="688" xr:uid="{00000000-0005-0000-0000-000065020000}"/>
    <cellStyle name="Normal 117 4" xfId="689" xr:uid="{00000000-0005-0000-0000-000066020000}"/>
    <cellStyle name="Normal 117 5" xfId="690" xr:uid="{00000000-0005-0000-0000-000067020000}"/>
    <cellStyle name="Normal 117 6" xfId="691" xr:uid="{00000000-0005-0000-0000-000068020000}"/>
    <cellStyle name="Normal 117 7" xfId="692" xr:uid="{00000000-0005-0000-0000-000069020000}"/>
    <cellStyle name="Normal 117 8" xfId="693" xr:uid="{00000000-0005-0000-0000-00006A020000}"/>
    <cellStyle name="Normal 117 9" xfId="694" xr:uid="{00000000-0005-0000-0000-00006B020000}"/>
    <cellStyle name="Normal 12" xfId="337" xr:uid="{00000000-0005-0000-0000-00006C020000}"/>
    <cellStyle name="Normal 12 2" xfId="418" xr:uid="{00000000-0005-0000-0000-00006D020000}"/>
    <cellStyle name="Normal 12 2 2" xfId="904" xr:uid="{00000000-0005-0000-0000-00006E020000}"/>
    <cellStyle name="Normal 12 3" xfId="575" xr:uid="{00000000-0005-0000-0000-00006F020000}"/>
    <cellStyle name="Normal 12 4" xfId="656" xr:uid="{00000000-0005-0000-0000-000070020000}"/>
    <cellStyle name="Normal 12 5" xfId="836" xr:uid="{00000000-0005-0000-0000-000071020000}"/>
    <cellStyle name="Normal 121 10" xfId="695" xr:uid="{00000000-0005-0000-0000-000072020000}"/>
    <cellStyle name="Normal 121 11" xfId="696" xr:uid="{00000000-0005-0000-0000-000073020000}"/>
    <cellStyle name="Normal 121 12" xfId="697" xr:uid="{00000000-0005-0000-0000-000074020000}"/>
    <cellStyle name="Normal 121 13" xfId="698" xr:uid="{00000000-0005-0000-0000-000075020000}"/>
    <cellStyle name="Normal 121 14" xfId="699" xr:uid="{00000000-0005-0000-0000-000076020000}"/>
    <cellStyle name="Normal 121 15" xfId="700" xr:uid="{00000000-0005-0000-0000-000077020000}"/>
    <cellStyle name="Normal 121 16" xfId="701" xr:uid="{00000000-0005-0000-0000-000078020000}"/>
    <cellStyle name="Normal 121 17" xfId="702" xr:uid="{00000000-0005-0000-0000-000079020000}"/>
    <cellStyle name="Normal 121 2" xfId="703" xr:uid="{00000000-0005-0000-0000-00007A020000}"/>
    <cellStyle name="Normal 121 3" xfId="704" xr:uid="{00000000-0005-0000-0000-00007B020000}"/>
    <cellStyle name="Normal 121 4" xfId="705" xr:uid="{00000000-0005-0000-0000-00007C020000}"/>
    <cellStyle name="Normal 121 5" xfId="706" xr:uid="{00000000-0005-0000-0000-00007D020000}"/>
    <cellStyle name="Normal 121 6" xfId="707" xr:uid="{00000000-0005-0000-0000-00007E020000}"/>
    <cellStyle name="Normal 121 7" xfId="708" xr:uid="{00000000-0005-0000-0000-00007F020000}"/>
    <cellStyle name="Normal 121 8" xfId="709" xr:uid="{00000000-0005-0000-0000-000080020000}"/>
    <cellStyle name="Normal 121 9" xfId="710" xr:uid="{00000000-0005-0000-0000-000081020000}"/>
    <cellStyle name="Normal 13" xfId="338" xr:uid="{00000000-0005-0000-0000-000082020000}"/>
    <cellStyle name="Normal 13 2" xfId="419" xr:uid="{00000000-0005-0000-0000-000083020000}"/>
    <cellStyle name="Normal 13 2 2" xfId="905" xr:uid="{00000000-0005-0000-0000-000084020000}"/>
    <cellStyle name="Normal 13 3" xfId="501" xr:uid="{00000000-0005-0000-0000-000085020000}"/>
    <cellStyle name="Normal 13 3 2" xfId="1148" xr:uid="{00000000-0005-0000-0000-000086020000}"/>
    <cellStyle name="Normal 13 3 3" xfId="837" xr:uid="{00000000-0005-0000-0000-000087020000}"/>
    <cellStyle name="Normal 13 4" xfId="444" xr:uid="{00000000-0005-0000-0000-000088020000}"/>
    <cellStyle name="Normal 14" xfId="339" xr:uid="{00000000-0005-0000-0000-000089020000}"/>
    <cellStyle name="Normal 14 2" xfId="420" xr:uid="{00000000-0005-0000-0000-00008A020000}"/>
    <cellStyle name="Normal 14 2 2" xfId="577" xr:uid="{00000000-0005-0000-0000-00008B020000}"/>
    <cellStyle name="Normal 14 2 3" xfId="658" xr:uid="{00000000-0005-0000-0000-00008C020000}"/>
    <cellStyle name="Normal 14 3" xfId="576" xr:uid="{00000000-0005-0000-0000-00008D020000}"/>
    <cellStyle name="Normal 14 3 2" xfId="973" xr:uid="{00000000-0005-0000-0000-00008E020000}"/>
    <cellStyle name="Normal 14 3 3" xfId="945" xr:uid="{00000000-0005-0000-0000-00008F020000}"/>
    <cellStyle name="Normal 14 4" xfId="657" xr:uid="{00000000-0005-0000-0000-000090020000}"/>
    <cellStyle name="Normal 14 5" xfId="955" xr:uid="{00000000-0005-0000-0000-000091020000}"/>
    <cellStyle name="Normal 15" xfId="340" xr:uid="{00000000-0005-0000-0000-000092020000}"/>
    <cellStyle name="Normal 15 2" xfId="578" xr:uid="{00000000-0005-0000-0000-000093020000}"/>
    <cellStyle name="Normal 16" xfId="341" xr:uid="{00000000-0005-0000-0000-000094020000}"/>
    <cellStyle name="Normal 17" xfId="342" xr:uid="{00000000-0005-0000-0000-000095020000}"/>
    <cellStyle name="Normal 18" xfId="343" xr:uid="{00000000-0005-0000-0000-000096020000}"/>
    <cellStyle name="Normal 19" xfId="344" xr:uid="{00000000-0005-0000-0000-000097020000}"/>
    <cellStyle name="Normal 19 10" xfId="711" xr:uid="{00000000-0005-0000-0000-000098020000}"/>
    <cellStyle name="Normal 19 11" xfId="712" xr:uid="{00000000-0005-0000-0000-000099020000}"/>
    <cellStyle name="Normal 19 12" xfId="713" xr:uid="{00000000-0005-0000-0000-00009A020000}"/>
    <cellStyle name="Normal 19 13" xfId="714" xr:uid="{00000000-0005-0000-0000-00009B020000}"/>
    <cellStyle name="Normal 19 14" xfId="715" xr:uid="{00000000-0005-0000-0000-00009C020000}"/>
    <cellStyle name="Normal 19 15" xfId="716" xr:uid="{00000000-0005-0000-0000-00009D020000}"/>
    <cellStyle name="Normal 19 16" xfId="717" xr:uid="{00000000-0005-0000-0000-00009E020000}"/>
    <cellStyle name="Normal 19 17" xfId="718" xr:uid="{00000000-0005-0000-0000-00009F020000}"/>
    <cellStyle name="Normal 19 2" xfId="719" xr:uid="{00000000-0005-0000-0000-0000A0020000}"/>
    <cellStyle name="Normal 19 3" xfId="720" xr:uid="{00000000-0005-0000-0000-0000A1020000}"/>
    <cellStyle name="Normal 19 4" xfId="721" xr:uid="{00000000-0005-0000-0000-0000A2020000}"/>
    <cellStyle name="Normal 19 5" xfId="722" xr:uid="{00000000-0005-0000-0000-0000A3020000}"/>
    <cellStyle name="Normal 19 6" xfId="723" xr:uid="{00000000-0005-0000-0000-0000A4020000}"/>
    <cellStyle name="Normal 19 7" xfId="724" xr:uid="{00000000-0005-0000-0000-0000A5020000}"/>
    <cellStyle name="Normal 19 8" xfId="725" xr:uid="{00000000-0005-0000-0000-0000A6020000}"/>
    <cellStyle name="Normal 19 9" xfId="726" xr:uid="{00000000-0005-0000-0000-0000A7020000}"/>
    <cellStyle name="Normal 2" xfId="26" xr:uid="{00000000-0005-0000-0000-0000A8020000}"/>
    <cellStyle name="Normal 2 2" xfId="27" xr:uid="{00000000-0005-0000-0000-0000A9020000}"/>
    <cellStyle name="Normal 2 2 2" xfId="838" xr:uid="{00000000-0005-0000-0000-0000AA020000}"/>
    <cellStyle name="Normal 2 2 2 2" xfId="908" xr:uid="{00000000-0005-0000-0000-0000AB020000}"/>
    <cellStyle name="Normal 2 2 3" xfId="907" xr:uid="{00000000-0005-0000-0000-0000AC020000}"/>
    <cellStyle name="Normal 2 2 4" xfId="461" xr:uid="{00000000-0005-0000-0000-0000AD020000}"/>
    <cellStyle name="Normal 2 3" xfId="28" xr:uid="{00000000-0005-0000-0000-0000AE020000}"/>
    <cellStyle name="Normal 2 3 2" xfId="839" xr:uid="{00000000-0005-0000-0000-0000AF020000}"/>
    <cellStyle name="Normal 2 3 2 2" xfId="910" xr:uid="{00000000-0005-0000-0000-0000B0020000}"/>
    <cellStyle name="Normal 2 3 3" xfId="909" xr:uid="{00000000-0005-0000-0000-0000B1020000}"/>
    <cellStyle name="Normal 2 3 4" xfId="579" xr:uid="{00000000-0005-0000-0000-0000B2020000}"/>
    <cellStyle name="Normal 2 4" xfId="906" xr:uid="{00000000-0005-0000-0000-0000B3020000}"/>
    <cellStyle name="Normal 2 5" xfId="173" xr:uid="{00000000-0005-0000-0000-0000B4020000}"/>
    <cellStyle name="Normal 20" xfId="345" xr:uid="{00000000-0005-0000-0000-0000B5020000}"/>
    <cellStyle name="Normal 20 2" xfId="421" xr:uid="{00000000-0005-0000-0000-0000B6020000}"/>
    <cellStyle name="Normal 21" xfId="351" xr:uid="{00000000-0005-0000-0000-0000B7020000}"/>
    <cellStyle name="Normal 21 2" xfId="422" xr:uid="{00000000-0005-0000-0000-0000B8020000}"/>
    <cellStyle name="Normal 22" xfId="352" xr:uid="{00000000-0005-0000-0000-0000B9020000}"/>
    <cellStyle name="Normal 23" xfId="396" xr:uid="{00000000-0005-0000-0000-0000BA020000}"/>
    <cellStyle name="Normal 24" xfId="400" xr:uid="{00000000-0005-0000-0000-0000BB020000}"/>
    <cellStyle name="Normal 25" xfId="403" xr:uid="{00000000-0005-0000-0000-0000BC020000}"/>
    <cellStyle name="Normal 26" xfId="404" xr:uid="{00000000-0005-0000-0000-0000BD020000}"/>
    <cellStyle name="Normal 27" xfId="405" xr:uid="{00000000-0005-0000-0000-0000BE020000}"/>
    <cellStyle name="Normal 28" xfId="360" xr:uid="{00000000-0005-0000-0000-0000BF020000}"/>
    <cellStyle name="Normal 29" xfId="406" xr:uid="{00000000-0005-0000-0000-0000C0020000}"/>
    <cellStyle name="Normal 3" xfId="29" xr:uid="{00000000-0005-0000-0000-0000C1020000}"/>
    <cellStyle name="Normal 3 2" xfId="482" xr:uid="{00000000-0005-0000-0000-0000C2020000}"/>
    <cellStyle name="Normal 3 2 2" xfId="840" xr:uid="{00000000-0005-0000-0000-0000C3020000}"/>
    <cellStyle name="Normal 3 2 2 2" xfId="913" xr:uid="{00000000-0005-0000-0000-0000C4020000}"/>
    <cellStyle name="Normal 3 2 3" xfId="912" xr:uid="{00000000-0005-0000-0000-0000C5020000}"/>
    <cellStyle name="Normal 3 3" xfId="462" xr:uid="{00000000-0005-0000-0000-0000C6020000}"/>
    <cellStyle name="Normal 3 3 2" xfId="842" xr:uid="{00000000-0005-0000-0000-0000C7020000}"/>
    <cellStyle name="Normal 3 3 2 2" xfId="915" xr:uid="{00000000-0005-0000-0000-0000C8020000}"/>
    <cellStyle name="Normal 3 3 3" xfId="914" xr:uid="{00000000-0005-0000-0000-0000C9020000}"/>
    <cellStyle name="Normal 3 3 4" xfId="1121" xr:uid="{00000000-0005-0000-0000-0000CA020000}"/>
    <cellStyle name="Normal 3 3 5" xfId="841" xr:uid="{00000000-0005-0000-0000-0000CB020000}"/>
    <cellStyle name="Normal 3 4" xfId="911" xr:uid="{00000000-0005-0000-0000-0000CC020000}"/>
    <cellStyle name="Normal 3 4 11" xfId="727" xr:uid="{00000000-0005-0000-0000-0000CD020000}"/>
    <cellStyle name="Normal 3 4 2" xfId="944" xr:uid="{00000000-0005-0000-0000-0000CE020000}"/>
    <cellStyle name="Normal 3 4 2 2" xfId="971" xr:uid="{00000000-0005-0000-0000-0000CF020000}"/>
    <cellStyle name="Normal 3 4 3" xfId="962" xr:uid="{00000000-0005-0000-0000-0000D0020000}"/>
    <cellStyle name="Normal 3 4 4" xfId="953" xr:uid="{00000000-0005-0000-0000-0000D1020000}"/>
    <cellStyle name="Normal 3 5" xfId="728" xr:uid="{00000000-0005-0000-0000-0000D2020000}"/>
    <cellStyle name="Normal 3 5 2" xfId="968" xr:uid="{00000000-0005-0000-0000-0000D3020000}"/>
    <cellStyle name="Normal 3 6" xfId="729" xr:uid="{00000000-0005-0000-0000-0000D4020000}"/>
    <cellStyle name="Normal 3 7" xfId="950" xr:uid="{00000000-0005-0000-0000-0000D5020000}"/>
    <cellStyle name="Normal 3 8" xfId="270" xr:uid="{00000000-0005-0000-0000-0000D6020000}"/>
    <cellStyle name="Normal 30" xfId="359" xr:uid="{00000000-0005-0000-0000-0000D7020000}"/>
    <cellStyle name="Normal 31" xfId="397" xr:uid="{00000000-0005-0000-0000-0000D8020000}"/>
    <cellStyle name="Normal 32" xfId="218" xr:uid="{00000000-0005-0000-0000-0000D9020000}"/>
    <cellStyle name="Normal 32 10" xfId="730" xr:uid="{00000000-0005-0000-0000-0000DA020000}"/>
    <cellStyle name="Normal 32 11" xfId="731" xr:uid="{00000000-0005-0000-0000-0000DB020000}"/>
    <cellStyle name="Normal 32 12" xfId="732" xr:uid="{00000000-0005-0000-0000-0000DC020000}"/>
    <cellStyle name="Normal 32 13" xfId="733" xr:uid="{00000000-0005-0000-0000-0000DD020000}"/>
    <cellStyle name="Normal 32 14" xfId="734" xr:uid="{00000000-0005-0000-0000-0000DE020000}"/>
    <cellStyle name="Normal 32 15" xfId="735" xr:uid="{00000000-0005-0000-0000-0000DF020000}"/>
    <cellStyle name="Normal 32 16" xfId="736" xr:uid="{00000000-0005-0000-0000-0000E0020000}"/>
    <cellStyle name="Normal 32 17" xfId="737" xr:uid="{00000000-0005-0000-0000-0000E1020000}"/>
    <cellStyle name="Normal 32 2" xfId="437" xr:uid="{00000000-0005-0000-0000-0000E2020000}"/>
    <cellStyle name="Normal 32 3" xfId="738" xr:uid="{00000000-0005-0000-0000-0000E3020000}"/>
    <cellStyle name="Normal 32 4" xfId="739" xr:uid="{00000000-0005-0000-0000-0000E4020000}"/>
    <cellStyle name="Normal 32 5" xfId="740" xr:uid="{00000000-0005-0000-0000-0000E5020000}"/>
    <cellStyle name="Normal 32 6" xfId="741" xr:uid="{00000000-0005-0000-0000-0000E6020000}"/>
    <cellStyle name="Normal 32 7" xfId="742" xr:uid="{00000000-0005-0000-0000-0000E7020000}"/>
    <cellStyle name="Normal 32 8" xfId="743" xr:uid="{00000000-0005-0000-0000-0000E8020000}"/>
    <cellStyle name="Normal 32 9" xfId="744" xr:uid="{00000000-0005-0000-0000-0000E9020000}"/>
    <cellStyle name="Normal 33" xfId="269" xr:uid="{00000000-0005-0000-0000-0000EA020000}"/>
    <cellStyle name="Normal 33 2" xfId="439" xr:uid="{00000000-0005-0000-0000-0000EB020000}"/>
    <cellStyle name="Normal 34" xfId="429" xr:uid="{00000000-0005-0000-0000-0000EC020000}"/>
    <cellStyle name="Normal 34 10" xfId="745" xr:uid="{00000000-0005-0000-0000-0000ED020000}"/>
    <cellStyle name="Normal 34 11" xfId="746" xr:uid="{00000000-0005-0000-0000-0000EE020000}"/>
    <cellStyle name="Normal 34 12" xfId="747" xr:uid="{00000000-0005-0000-0000-0000EF020000}"/>
    <cellStyle name="Normal 34 13" xfId="748" xr:uid="{00000000-0005-0000-0000-0000F0020000}"/>
    <cellStyle name="Normal 34 14" xfId="749" xr:uid="{00000000-0005-0000-0000-0000F1020000}"/>
    <cellStyle name="Normal 34 15" xfId="750" xr:uid="{00000000-0005-0000-0000-0000F2020000}"/>
    <cellStyle name="Normal 34 16" xfId="751" xr:uid="{00000000-0005-0000-0000-0000F3020000}"/>
    <cellStyle name="Normal 34 17" xfId="752" xr:uid="{00000000-0005-0000-0000-0000F4020000}"/>
    <cellStyle name="Normal 34 2" xfId="440" xr:uid="{00000000-0005-0000-0000-0000F5020000}"/>
    <cellStyle name="Normal 34 3" xfId="753" xr:uid="{00000000-0005-0000-0000-0000F6020000}"/>
    <cellStyle name="Normal 34 4" xfId="754" xr:uid="{00000000-0005-0000-0000-0000F7020000}"/>
    <cellStyle name="Normal 34 5" xfId="755" xr:uid="{00000000-0005-0000-0000-0000F8020000}"/>
    <cellStyle name="Normal 34 6" xfId="756" xr:uid="{00000000-0005-0000-0000-0000F9020000}"/>
    <cellStyle name="Normal 34 7" xfId="757" xr:uid="{00000000-0005-0000-0000-0000FA020000}"/>
    <cellStyle name="Normal 34 8" xfId="758" xr:uid="{00000000-0005-0000-0000-0000FB020000}"/>
    <cellStyle name="Normal 34 9" xfId="759" xr:uid="{00000000-0005-0000-0000-0000FC020000}"/>
    <cellStyle name="Normal 35" xfId="251" xr:uid="{00000000-0005-0000-0000-0000FD020000}"/>
    <cellStyle name="Normal 35 2" xfId="438" xr:uid="{00000000-0005-0000-0000-0000FE020000}"/>
    <cellStyle name="Normal 36" xfId="659" xr:uid="{00000000-0005-0000-0000-0000FF020000}"/>
    <cellStyle name="Normal 36 2" xfId="1005" xr:uid="{00000000-0005-0000-0000-000000030000}"/>
    <cellStyle name="Normal 37" xfId="794" xr:uid="{00000000-0005-0000-0000-000001030000}"/>
    <cellStyle name="Normal 37 2" xfId="1006" xr:uid="{00000000-0005-0000-0000-000002030000}"/>
    <cellStyle name="Normal 38" xfId="463" xr:uid="{00000000-0005-0000-0000-000003030000}"/>
    <cellStyle name="Normal 38 2" xfId="1122" xr:uid="{00000000-0005-0000-0000-000004030000}"/>
    <cellStyle name="Normal 38 3" xfId="797" xr:uid="{00000000-0005-0000-0000-000005030000}"/>
    <cellStyle name="Normal 39" xfId="809" xr:uid="{00000000-0005-0000-0000-000006030000}"/>
    <cellStyle name="Normal 4" xfId="311" xr:uid="{00000000-0005-0000-0000-000007030000}"/>
    <cellStyle name="Normal 4 10" xfId="761" xr:uid="{00000000-0005-0000-0000-000008030000}"/>
    <cellStyle name="Normal 4 11" xfId="762" xr:uid="{00000000-0005-0000-0000-000009030000}"/>
    <cellStyle name="Normal 4 12" xfId="763" xr:uid="{00000000-0005-0000-0000-00000A030000}"/>
    <cellStyle name="Normal 4 13" xfId="764" xr:uid="{00000000-0005-0000-0000-00000B030000}"/>
    <cellStyle name="Normal 4 14" xfId="765" xr:uid="{00000000-0005-0000-0000-00000C030000}"/>
    <cellStyle name="Normal 4 15" xfId="766" xr:uid="{00000000-0005-0000-0000-00000D030000}"/>
    <cellStyle name="Normal 4 16" xfId="767" xr:uid="{00000000-0005-0000-0000-00000E030000}"/>
    <cellStyle name="Normal 4 17" xfId="768" xr:uid="{00000000-0005-0000-0000-00000F030000}"/>
    <cellStyle name="Normal 4 18" xfId="760" xr:uid="{00000000-0005-0000-0000-000010030000}"/>
    <cellStyle name="Normal 4 2" xfId="483" xr:uid="{00000000-0005-0000-0000-000011030000}"/>
    <cellStyle name="Normal 4 2 2" xfId="769" xr:uid="{00000000-0005-0000-0000-000012030000}"/>
    <cellStyle name="Normal 4 2 2 2" xfId="972" xr:uid="{00000000-0005-0000-0000-000013030000}"/>
    <cellStyle name="Normal 4 2 3" xfId="963" xr:uid="{00000000-0005-0000-0000-000014030000}"/>
    <cellStyle name="Normal 4 2 4" xfId="954" xr:uid="{00000000-0005-0000-0000-000015030000}"/>
    <cellStyle name="Normal 4 2 5" xfId="1136" xr:uid="{00000000-0005-0000-0000-000016030000}"/>
    <cellStyle name="Normal 4 2 6" xfId="580" xr:uid="{00000000-0005-0000-0000-000017030000}"/>
    <cellStyle name="Normal 4 3" xfId="464" xr:uid="{00000000-0005-0000-0000-000018030000}"/>
    <cellStyle name="Normal 4 3 2" xfId="770" xr:uid="{00000000-0005-0000-0000-000019030000}"/>
    <cellStyle name="Normal 4 3 3" xfId="648" xr:uid="{00000000-0005-0000-0000-00001A030000}"/>
    <cellStyle name="Normal 4 4" xfId="771" xr:uid="{00000000-0005-0000-0000-00001B030000}"/>
    <cellStyle name="Normal 4 5" xfId="772" xr:uid="{00000000-0005-0000-0000-00001C030000}"/>
    <cellStyle name="Normal 4 6" xfId="773" xr:uid="{00000000-0005-0000-0000-00001D030000}"/>
    <cellStyle name="Normal 4 7" xfId="774" xr:uid="{00000000-0005-0000-0000-00001E030000}"/>
    <cellStyle name="Normal 4 8" xfId="775" xr:uid="{00000000-0005-0000-0000-00001F030000}"/>
    <cellStyle name="Normal 4 9" xfId="776" xr:uid="{00000000-0005-0000-0000-000020030000}"/>
    <cellStyle name="Normal 40" xfId="977" xr:uid="{00000000-0005-0000-0000-000021030000}"/>
    <cellStyle name="Normal 40 2" xfId="1007" xr:uid="{00000000-0005-0000-0000-000022030000}"/>
    <cellStyle name="Normal 41" xfId="980" xr:uid="{00000000-0005-0000-0000-000023030000}"/>
    <cellStyle name="Normal 41 2" xfId="1008" xr:uid="{00000000-0005-0000-0000-000024030000}"/>
    <cellStyle name="Normal 42" xfId="985" xr:uid="{00000000-0005-0000-0000-000025030000}"/>
    <cellStyle name="Normal 43" xfId="991" xr:uid="{00000000-0005-0000-0000-000026030000}"/>
    <cellStyle name="Normal 44" xfId="987" xr:uid="{00000000-0005-0000-0000-000027030000}"/>
    <cellStyle name="Normal 45" xfId="992" xr:uid="{00000000-0005-0000-0000-000028030000}"/>
    <cellStyle name="Normal 46" xfId="1001" xr:uid="{00000000-0005-0000-0000-000029030000}"/>
    <cellStyle name="Normal 47" xfId="1009" xr:uid="{00000000-0005-0000-0000-00002A030000}"/>
    <cellStyle name="Normal 5" xfId="312" xr:uid="{00000000-0005-0000-0000-00002B030000}"/>
    <cellStyle name="Normal 5 2" xfId="484" xr:uid="{00000000-0005-0000-0000-00002C030000}"/>
    <cellStyle name="Normal 5 3" xfId="465" xr:uid="{00000000-0005-0000-0000-00002D030000}"/>
    <cellStyle name="Normal 5 4" xfId="581" xr:uid="{00000000-0005-0000-0000-00002E030000}"/>
    <cellStyle name="Normal 5_Stock Option Exchange Two Pager (2-23-09)" xfId="582" xr:uid="{00000000-0005-0000-0000-00002F030000}"/>
    <cellStyle name="Normal 53" xfId="30" xr:uid="{00000000-0005-0000-0000-000030030000}"/>
    <cellStyle name="Normal 6" xfId="313" xr:uid="{00000000-0005-0000-0000-000031030000}"/>
    <cellStyle name="Normal 6 2" xfId="485" xr:uid="{00000000-0005-0000-0000-000032030000}"/>
    <cellStyle name="Normal 6 2 2" xfId="844" xr:uid="{00000000-0005-0000-0000-000033030000}"/>
    <cellStyle name="Normal 6 2 3" xfId="1137" xr:uid="{00000000-0005-0000-0000-000034030000}"/>
    <cellStyle name="Normal 6 2 4" xfId="661" xr:uid="{00000000-0005-0000-0000-000035030000}"/>
    <cellStyle name="Normal 6 3" xfId="466" xr:uid="{00000000-0005-0000-0000-000036030000}"/>
    <cellStyle name="Normal 6 3 2" xfId="1123" xr:uid="{00000000-0005-0000-0000-000037030000}"/>
    <cellStyle name="Normal 6 3 3" xfId="845" xr:uid="{00000000-0005-0000-0000-000038030000}"/>
    <cellStyle name="Normal 6 4" xfId="843" xr:uid="{00000000-0005-0000-0000-000039030000}"/>
    <cellStyle name="Normal 7" xfId="314" xr:uid="{00000000-0005-0000-0000-00003A030000}"/>
    <cellStyle name="Normal 7 2" xfId="486" xr:uid="{00000000-0005-0000-0000-00003B030000}"/>
    <cellStyle name="Normal 7 2 2" xfId="1138" xr:uid="{00000000-0005-0000-0000-00003C030000}"/>
    <cellStyle name="Normal 7 2 3" xfId="847" xr:uid="{00000000-0005-0000-0000-00003D030000}"/>
    <cellStyle name="Normal 7 3" xfId="467" xr:uid="{00000000-0005-0000-0000-00003E030000}"/>
    <cellStyle name="Normal 7 3 2" xfId="1124" xr:uid="{00000000-0005-0000-0000-00003F030000}"/>
    <cellStyle name="Normal 7 3 3" xfId="848" xr:uid="{00000000-0005-0000-0000-000040030000}"/>
    <cellStyle name="Normal 7 4" xfId="846" xr:uid="{00000000-0005-0000-0000-000041030000}"/>
    <cellStyle name="Normal 8" xfId="315" xr:uid="{00000000-0005-0000-0000-000042030000}"/>
    <cellStyle name="Normal 8 2" xfId="487" xr:uid="{00000000-0005-0000-0000-000043030000}"/>
    <cellStyle name="Normal 8 2 2" xfId="1139" xr:uid="{00000000-0005-0000-0000-000044030000}"/>
    <cellStyle name="Normal 8 2 3" xfId="850" xr:uid="{00000000-0005-0000-0000-000045030000}"/>
    <cellStyle name="Normal 8 3" xfId="468" xr:uid="{00000000-0005-0000-0000-000046030000}"/>
    <cellStyle name="Normal 8 3 2" xfId="1125" xr:uid="{00000000-0005-0000-0000-000047030000}"/>
    <cellStyle name="Normal 8 3 3" xfId="851" xr:uid="{00000000-0005-0000-0000-000048030000}"/>
    <cellStyle name="Normal 8 4" xfId="849" xr:uid="{00000000-0005-0000-0000-000049030000}"/>
    <cellStyle name="Normal 9" xfId="316" xr:uid="{00000000-0005-0000-0000-00004A030000}"/>
    <cellStyle name="Normal 9 10" xfId="777" xr:uid="{00000000-0005-0000-0000-00004B030000}"/>
    <cellStyle name="Normal 9 11" xfId="778" xr:uid="{00000000-0005-0000-0000-00004C030000}"/>
    <cellStyle name="Normal 9 12" xfId="779" xr:uid="{00000000-0005-0000-0000-00004D030000}"/>
    <cellStyle name="Normal 9 13" xfId="780" xr:uid="{00000000-0005-0000-0000-00004E030000}"/>
    <cellStyle name="Normal 9 14" xfId="781" xr:uid="{00000000-0005-0000-0000-00004F030000}"/>
    <cellStyle name="Normal 9 15" xfId="782" xr:uid="{00000000-0005-0000-0000-000050030000}"/>
    <cellStyle name="Normal 9 16" xfId="783" xr:uid="{00000000-0005-0000-0000-000051030000}"/>
    <cellStyle name="Normal 9 17" xfId="784" xr:uid="{00000000-0005-0000-0000-000052030000}"/>
    <cellStyle name="Normal 9 18" xfId="852" xr:uid="{00000000-0005-0000-0000-000053030000}"/>
    <cellStyle name="Normal 9 2" xfId="414" xr:uid="{00000000-0005-0000-0000-000054030000}"/>
    <cellStyle name="Normal 9 2 2" xfId="785" xr:uid="{00000000-0005-0000-0000-000055030000}"/>
    <cellStyle name="Normal 9 2 3" xfId="853" xr:uid="{00000000-0005-0000-0000-000056030000}"/>
    <cellStyle name="Normal 9 3" xfId="583" xr:uid="{00000000-0005-0000-0000-000057030000}"/>
    <cellStyle name="Normal 9 3 2" xfId="854" xr:uid="{00000000-0005-0000-0000-000058030000}"/>
    <cellStyle name="Normal 9 4" xfId="649" xr:uid="{00000000-0005-0000-0000-000059030000}"/>
    <cellStyle name="Normal 9 4 2" xfId="786" xr:uid="{00000000-0005-0000-0000-00005A030000}"/>
    <cellStyle name="Normal 9 5" xfId="787" xr:uid="{00000000-0005-0000-0000-00005B030000}"/>
    <cellStyle name="Normal 9 6" xfId="788" xr:uid="{00000000-0005-0000-0000-00005C030000}"/>
    <cellStyle name="Normal 9 7" xfId="789" xr:uid="{00000000-0005-0000-0000-00005D030000}"/>
    <cellStyle name="Normal 9 8" xfId="790" xr:uid="{00000000-0005-0000-0000-00005E030000}"/>
    <cellStyle name="Normal 9 9" xfId="791" xr:uid="{00000000-0005-0000-0000-00005F030000}"/>
    <cellStyle name="Normal_Tds WIP" xfId="84" xr:uid="{00000000-0005-0000-0000-000061030000}"/>
    <cellStyle name="Note" xfId="81" builtinId="10" hidden="1"/>
    <cellStyle name="Note 2" xfId="301" xr:uid="{00000000-0005-0000-0000-000063030000}"/>
    <cellStyle name="Note 3" xfId="408" xr:uid="{00000000-0005-0000-0000-000064030000}"/>
    <cellStyle name="Note 4" xfId="263" xr:uid="{00000000-0005-0000-0000-000065030000}"/>
    <cellStyle name="orh" xfId="31" xr:uid="{00000000-0005-0000-0000-000066030000}"/>
    <cellStyle name="Original L2" xfId="174" xr:uid="{00000000-0005-0000-0000-000067030000}"/>
    <cellStyle name="Output" xfId="76" builtinId="21" hidden="1"/>
    <cellStyle name="Output 2" xfId="409" xr:uid="{00000000-0005-0000-0000-000069030000}"/>
    <cellStyle name="Output 3" xfId="264" xr:uid="{00000000-0005-0000-0000-00006A030000}"/>
    <cellStyle name="Output Amounts" xfId="175" xr:uid="{00000000-0005-0000-0000-00006B030000}"/>
    <cellStyle name="Output Column Headings" xfId="176" xr:uid="{00000000-0005-0000-0000-00006C030000}"/>
    <cellStyle name="Output Line Items" xfId="177" xr:uid="{00000000-0005-0000-0000-00006D030000}"/>
    <cellStyle name="Output Report Heading" xfId="178" xr:uid="{00000000-0005-0000-0000-00006E030000}"/>
    <cellStyle name="Output Report Title" xfId="179" xr:uid="{00000000-0005-0000-0000-00006F030000}"/>
    <cellStyle name="p " xfId="32" xr:uid="{00000000-0005-0000-0000-000070030000}"/>
    <cellStyle name="Percent" xfId="33" builtinId="5"/>
    <cellStyle name="Percent (0)" xfId="584" xr:uid="{00000000-0005-0000-0000-000072030000}"/>
    <cellStyle name="Percent [0]" xfId="180" xr:uid="{00000000-0005-0000-0000-000073030000}"/>
    <cellStyle name="Percent [0] 2" xfId="585" xr:uid="{00000000-0005-0000-0000-000074030000}"/>
    <cellStyle name="Percent [0] 3" xfId="637" xr:uid="{00000000-0005-0000-0000-000075030000}"/>
    <cellStyle name="Percent [0] 3 2" xfId="855" xr:uid="{00000000-0005-0000-0000-000076030000}"/>
    <cellStyle name="Percent [00]" xfId="181" xr:uid="{00000000-0005-0000-0000-000077030000}"/>
    <cellStyle name="Percent [00] 2" xfId="302" xr:uid="{00000000-0005-0000-0000-000078030000}"/>
    <cellStyle name="Percent [00] 2 2" xfId="856" xr:uid="{00000000-0005-0000-0000-000079030000}"/>
    <cellStyle name="Percent [00] 2 2 2" xfId="917" xr:uid="{00000000-0005-0000-0000-00007A030000}"/>
    <cellStyle name="Percent [00] 2 3" xfId="916" xr:uid="{00000000-0005-0000-0000-00007B030000}"/>
    <cellStyle name="Percent [00] 3" xfId="857" xr:uid="{00000000-0005-0000-0000-00007C030000}"/>
    <cellStyle name="Percent [00] 3 2" xfId="858" xr:uid="{00000000-0005-0000-0000-00007D030000}"/>
    <cellStyle name="Percent [00] 3 2 2" xfId="919" xr:uid="{00000000-0005-0000-0000-00007E030000}"/>
    <cellStyle name="Percent [00] 3 3" xfId="918" xr:uid="{00000000-0005-0000-0000-00007F030000}"/>
    <cellStyle name="Percent [00] 4" xfId="859" xr:uid="{00000000-0005-0000-0000-000080030000}"/>
    <cellStyle name="Percent [00] 4 2" xfId="920" xr:uid="{00000000-0005-0000-0000-000081030000}"/>
    <cellStyle name="Percent [00] 5" xfId="860" xr:uid="{00000000-0005-0000-0000-000082030000}"/>
    <cellStyle name="Percent [00] 5 2" xfId="921" xr:uid="{00000000-0005-0000-0000-000083030000}"/>
    <cellStyle name="Percent [00] 6" xfId="861" xr:uid="{00000000-0005-0000-0000-000084030000}"/>
    <cellStyle name="Percent [00] 6 2" xfId="922" xr:uid="{00000000-0005-0000-0000-000085030000}"/>
    <cellStyle name="Percent [00] 7" xfId="862" xr:uid="{00000000-0005-0000-0000-000086030000}"/>
    <cellStyle name="Percent [00] 7 2" xfId="923" xr:uid="{00000000-0005-0000-0000-000087030000}"/>
    <cellStyle name="Percent [00] 8" xfId="863" xr:uid="{00000000-0005-0000-0000-000088030000}"/>
    <cellStyle name="Percent [00] 8 2" xfId="924" xr:uid="{00000000-0005-0000-0000-000089030000}"/>
    <cellStyle name="Percent [2]" xfId="182" xr:uid="{00000000-0005-0000-0000-00008A030000}"/>
    <cellStyle name="Percent [2] 2" xfId="303" xr:uid="{00000000-0005-0000-0000-00008B030000}"/>
    <cellStyle name="Percent [2] 2 2" xfId="926" xr:uid="{00000000-0005-0000-0000-00008C030000}"/>
    <cellStyle name="Percent [2] 3" xfId="925" xr:uid="{00000000-0005-0000-0000-00008D030000}"/>
    <cellStyle name="Percent 10" xfId="321" xr:uid="{00000000-0005-0000-0000-00008E030000}"/>
    <cellStyle name="Percent 10 2" xfId="492" xr:uid="{00000000-0005-0000-0000-00008F030000}"/>
    <cellStyle name="Percent 10 2 2" xfId="1141" xr:uid="{00000000-0005-0000-0000-000090030000}"/>
    <cellStyle name="Percent 10 2 3" xfId="927" xr:uid="{00000000-0005-0000-0000-000091030000}"/>
    <cellStyle name="Percent 10 3" xfId="470" xr:uid="{00000000-0005-0000-0000-000092030000}"/>
    <cellStyle name="Percent 10 3 2" xfId="1126" xr:uid="{00000000-0005-0000-0000-000093030000}"/>
    <cellStyle name="Percent 10 3 3" xfId="864" xr:uid="{00000000-0005-0000-0000-000094030000}"/>
    <cellStyle name="Percent 100" xfId="1170" xr:uid="{00000000-0005-0000-0000-000095030000}"/>
    <cellStyle name="Percent 101" xfId="1173" xr:uid="{00000000-0005-0000-0000-000096030000}"/>
    <cellStyle name="Percent 102" xfId="1176" xr:uid="{00000000-0005-0000-0000-000097030000}"/>
    <cellStyle name="Percent 103" xfId="1179" xr:uid="{00000000-0005-0000-0000-000098030000}"/>
    <cellStyle name="Percent 104" xfId="1182" xr:uid="{00000000-0005-0000-0000-000099030000}"/>
    <cellStyle name="Percent 105" xfId="1185" xr:uid="{00000000-0005-0000-0000-00009A030000}"/>
    <cellStyle name="Percent 106" xfId="1188" xr:uid="{00000000-0005-0000-0000-00009B030000}"/>
    <cellStyle name="Percent 107" xfId="1191" xr:uid="{00000000-0005-0000-0000-00009C030000}"/>
    <cellStyle name="Percent 108" xfId="1194" xr:uid="{00000000-0005-0000-0000-00009D030000}"/>
    <cellStyle name="Percent 109" xfId="1197" xr:uid="{00000000-0005-0000-0000-00009E030000}"/>
    <cellStyle name="Percent 11" xfId="350" xr:uid="{00000000-0005-0000-0000-00009F030000}"/>
    <cellStyle name="Percent 11 2" xfId="504" xr:uid="{00000000-0005-0000-0000-0000A0030000}"/>
    <cellStyle name="Percent 11 2 2" xfId="1151" xr:uid="{00000000-0005-0000-0000-0000A1030000}"/>
    <cellStyle name="Percent 11 2 3" xfId="928" xr:uid="{00000000-0005-0000-0000-0000A2030000}"/>
    <cellStyle name="Percent 11 3" xfId="471" xr:uid="{00000000-0005-0000-0000-0000A3030000}"/>
    <cellStyle name="Percent 11 3 2" xfId="1127" xr:uid="{00000000-0005-0000-0000-0000A4030000}"/>
    <cellStyle name="Percent 11 3 3" xfId="865" xr:uid="{00000000-0005-0000-0000-0000A5030000}"/>
    <cellStyle name="Percent 110" xfId="1200" xr:uid="{00000000-0005-0000-0000-0000A6030000}"/>
    <cellStyle name="Percent 111" xfId="1203" xr:uid="{00000000-0005-0000-0000-0000A7030000}"/>
    <cellStyle name="Percent 112" xfId="1206" xr:uid="{00000000-0005-0000-0000-0000A8030000}"/>
    <cellStyle name="Percent 113" xfId="1207" xr:uid="{00000000-0005-0000-0000-0000A9030000}"/>
    <cellStyle name="Percent 114" xfId="1208" xr:uid="{00000000-0005-0000-0000-0000AA030000}"/>
    <cellStyle name="Percent 115" xfId="612" xr:uid="{00000000-0005-0000-0000-0000AB030000}"/>
    <cellStyle name="Percent 116" xfId="1214" xr:uid="{00000000-0005-0000-0000-0000AC030000}"/>
    <cellStyle name="Percent 117" xfId="1216" xr:uid="{00000000-0005-0000-0000-0000AD030000}"/>
    <cellStyle name="Percent 118" xfId="1215" xr:uid="{00000000-0005-0000-0000-0000AE030000}"/>
    <cellStyle name="Percent 119" xfId="540" xr:uid="{00000000-0005-0000-0000-0000AF030000}"/>
    <cellStyle name="Percent 12" xfId="346" xr:uid="{00000000-0005-0000-0000-0000B0030000}"/>
    <cellStyle name="Percent 12 2" xfId="502" xr:uid="{00000000-0005-0000-0000-0000B1030000}"/>
    <cellStyle name="Percent 12 2 2" xfId="1149" xr:uid="{00000000-0005-0000-0000-0000B2030000}"/>
    <cellStyle name="Percent 12 2 3" xfId="929" xr:uid="{00000000-0005-0000-0000-0000B3030000}"/>
    <cellStyle name="Percent 12 3" xfId="472" xr:uid="{00000000-0005-0000-0000-0000B4030000}"/>
    <cellStyle name="Percent 12 3 2" xfId="1128" xr:uid="{00000000-0005-0000-0000-0000B5030000}"/>
    <cellStyle name="Percent 12 3 3" xfId="866" xr:uid="{00000000-0005-0000-0000-0000B6030000}"/>
    <cellStyle name="Percent 120" xfId="1217" xr:uid="{00000000-0005-0000-0000-0000B7030000}"/>
    <cellStyle name="Percent 121" xfId="541" xr:uid="{00000000-0005-0000-0000-0000B8030000}"/>
    <cellStyle name="Percent 122" xfId="1218" xr:uid="{00000000-0005-0000-0000-0000B9030000}"/>
    <cellStyle name="Percent 123" xfId="1220" xr:uid="{00000000-0005-0000-0000-0000BA030000}"/>
    <cellStyle name="Percent 124" xfId="1221" xr:uid="{00000000-0005-0000-0000-0000BB030000}"/>
    <cellStyle name="Percent 125" xfId="1219" xr:uid="{00000000-0005-0000-0000-0000BC030000}"/>
    <cellStyle name="Percent 126" xfId="1223" xr:uid="{00000000-0005-0000-0000-0000BD030000}"/>
    <cellStyle name="Percent 127" xfId="1222" xr:uid="{00000000-0005-0000-0000-0000BE030000}"/>
    <cellStyle name="Percent 128" xfId="1227" xr:uid="{00000000-0005-0000-0000-0000BF030000}"/>
    <cellStyle name="Percent 129" xfId="1230" xr:uid="{00000000-0005-0000-0000-0000C0030000}"/>
    <cellStyle name="Percent 13" xfId="358" xr:uid="{00000000-0005-0000-0000-0000C1030000}"/>
    <cellStyle name="Percent 13 2" xfId="507" xr:uid="{00000000-0005-0000-0000-0000C2030000}"/>
    <cellStyle name="Percent 13 2 2" xfId="1153" xr:uid="{00000000-0005-0000-0000-0000C3030000}"/>
    <cellStyle name="Percent 13 2 3" xfId="930" xr:uid="{00000000-0005-0000-0000-0000C4030000}"/>
    <cellStyle name="Percent 13 3" xfId="469" xr:uid="{00000000-0005-0000-0000-0000C5030000}"/>
    <cellStyle name="Percent 130" xfId="1228" xr:uid="{00000000-0005-0000-0000-0000C6030000}"/>
    <cellStyle name="Percent 131" xfId="1229" xr:uid="{00000000-0005-0000-0000-0000C7030000}"/>
    <cellStyle name="Percent 132" xfId="1231" xr:uid="{00000000-0005-0000-0000-0000C8030000}"/>
    <cellStyle name="Percent 133" xfId="1232" xr:uid="{00000000-0005-0000-0000-0000C9030000}"/>
    <cellStyle name="Percent 134" xfId="1234" xr:uid="{00000000-0005-0000-0000-0000CA030000}"/>
    <cellStyle name="Percent 135" xfId="1233" xr:uid="{00000000-0005-0000-0000-0000CB030000}"/>
    <cellStyle name="Percent 136" xfId="1226" xr:uid="{00000000-0005-0000-0000-0000CC030000}"/>
    <cellStyle name="Percent 137" xfId="1238" xr:uid="{00000000-0005-0000-0000-0000CD030000}"/>
    <cellStyle name="Percent 138" xfId="1235" xr:uid="{00000000-0005-0000-0000-0000CE030000}"/>
    <cellStyle name="Percent 14" xfId="410" xr:uid="{00000000-0005-0000-0000-0000CF030000}"/>
    <cellStyle name="Percent 15" xfId="356" xr:uid="{00000000-0005-0000-0000-0000D0030000}"/>
    <cellStyle name="Percent 16" xfId="353" xr:uid="{00000000-0005-0000-0000-0000D1030000}"/>
    <cellStyle name="Percent 17" xfId="425" xr:uid="{00000000-0005-0000-0000-0000D2030000}"/>
    <cellStyle name="Percent 18" xfId="265" xr:uid="{00000000-0005-0000-0000-0000D3030000}"/>
    <cellStyle name="Percent 19" xfId="427" xr:uid="{00000000-0005-0000-0000-0000D4030000}"/>
    <cellStyle name="Percent 2" xfId="34" xr:uid="{00000000-0005-0000-0000-0000D5030000}"/>
    <cellStyle name="Percent 2 2" xfId="35" xr:uid="{00000000-0005-0000-0000-0000D6030000}"/>
    <cellStyle name="Percent 2 2 2" xfId="931" xr:uid="{00000000-0005-0000-0000-0000D7030000}"/>
    <cellStyle name="Percent 2 2 3" xfId="867" xr:uid="{00000000-0005-0000-0000-0000D8030000}"/>
    <cellStyle name="Percent 2 3" xfId="473" xr:uid="{00000000-0005-0000-0000-0000D9030000}"/>
    <cellStyle name="Percent 2 3 2" xfId="1129" xr:uid="{00000000-0005-0000-0000-0000DA030000}"/>
    <cellStyle name="Percent 2 3 3" xfId="586" xr:uid="{00000000-0005-0000-0000-0000DB030000}"/>
    <cellStyle name="Percent 2 4" xfId="474" xr:uid="{00000000-0005-0000-0000-0000DC030000}"/>
    <cellStyle name="Percent 2 4 2" xfId="1130" xr:uid="{00000000-0005-0000-0000-0000DD030000}"/>
    <cellStyle name="Percent 2 4 3" xfId="638" xr:uid="{00000000-0005-0000-0000-0000DE030000}"/>
    <cellStyle name="Percent 20" xfId="246" xr:uid="{00000000-0005-0000-0000-0000DF030000}"/>
    <cellStyle name="Percent 21" xfId="431" xr:uid="{00000000-0005-0000-0000-0000E0030000}"/>
    <cellStyle name="Percent 22" xfId="436" xr:uid="{00000000-0005-0000-0000-0000E1030000}"/>
    <cellStyle name="Percent 23" xfId="443" xr:uid="{00000000-0005-0000-0000-0000E2030000}"/>
    <cellStyle name="Percent 24" xfId="481" xr:uid="{00000000-0005-0000-0000-0000E3030000}"/>
    <cellStyle name="Percent 25" xfId="510" xr:uid="{00000000-0005-0000-0000-0000E4030000}"/>
    <cellStyle name="Percent 26" xfId="511" xr:uid="{00000000-0005-0000-0000-0000E5030000}"/>
    <cellStyle name="Percent 27" xfId="512" xr:uid="{00000000-0005-0000-0000-0000E6030000}"/>
    <cellStyle name="Percent 27 2" xfId="1155" xr:uid="{00000000-0005-0000-0000-0000E7030000}"/>
    <cellStyle name="Percent 27 3" xfId="983" xr:uid="{00000000-0005-0000-0000-0000E8030000}"/>
    <cellStyle name="Percent 28" xfId="513" xr:uid="{00000000-0005-0000-0000-0000E9030000}"/>
    <cellStyle name="Percent 28 2" xfId="1156" xr:uid="{00000000-0005-0000-0000-0000EA030000}"/>
    <cellStyle name="Percent 28 3" xfId="990" xr:uid="{00000000-0005-0000-0000-0000EB030000}"/>
    <cellStyle name="Percent 29" xfId="516" xr:uid="{00000000-0005-0000-0000-0000EC030000}"/>
    <cellStyle name="Percent 29 2" xfId="1211" xr:uid="{00000000-0005-0000-0000-0000ED030000}"/>
    <cellStyle name="Percent 29 3" xfId="995" xr:uid="{00000000-0005-0000-0000-0000EE030000}"/>
    <cellStyle name="Percent 3" xfId="36" xr:uid="{00000000-0005-0000-0000-0000EF030000}"/>
    <cellStyle name="Percent 3 2" xfId="868" xr:uid="{00000000-0005-0000-0000-0000F0030000}"/>
    <cellStyle name="Percent 3 2 2" xfId="932" xr:uid="{00000000-0005-0000-0000-0000F1030000}"/>
    <cellStyle name="Percent 30" xfId="515" xr:uid="{00000000-0005-0000-0000-0000F2030000}"/>
    <cellStyle name="Percent 30 2" xfId="1210" xr:uid="{00000000-0005-0000-0000-0000F3030000}"/>
    <cellStyle name="Percent 30 3" xfId="998" xr:uid="{00000000-0005-0000-0000-0000F4030000}"/>
    <cellStyle name="Percent 31" xfId="517" xr:uid="{00000000-0005-0000-0000-0000F5030000}"/>
    <cellStyle name="Percent 31 2" xfId="1212" xr:uid="{00000000-0005-0000-0000-0000F6030000}"/>
    <cellStyle name="Percent 31 3" xfId="1000" xr:uid="{00000000-0005-0000-0000-0000F7030000}"/>
    <cellStyle name="Percent 32" xfId="514" xr:uid="{00000000-0005-0000-0000-0000F8030000}"/>
    <cellStyle name="Percent 32 2" xfId="1209" xr:uid="{00000000-0005-0000-0000-0000F9030000}"/>
    <cellStyle name="Percent 32 3" xfId="1004" xr:uid="{00000000-0005-0000-0000-0000FA030000}"/>
    <cellStyle name="Percent 33" xfId="523" xr:uid="{00000000-0005-0000-0000-0000FB030000}"/>
    <cellStyle name="Percent 33 2" xfId="1213" xr:uid="{00000000-0005-0000-0000-0000FC030000}"/>
    <cellStyle name="Percent 33 3" xfId="1029" xr:uid="{00000000-0005-0000-0000-0000FD030000}"/>
    <cellStyle name="Percent 34" xfId="522" xr:uid="{00000000-0005-0000-0000-0000FE030000}"/>
    <cellStyle name="Percent 35" xfId="529" xr:uid="{00000000-0005-0000-0000-0000FF030000}"/>
    <cellStyle name="Percent 36" xfId="521" xr:uid="{00000000-0005-0000-0000-000000040000}"/>
    <cellStyle name="Percent 37" xfId="534" xr:uid="{00000000-0005-0000-0000-000001040000}"/>
    <cellStyle name="Percent 38" xfId="530" xr:uid="{00000000-0005-0000-0000-000002040000}"/>
    <cellStyle name="Percent 39" xfId="525" xr:uid="{00000000-0005-0000-0000-000003040000}"/>
    <cellStyle name="Percent 4" xfId="183" xr:uid="{00000000-0005-0000-0000-000004040000}"/>
    <cellStyle name="Percent 4 2" xfId="587" xr:uid="{00000000-0005-0000-0000-000005040000}"/>
    <cellStyle name="Percent 4 3" xfId="639" xr:uid="{00000000-0005-0000-0000-000006040000}"/>
    <cellStyle name="Percent 40" xfId="531" xr:uid="{00000000-0005-0000-0000-000007040000}"/>
    <cellStyle name="Percent 41" xfId="528" xr:uid="{00000000-0005-0000-0000-000008040000}"/>
    <cellStyle name="Percent 42" xfId="533" xr:uid="{00000000-0005-0000-0000-000009040000}"/>
    <cellStyle name="Percent 43" xfId="526" xr:uid="{00000000-0005-0000-0000-00000A040000}"/>
    <cellStyle name="Percent 44" xfId="536" xr:uid="{00000000-0005-0000-0000-00000B040000}"/>
    <cellStyle name="Percent 45" xfId="524" xr:uid="{00000000-0005-0000-0000-00000C040000}"/>
    <cellStyle name="Percent 46" xfId="535" xr:uid="{00000000-0005-0000-0000-00000D040000}"/>
    <cellStyle name="Percent 47" xfId="519" xr:uid="{00000000-0005-0000-0000-00000E040000}"/>
    <cellStyle name="Percent 48" xfId="532" xr:uid="{00000000-0005-0000-0000-00000F040000}"/>
    <cellStyle name="Percent 49" xfId="520" xr:uid="{00000000-0005-0000-0000-000010040000}"/>
    <cellStyle name="Percent 5" xfId="330" xr:uid="{00000000-0005-0000-0000-000011040000}"/>
    <cellStyle name="Percent 5 2" xfId="497" xr:uid="{00000000-0005-0000-0000-000012040000}"/>
    <cellStyle name="Percent 5 2 2" xfId="1145" xr:uid="{00000000-0005-0000-0000-000013040000}"/>
    <cellStyle name="Percent 5 2 3" xfId="589" xr:uid="{00000000-0005-0000-0000-000014040000}"/>
    <cellStyle name="Percent 5 3" xfId="475" xr:uid="{00000000-0005-0000-0000-000015040000}"/>
    <cellStyle name="Percent 5 3 2" xfId="1131" xr:uid="{00000000-0005-0000-0000-000016040000}"/>
    <cellStyle name="Percent 5 3 3" xfId="588" xr:uid="{00000000-0005-0000-0000-000017040000}"/>
    <cellStyle name="Percent 5 4" xfId="652" xr:uid="{00000000-0005-0000-0000-000018040000}"/>
    <cellStyle name="Percent 50" xfId="527" xr:uid="{00000000-0005-0000-0000-000019040000}"/>
    <cellStyle name="Percent 51" xfId="537" xr:uid="{00000000-0005-0000-0000-00001A040000}"/>
    <cellStyle name="Percent 52" xfId="518" xr:uid="{00000000-0005-0000-0000-00001B040000}"/>
    <cellStyle name="Percent 53" xfId="1045" xr:uid="{00000000-0005-0000-0000-00001C040000}"/>
    <cellStyle name="Percent 54" xfId="1056" xr:uid="{00000000-0005-0000-0000-00001D040000}"/>
    <cellStyle name="Percent 55" xfId="1059" xr:uid="{00000000-0005-0000-0000-00001E040000}"/>
    <cellStyle name="Percent 56" xfId="1060" xr:uid="{00000000-0005-0000-0000-00001F040000}"/>
    <cellStyle name="Percent 57" xfId="1065" xr:uid="{00000000-0005-0000-0000-000020040000}"/>
    <cellStyle name="Percent 58" xfId="1068" xr:uid="{00000000-0005-0000-0000-000021040000}"/>
    <cellStyle name="Percent 59" xfId="1073" xr:uid="{00000000-0005-0000-0000-000022040000}"/>
    <cellStyle name="Percent 6" xfId="319" xr:uid="{00000000-0005-0000-0000-000023040000}"/>
    <cellStyle name="Percent 6 2" xfId="490" xr:uid="{00000000-0005-0000-0000-000024040000}"/>
    <cellStyle name="Percent 6 3" xfId="476" xr:uid="{00000000-0005-0000-0000-000025040000}"/>
    <cellStyle name="Percent 60" xfId="1085" xr:uid="{00000000-0005-0000-0000-000026040000}"/>
    <cellStyle name="Percent 61" xfId="1072" xr:uid="{00000000-0005-0000-0000-000027040000}"/>
    <cellStyle name="Percent 62" xfId="1078" xr:uid="{00000000-0005-0000-0000-000028040000}"/>
    <cellStyle name="Percent 63" xfId="1077" xr:uid="{00000000-0005-0000-0000-000029040000}"/>
    <cellStyle name="Percent 64" xfId="1080" xr:uid="{00000000-0005-0000-0000-00002A040000}"/>
    <cellStyle name="Percent 65" xfId="1089" xr:uid="{00000000-0005-0000-0000-00002B040000}"/>
    <cellStyle name="Percent 66" xfId="1090" xr:uid="{00000000-0005-0000-0000-00002C040000}"/>
    <cellStyle name="Percent 67" xfId="1091" xr:uid="{00000000-0005-0000-0000-00002D040000}"/>
    <cellStyle name="Percent 68" xfId="1092" xr:uid="{00000000-0005-0000-0000-00002E040000}"/>
    <cellStyle name="Percent 69" xfId="1094" xr:uid="{00000000-0005-0000-0000-00002F040000}"/>
    <cellStyle name="Percent 7" xfId="329" xr:uid="{00000000-0005-0000-0000-000030040000}"/>
    <cellStyle name="Percent 7 2" xfId="496" xr:uid="{00000000-0005-0000-0000-000031040000}"/>
    <cellStyle name="Percent 7 2 2" xfId="1144" xr:uid="{00000000-0005-0000-0000-000032040000}"/>
    <cellStyle name="Percent 7 2 3" xfId="933" xr:uid="{00000000-0005-0000-0000-000033040000}"/>
    <cellStyle name="Percent 7 3" xfId="477" xr:uid="{00000000-0005-0000-0000-000034040000}"/>
    <cellStyle name="Percent 7 3 2" xfId="1132" xr:uid="{00000000-0005-0000-0000-000035040000}"/>
    <cellStyle name="Percent 7 3 3" xfId="869" xr:uid="{00000000-0005-0000-0000-000036040000}"/>
    <cellStyle name="Percent 70" xfId="1095" xr:uid="{00000000-0005-0000-0000-000037040000}"/>
    <cellStyle name="Percent 71" xfId="1093" xr:uid="{00000000-0005-0000-0000-000038040000}"/>
    <cellStyle name="Percent 72" xfId="1096" xr:uid="{00000000-0005-0000-0000-000039040000}"/>
    <cellStyle name="Percent 73" xfId="1097" xr:uid="{00000000-0005-0000-0000-00003A040000}"/>
    <cellStyle name="Percent 74" xfId="1098" xr:uid="{00000000-0005-0000-0000-00003B040000}"/>
    <cellStyle name="Percent 75" xfId="1100" xr:uid="{00000000-0005-0000-0000-00003C040000}"/>
    <cellStyle name="Percent 76" xfId="1099" xr:uid="{00000000-0005-0000-0000-00003D040000}"/>
    <cellStyle name="Percent 77" xfId="1101" xr:uid="{00000000-0005-0000-0000-00003E040000}"/>
    <cellStyle name="Percent 78" xfId="1103" xr:uid="{00000000-0005-0000-0000-00003F040000}"/>
    <cellStyle name="Percent 79" xfId="1106" xr:uid="{00000000-0005-0000-0000-000040040000}"/>
    <cellStyle name="Percent 8" xfId="320" xr:uid="{00000000-0005-0000-0000-000041040000}"/>
    <cellStyle name="Percent 8 2" xfId="491" xr:uid="{00000000-0005-0000-0000-000042040000}"/>
    <cellStyle name="Percent 8 2 2" xfId="1140" xr:uid="{00000000-0005-0000-0000-000043040000}"/>
    <cellStyle name="Percent 8 2 3" xfId="934" xr:uid="{00000000-0005-0000-0000-000044040000}"/>
    <cellStyle name="Percent 8 3" xfId="478" xr:uid="{00000000-0005-0000-0000-000045040000}"/>
    <cellStyle name="Percent 8 3 2" xfId="1133" xr:uid="{00000000-0005-0000-0000-000046040000}"/>
    <cellStyle name="Percent 8 3 3" xfId="870" xr:uid="{00000000-0005-0000-0000-000047040000}"/>
    <cellStyle name="Percent 80" xfId="1104" xr:uid="{00000000-0005-0000-0000-000048040000}"/>
    <cellStyle name="Percent 81" xfId="1102" xr:uid="{00000000-0005-0000-0000-000049040000}"/>
    <cellStyle name="Percent 82" xfId="1105" xr:uid="{00000000-0005-0000-0000-00004A040000}"/>
    <cellStyle name="Percent 83" xfId="1107" xr:uid="{00000000-0005-0000-0000-00004B040000}"/>
    <cellStyle name="Percent 84" xfId="1108" xr:uid="{00000000-0005-0000-0000-00004C040000}"/>
    <cellStyle name="Percent 85" xfId="1135" xr:uid="{00000000-0005-0000-0000-00004D040000}"/>
    <cellStyle name="Percent 86" xfId="1109" xr:uid="{00000000-0005-0000-0000-00004E040000}"/>
    <cellStyle name="Percent 87" xfId="1110" xr:uid="{00000000-0005-0000-0000-00004F040000}"/>
    <cellStyle name="Percent 88" xfId="1111" xr:uid="{00000000-0005-0000-0000-000050040000}"/>
    <cellStyle name="Percent 89" xfId="1157" xr:uid="{00000000-0005-0000-0000-000051040000}"/>
    <cellStyle name="Percent 9" xfId="328" xr:uid="{00000000-0005-0000-0000-000052040000}"/>
    <cellStyle name="Percent 9 2" xfId="495" xr:uid="{00000000-0005-0000-0000-000053040000}"/>
    <cellStyle name="Percent 9 3" xfId="479" xr:uid="{00000000-0005-0000-0000-000054040000}"/>
    <cellStyle name="Percent 90" xfId="1159" xr:uid="{00000000-0005-0000-0000-000055040000}"/>
    <cellStyle name="Percent 91" xfId="1158" xr:uid="{00000000-0005-0000-0000-000056040000}"/>
    <cellStyle name="Percent 92" xfId="1160" xr:uid="{00000000-0005-0000-0000-000057040000}"/>
    <cellStyle name="Percent 93" xfId="1161" xr:uid="{00000000-0005-0000-0000-000058040000}"/>
    <cellStyle name="Percent 94" xfId="1164" xr:uid="{00000000-0005-0000-0000-000059040000}"/>
    <cellStyle name="Percent 95" xfId="1163" xr:uid="{00000000-0005-0000-0000-00005A040000}"/>
    <cellStyle name="Percent 96" xfId="1167" xr:uid="{00000000-0005-0000-0000-00005B040000}"/>
    <cellStyle name="Percent 97" xfId="1166" xr:uid="{00000000-0005-0000-0000-00005C040000}"/>
    <cellStyle name="Percent 98" xfId="1165" xr:uid="{00000000-0005-0000-0000-00005D040000}"/>
    <cellStyle name="Percent 99" xfId="1162" xr:uid="{00000000-0005-0000-0000-00005E040000}"/>
    <cellStyle name="PERCENTAGE" xfId="184" xr:uid="{00000000-0005-0000-0000-00005F040000}"/>
    <cellStyle name="PercentChange" xfId="37" xr:uid="{00000000-0005-0000-0000-000060040000}"/>
    <cellStyle name="PerShare" xfId="185" xr:uid="{00000000-0005-0000-0000-000061040000}"/>
    <cellStyle name="Phone" xfId="590" xr:uid="{00000000-0005-0000-0000-000062040000}"/>
    <cellStyle name="PillarData" xfId="186" xr:uid="{00000000-0005-0000-0000-000063040000}"/>
    <cellStyle name="PillarData 2" xfId="304" xr:uid="{00000000-0005-0000-0000-000064040000}"/>
    <cellStyle name="PillarHeading" xfId="187" xr:uid="{00000000-0005-0000-0000-000065040000}"/>
    <cellStyle name="PillarHeading 2" xfId="305" xr:uid="{00000000-0005-0000-0000-000066040000}"/>
    <cellStyle name="PillarText" xfId="188" xr:uid="{00000000-0005-0000-0000-000067040000}"/>
    <cellStyle name="PillarText 2" xfId="306" xr:uid="{00000000-0005-0000-0000-000068040000}"/>
    <cellStyle name="PillarTotal" xfId="189" xr:uid="{00000000-0005-0000-0000-000069040000}"/>
    <cellStyle name="PillarTotal 2" xfId="307" xr:uid="{00000000-0005-0000-0000-00006A040000}"/>
    <cellStyle name="PrePop Currency (0)" xfId="190" xr:uid="{00000000-0005-0000-0000-00006B040000}"/>
    <cellStyle name="PrePop Currency (0) 2" xfId="591" xr:uid="{00000000-0005-0000-0000-00006C040000}"/>
    <cellStyle name="PrePop Currency (0) 3" xfId="640" xr:uid="{00000000-0005-0000-0000-00006D040000}"/>
    <cellStyle name="PrePop Currency (0) 3 2" xfId="871" xr:uid="{00000000-0005-0000-0000-00006E040000}"/>
    <cellStyle name="PrePop Currency (2)" xfId="191" xr:uid="{00000000-0005-0000-0000-00006F040000}"/>
    <cellStyle name="PrePop Currency (2) 2" xfId="592" xr:uid="{00000000-0005-0000-0000-000070040000}"/>
    <cellStyle name="PrePop Currency (2) 3" xfId="641" xr:uid="{00000000-0005-0000-0000-000071040000}"/>
    <cellStyle name="PrePop Currency (2) 3 2" xfId="872" xr:uid="{00000000-0005-0000-0000-000072040000}"/>
    <cellStyle name="PrePop Units (0)" xfId="192" xr:uid="{00000000-0005-0000-0000-000073040000}"/>
    <cellStyle name="PrePop Units (0) 2" xfId="593" xr:uid="{00000000-0005-0000-0000-000074040000}"/>
    <cellStyle name="PrePop Units (0) 3" xfId="642" xr:uid="{00000000-0005-0000-0000-000075040000}"/>
    <cellStyle name="PrePop Units (0) 3 2" xfId="873" xr:uid="{00000000-0005-0000-0000-000076040000}"/>
    <cellStyle name="PrePop Units (1)" xfId="193" xr:uid="{00000000-0005-0000-0000-000077040000}"/>
    <cellStyle name="PrePop Units (1) 2" xfId="594" xr:uid="{00000000-0005-0000-0000-000078040000}"/>
    <cellStyle name="PrePop Units (1) 3" xfId="643" xr:uid="{00000000-0005-0000-0000-000079040000}"/>
    <cellStyle name="PrePop Units (1) 3 2" xfId="874" xr:uid="{00000000-0005-0000-0000-00007A040000}"/>
    <cellStyle name="PrePop Units (2)" xfId="194" xr:uid="{00000000-0005-0000-0000-00007B040000}"/>
    <cellStyle name="PrePop Units (2) 2" xfId="595" xr:uid="{00000000-0005-0000-0000-00007C040000}"/>
    <cellStyle name="PrePop Units (2) 3" xfId="644" xr:uid="{00000000-0005-0000-0000-00007D040000}"/>
    <cellStyle name="PrePop Units (2) 3 2" xfId="875" xr:uid="{00000000-0005-0000-0000-00007E040000}"/>
    <cellStyle name="Presentation" xfId="195" xr:uid="{00000000-0005-0000-0000-00007F040000}"/>
    <cellStyle name="PSChar" xfId="596" xr:uid="{00000000-0005-0000-0000-000080040000}"/>
    <cellStyle name="PSDate" xfId="597" xr:uid="{00000000-0005-0000-0000-000081040000}"/>
    <cellStyle name="PSDec" xfId="598" xr:uid="{00000000-0005-0000-0000-000082040000}"/>
    <cellStyle name="PSHeading" xfId="599" xr:uid="{00000000-0005-0000-0000-000083040000}"/>
    <cellStyle name="PSInt" xfId="600" xr:uid="{00000000-0005-0000-0000-000084040000}"/>
    <cellStyle name="PSSpacer" xfId="601" xr:uid="{00000000-0005-0000-0000-000085040000}"/>
    <cellStyle name="Ratio" xfId="38" xr:uid="{00000000-0005-0000-0000-000086040000}"/>
    <cellStyle name="RatioX" xfId="39" xr:uid="{00000000-0005-0000-0000-000087040000}"/>
    <cellStyle name="Report" xfId="196" xr:uid="{00000000-0005-0000-0000-000088040000}"/>
    <cellStyle name="RevList" xfId="197" xr:uid="{00000000-0005-0000-0000-000089040000}"/>
    <cellStyle name="rh" xfId="40" xr:uid="{00000000-0005-0000-0000-00008A040000}"/>
    <cellStyle name="RRSInstruction" xfId="41" xr:uid="{00000000-0005-0000-0000-00008B040000}"/>
    <cellStyle name="RRSInstruction 2" xfId="42" xr:uid="{00000000-0005-0000-0000-00008C040000}"/>
    <cellStyle name="s_HardInc " xfId="43" xr:uid="{00000000-0005-0000-0000-00008D040000}"/>
    <cellStyle name="s_Valuation " xfId="44" xr:uid="{00000000-0005-0000-0000-00008E040000}"/>
    <cellStyle name="ScripFactor" xfId="45" xr:uid="{00000000-0005-0000-0000-00008F040000}"/>
    <cellStyle name="SectionHeading" xfId="46" xr:uid="{00000000-0005-0000-0000-000090040000}"/>
    <cellStyle name="Shares" xfId="198" xr:uid="{00000000-0005-0000-0000-000092040000}"/>
    <cellStyle name="srh" xfId="47" xr:uid="{00000000-0005-0000-0000-000093040000}"/>
    <cellStyle name="ssp " xfId="48" xr:uid="{00000000-0005-0000-0000-000094040000}"/>
    <cellStyle name="Standard" xfId="49" xr:uid="{00000000-0005-0000-0000-000095040000}"/>
    <cellStyle name="Style 1" xfId="50" xr:uid="{00000000-0005-0000-0000-000096040000}"/>
    <cellStyle name="Style 1 2" xfId="51" xr:uid="{00000000-0005-0000-0000-000097040000}"/>
    <cellStyle name="Style 1 2 2" xfId="308" xr:uid="{00000000-0005-0000-0000-000098040000}"/>
    <cellStyle name="Style 1 3" xfId="602" xr:uid="{00000000-0005-0000-0000-000099040000}"/>
    <cellStyle name="Style 1 4" xfId="645" xr:uid="{00000000-0005-0000-0000-00009A040000}"/>
    <cellStyle name="Style 1 5" xfId="199" xr:uid="{00000000-0005-0000-0000-00009B040000}"/>
    <cellStyle name="Style 2" xfId="52" xr:uid="{00000000-0005-0000-0000-00009C040000}"/>
    <cellStyle name="Style 3" xfId="53" xr:uid="{00000000-0005-0000-0000-00009D040000}"/>
    <cellStyle name="Style 3 2" xfId="54" xr:uid="{00000000-0005-0000-0000-00009E040000}"/>
    <cellStyle name="Style 4" xfId="55" xr:uid="{00000000-0005-0000-0000-00009F040000}"/>
    <cellStyle name="Style 4 2" xfId="56" xr:uid="{00000000-0005-0000-0000-0000A0040000}"/>
    <cellStyle name="Style 5" xfId="57" xr:uid="{00000000-0005-0000-0000-0000A1040000}"/>
    <cellStyle name="Style 5 2" xfId="58" xr:uid="{00000000-0005-0000-0000-0000A2040000}"/>
    <cellStyle name="Style 6" xfId="59" xr:uid="{00000000-0005-0000-0000-0000A3040000}"/>
    <cellStyle name="Style 7" xfId="60" xr:uid="{00000000-0005-0000-0000-0000A4040000}"/>
    <cellStyle name="Style 8" xfId="61" xr:uid="{00000000-0005-0000-0000-0000A5040000}"/>
    <cellStyle name="Subtotal" xfId="200" xr:uid="{00000000-0005-0000-0000-0000A6040000}"/>
    <cellStyle name="Text Indent A" xfId="201" xr:uid="{00000000-0005-0000-0000-0000A7040000}"/>
    <cellStyle name="Text Indent B" xfId="202" xr:uid="{00000000-0005-0000-0000-0000A8040000}"/>
    <cellStyle name="Text Indent B 2" xfId="603" xr:uid="{00000000-0005-0000-0000-0000A9040000}"/>
    <cellStyle name="Text Indent B 3" xfId="646" xr:uid="{00000000-0005-0000-0000-0000AA040000}"/>
    <cellStyle name="Text Indent B 3 2" xfId="876" xr:uid="{00000000-0005-0000-0000-0000AB040000}"/>
    <cellStyle name="Text Indent C" xfId="203" xr:uid="{00000000-0005-0000-0000-0000AC040000}"/>
    <cellStyle name="Text Indent C 2" xfId="309" xr:uid="{00000000-0005-0000-0000-0000AD040000}"/>
    <cellStyle name="Text Indent C 2 2" xfId="877" xr:uid="{00000000-0005-0000-0000-0000AE040000}"/>
    <cellStyle name="Text Indent C 3" xfId="604" xr:uid="{00000000-0005-0000-0000-0000AF040000}"/>
    <cellStyle name="Text Indent C 4" xfId="647" xr:uid="{00000000-0005-0000-0000-0000B0040000}"/>
    <cellStyle name="Text Indent C 4 2" xfId="935" xr:uid="{00000000-0005-0000-0000-0000B1040000}"/>
    <cellStyle name="Text Indent C 5" xfId="878" xr:uid="{00000000-0005-0000-0000-0000B2040000}"/>
    <cellStyle name="Text Indent C 5 2" xfId="936" xr:uid="{00000000-0005-0000-0000-0000B3040000}"/>
    <cellStyle name="Text Indent C 6" xfId="879" xr:uid="{00000000-0005-0000-0000-0000B4040000}"/>
    <cellStyle name="Text Indent C 6 2" xfId="937" xr:uid="{00000000-0005-0000-0000-0000B5040000}"/>
    <cellStyle name="Text Indent C 7" xfId="880" xr:uid="{00000000-0005-0000-0000-0000B6040000}"/>
    <cellStyle name="Text Indent C 7 2" xfId="938" xr:uid="{00000000-0005-0000-0000-0000B7040000}"/>
    <cellStyle name="Text Indent C 8" xfId="881" xr:uid="{00000000-0005-0000-0000-0000B8040000}"/>
    <cellStyle name="Text Indent C 8 2" xfId="939" xr:uid="{00000000-0005-0000-0000-0000B9040000}"/>
    <cellStyle name="Tickmark" xfId="605" xr:uid="{00000000-0005-0000-0000-0000BA040000}"/>
    <cellStyle name="Title" xfId="67" builtinId="15" hidden="1"/>
    <cellStyle name="Title 2" xfId="411" xr:uid="{00000000-0005-0000-0000-0000BC040000}"/>
    <cellStyle name="Title 3" xfId="266" xr:uid="{00000000-0005-0000-0000-0000BD040000}"/>
    <cellStyle name="Titles" xfId="62" xr:uid="{00000000-0005-0000-0000-0000BE040000}"/>
    <cellStyle name="TitleSub" xfId="204" xr:uid="{00000000-0005-0000-0000-0000BF040000}"/>
    <cellStyle name="Total" xfId="83" builtinId="25" hidden="1"/>
    <cellStyle name="Total 2" xfId="412" xr:uid="{00000000-0005-0000-0000-0000C1040000}"/>
    <cellStyle name="Total 3" xfId="267" xr:uid="{00000000-0005-0000-0000-0000C2040000}"/>
    <cellStyle name="v" xfId="205" xr:uid="{00000000-0005-0000-0000-0000C3040000}"/>
    <cellStyle name="Warning Text" xfId="80" builtinId="11" hidden="1"/>
    <cellStyle name="Warning Text 2" xfId="413" xr:uid="{00000000-0005-0000-0000-0000C5040000}"/>
    <cellStyle name="Warning Text 3" xfId="268" xr:uid="{00000000-0005-0000-0000-0000C6040000}"/>
    <cellStyle name="x" xfId="206" xr:uid="{00000000-0005-0000-0000-0000C7040000}"/>
    <cellStyle name="x 2" xfId="310" xr:uid="{00000000-0005-0000-0000-0000C8040000}"/>
    <cellStyle name="x_5B" xfId="207" xr:uid="{00000000-0005-0000-0000-0000C9040000}"/>
    <cellStyle name="x_5B (2)" xfId="208" xr:uid="{00000000-0005-0000-0000-0000CA040000}"/>
    <cellStyle name="x_6A" xfId="209" xr:uid="{00000000-0005-0000-0000-0000CB040000}"/>
    <cellStyle name="x_6B" xfId="210" xr:uid="{00000000-0005-0000-0000-0000CC040000}"/>
    <cellStyle name="x_FY12 Q2 Press Tables" xfId="211" xr:uid="{00000000-0005-0000-0000-0000CD040000}"/>
    <cellStyle name="x_Index" xfId="212" xr:uid="{00000000-0005-0000-0000-0000CE040000}"/>
    <cellStyle name="쬞\?1@" xfId="63" xr:uid="{00000000-0005-0000-0000-0000D0040000}"/>
    <cellStyle name="쬞\?1@ 2" xfId="64" xr:uid="{00000000-0005-0000-0000-0000D1040000}"/>
    <cellStyle name="콤마 [0]_#3이설 견적_준공내역총괄표 " xfId="65" xr:uid="{00000000-0005-0000-0000-0000D2040000}"/>
    <cellStyle name="콤마_#3이설 견적_준공내역총괄표 " xfId="66" xr:uid="{00000000-0005-0000-0000-0000D3040000}"/>
    <cellStyle name="パーセント_PLDT" xfId="213" xr:uid="{00000000-0005-0000-0000-0000CF040000}"/>
    <cellStyle name="一般_Bank fee" xfId="606" xr:uid="{00000000-0005-0000-0000-0000D4040000}"/>
    <cellStyle name="千分位_Bank fee" xfId="607" xr:uid="{00000000-0005-0000-0000-0000D5040000}"/>
    <cellStyle name="桁区切り [0.00]_ME Inventory Template - Dec" xfId="214" xr:uid="{00000000-0005-0000-0000-0000D6040000}"/>
    <cellStyle name="桁区切り_IT Forecast MayD7xls" xfId="215" xr:uid="{00000000-0005-0000-0000-0000D7040000}"/>
    <cellStyle name="標準_IT Forecast MayD7xls" xfId="216" xr:uid="{00000000-0005-0000-0000-0000D8040000}"/>
    <cellStyle name="通貨 [0.00]_PLDT" xfId="217" xr:uid="{00000000-0005-0000-0000-0000D9040000}"/>
  </cellStyles>
  <dxfs count="0"/>
  <tableStyles count="0" defaultTableStyle="TableStyleMedium2" defaultPivotStyle="PivotStyleLight16"/>
  <colors>
    <mruColors>
      <color rgb="FF0000FF"/>
      <color rgb="FF3692CA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PresXpress_OnScreen_Theme">
  <a:themeElements>
    <a:clrScheme name="UBS Colorset">
      <a:dk1>
        <a:sysClr val="windowText" lastClr="000000"/>
      </a:dk1>
      <a:lt1>
        <a:sysClr val="window" lastClr="FFFFFF"/>
      </a:lt1>
      <a:dk2>
        <a:srgbClr val="E60000"/>
      </a:dk2>
      <a:lt2>
        <a:srgbClr val="FFFFFF"/>
      </a:lt2>
      <a:accent1>
        <a:srgbClr val="3692CA"/>
      </a:accent1>
      <a:accent2>
        <a:srgbClr val="C09979"/>
      </a:accent2>
      <a:accent3>
        <a:srgbClr val="4D3C2F"/>
      </a:accent3>
      <a:accent4>
        <a:srgbClr val="AFBCD5"/>
      </a:accent4>
      <a:accent5>
        <a:srgbClr val="759731"/>
      </a:accent5>
      <a:accent6>
        <a:srgbClr val="A43725"/>
      </a:accent6>
      <a:hlink>
        <a:srgbClr val="0000FF"/>
      </a:hlink>
      <a:folHlink>
        <a:srgbClr val="800080"/>
      </a:folHlink>
    </a:clrScheme>
    <a:fontScheme name="UBS OnScreen Fontset">
      <a:majorFont>
        <a:latin typeface="UBSHeadline"/>
        <a:ea typeface="MS PGothic"/>
        <a:cs typeface=""/>
      </a:majorFont>
      <a:minorFont>
        <a:latin typeface="Frutiger 55 Roman"/>
        <a:ea typeface="MS PGothic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19050">
          <a:solidFill>
            <a:srgbClr val="7B7D80"/>
          </a:solidFill>
        </a:ln>
      </a:spPr>
      <a:bodyPr rot="0" spcFirstLastPara="0" vertOverflow="overflow" horzOverflow="overflow" vert="horz" wrap="square" lIns="0" tIns="0" rIns="0" bIns="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dirty="0" smtClean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9050">
          <a:solidFill>
            <a:srgbClr val="7B7D80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lIns="0" tIns="0" rIns="0" bIns="0" rtlCol="0">
        <a:noAutofit/>
      </a:bodyPr>
      <a:lstStyle>
        <a:defPPr>
          <a:defRPr dirty="0"/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ir.ea.com/press-releases/press-release-details/2021/Live-Your-Best-Village-Life-With-the-Sims-4-Cottage-Living-Expansion-Pack/default.aspx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workbookViewId="0"/>
  </sheetViews>
  <sheetFormatPr baseColWidth="10" defaultColWidth="8.83203125" defaultRowHeight="14"/>
  <sheetData>
    <row r="1" spans="1:2">
      <c r="B1" t="s">
        <v>287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I113"/>
  <sheetViews>
    <sheetView zoomScale="75" zoomScaleNormal="100" workbookViewId="0">
      <pane xSplit="1" ySplit="5" topLeftCell="AA6" activePane="bottomRight" state="frozen"/>
      <selection pane="topRight"/>
      <selection pane="bottomLeft"/>
      <selection pane="bottomRight" activeCell="AG27" sqref="AG27"/>
    </sheetView>
  </sheetViews>
  <sheetFormatPr baseColWidth="10" defaultColWidth="6" defaultRowHeight="11" outlineLevelCol="1"/>
  <cols>
    <col min="1" max="1" width="23.5" style="127" customWidth="1"/>
    <col min="2" max="9" width="6" style="266" customWidth="1" outlineLevel="1"/>
    <col min="10" max="11" width="6" style="266" customWidth="1" outlineLevel="1" collapsed="1"/>
    <col min="12" max="14" width="6" style="266" customWidth="1" outlineLevel="1"/>
    <col min="15" max="15" width="6" style="266" customWidth="1" outlineLevel="1" collapsed="1"/>
    <col min="16" max="34" width="6" style="266" customWidth="1" outlineLevel="1"/>
    <col min="35" max="54" width="6" style="266" customWidth="1"/>
    <col min="55" max="66" width="6" style="266" hidden="1" customWidth="1" outlineLevel="1"/>
    <col min="67" max="67" width="6" style="266" customWidth="1" collapsed="1"/>
    <col min="68" max="76" width="6" style="266" hidden="1" customWidth="1" outlineLevel="1"/>
    <col min="77" max="77" width="6.33203125" style="3" customWidth="1" collapsed="1"/>
    <col min="78" max="84" width="6.33203125" style="3" customWidth="1"/>
    <col min="85" max="85" width="6" style="266" customWidth="1"/>
    <col min="86" max="16384" width="6" style="266"/>
  </cols>
  <sheetData>
    <row r="1" spans="1:85" ht="16">
      <c r="A1" s="302"/>
    </row>
    <row r="2" spans="1:85">
      <c r="A2" s="281" t="s">
        <v>367</v>
      </c>
    </row>
    <row r="3" spans="1:85">
      <c r="A3" s="303" t="s">
        <v>312</v>
      </c>
    </row>
    <row r="4" spans="1:85" s="3" customFormat="1" ht="12.75" customHeight="1">
      <c r="A4" s="191"/>
      <c r="B4" s="9">
        <v>40268</v>
      </c>
      <c r="C4" s="9">
        <v>40359</v>
      </c>
      <c r="D4" s="9">
        <v>40451</v>
      </c>
      <c r="E4" s="9">
        <v>40543</v>
      </c>
      <c r="F4" s="9">
        <v>40633</v>
      </c>
      <c r="G4" s="9">
        <v>40724</v>
      </c>
      <c r="H4" s="9">
        <v>40816</v>
      </c>
      <c r="I4" s="9">
        <v>40908</v>
      </c>
      <c r="J4" s="9">
        <v>40999</v>
      </c>
      <c r="K4" s="9">
        <v>41090</v>
      </c>
      <c r="L4" s="9">
        <v>41182</v>
      </c>
      <c r="M4" s="9">
        <v>41274</v>
      </c>
      <c r="N4" s="9">
        <v>41364</v>
      </c>
      <c r="O4" s="9">
        <v>41455</v>
      </c>
      <c r="P4" s="9">
        <v>41547</v>
      </c>
      <c r="Q4" s="9">
        <v>41639</v>
      </c>
      <c r="R4" s="9">
        <v>41729</v>
      </c>
      <c r="S4" s="9">
        <v>41820</v>
      </c>
      <c r="T4" s="9">
        <v>41912</v>
      </c>
      <c r="U4" s="9">
        <v>42004</v>
      </c>
      <c r="V4" s="9">
        <v>42094</v>
      </c>
      <c r="W4" s="9">
        <v>42185</v>
      </c>
      <c r="X4" s="9">
        <v>42277</v>
      </c>
      <c r="Y4" s="9">
        <v>42369</v>
      </c>
      <c r="Z4" s="9">
        <v>42460</v>
      </c>
      <c r="AA4" s="9">
        <v>42551</v>
      </c>
      <c r="AB4" s="9">
        <v>42643</v>
      </c>
      <c r="AC4" s="9">
        <v>42735</v>
      </c>
      <c r="AD4" s="9">
        <v>42825</v>
      </c>
      <c r="AE4" s="9">
        <v>42916</v>
      </c>
      <c r="AF4" s="9">
        <v>43008</v>
      </c>
      <c r="AG4" s="9">
        <v>43100</v>
      </c>
      <c r="AH4" s="9">
        <v>43190</v>
      </c>
      <c r="AI4" s="9">
        <v>43281</v>
      </c>
      <c r="AJ4" s="9">
        <v>43373</v>
      </c>
      <c r="AK4" s="9">
        <v>43465</v>
      </c>
      <c r="AL4" s="9">
        <v>43555</v>
      </c>
      <c r="AM4" s="9">
        <v>43646</v>
      </c>
      <c r="AN4" s="9">
        <v>43738</v>
      </c>
      <c r="AO4" s="9">
        <v>43830</v>
      </c>
      <c r="AP4" s="9">
        <v>43921</v>
      </c>
      <c r="AQ4" s="9">
        <v>44012</v>
      </c>
      <c r="AR4" s="9">
        <v>44104</v>
      </c>
      <c r="AS4" s="9">
        <v>44196</v>
      </c>
      <c r="AT4" s="9">
        <v>44286</v>
      </c>
      <c r="AU4" s="9">
        <v>44368</v>
      </c>
      <c r="AV4" s="9">
        <v>44460</v>
      </c>
      <c r="AW4" s="10" t="s">
        <v>258</v>
      </c>
      <c r="AX4" s="10" t="s">
        <v>259</v>
      </c>
      <c r="AY4" s="10">
        <v>44742</v>
      </c>
      <c r="AZ4" s="10">
        <v>44834</v>
      </c>
      <c r="BA4" s="10">
        <v>44926</v>
      </c>
      <c r="BB4" s="10">
        <v>45016</v>
      </c>
      <c r="BC4" s="10">
        <v>45107</v>
      </c>
      <c r="BD4" s="10">
        <v>45199</v>
      </c>
      <c r="BE4" s="10">
        <v>45291</v>
      </c>
      <c r="BF4" s="10">
        <v>45382</v>
      </c>
      <c r="BG4" s="10">
        <v>45473</v>
      </c>
      <c r="BH4" s="10">
        <v>45565</v>
      </c>
      <c r="BI4" s="10">
        <v>45657</v>
      </c>
      <c r="BJ4" s="10">
        <v>45747</v>
      </c>
      <c r="BK4" s="10">
        <v>45838</v>
      </c>
      <c r="BL4" s="10">
        <v>45930</v>
      </c>
      <c r="BM4" s="10">
        <v>46022</v>
      </c>
      <c r="BN4" s="10">
        <v>46112</v>
      </c>
      <c r="BO4" s="10"/>
      <c r="BP4" s="191">
        <v>2010</v>
      </c>
      <c r="BQ4" s="191">
        <v>2011</v>
      </c>
      <c r="BR4" s="191">
        <v>2012</v>
      </c>
      <c r="BS4" s="191">
        <v>2013</v>
      </c>
      <c r="BT4" s="191">
        <v>2014</v>
      </c>
      <c r="BU4" s="191">
        <v>2015</v>
      </c>
      <c r="BV4" s="191">
        <v>2016</v>
      </c>
      <c r="BW4" s="191">
        <v>2017</v>
      </c>
      <c r="BX4" s="601">
        <v>43160</v>
      </c>
      <c r="BY4" s="601">
        <v>43555</v>
      </c>
      <c r="BZ4" s="601">
        <v>43921</v>
      </c>
      <c r="CA4" s="601">
        <v>44286</v>
      </c>
      <c r="CB4" s="602" t="s">
        <v>259</v>
      </c>
      <c r="CC4" s="602">
        <v>45016</v>
      </c>
      <c r="CD4" s="602">
        <v>45382</v>
      </c>
      <c r="CE4" s="602">
        <v>45747</v>
      </c>
      <c r="CF4" s="602">
        <v>46112</v>
      </c>
    </row>
    <row r="5" spans="1:85" s="12" customFormat="1">
      <c r="B5" s="12" t="s">
        <v>334</v>
      </c>
      <c r="C5" s="12" t="s">
        <v>335</v>
      </c>
      <c r="D5" s="12" t="s">
        <v>336</v>
      </c>
      <c r="E5" s="12" t="s">
        <v>337</v>
      </c>
      <c r="F5" s="12" t="s">
        <v>338</v>
      </c>
      <c r="G5" s="12" t="s">
        <v>339</v>
      </c>
      <c r="H5" s="12" t="s">
        <v>340</v>
      </c>
      <c r="I5" s="12" t="s">
        <v>341</v>
      </c>
      <c r="J5" s="12" t="s">
        <v>342</v>
      </c>
      <c r="K5" s="12" t="s">
        <v>343</v>
      </c>
      <c r="L5" s="12" t="s">
        <v>344</v>
      </c>
      <c r="M5" s="12" t="s">
        <v>345</v>
      </c>
      <c r="N5" s="12" t="s">
        <v>346</v>
      </c>
      <c r="O5" s="12" t="s">
        <v>347</v>
      </c>
      <c r="P5" s="12" t="s">
        <v>348</v>
      </c>
      <c r="Q5" s="12" t="s">
        <v>349</v>
      </c>
      <c r="R5" s="12" t="s">
        <v>350</v>
      </c>
      <c r="S5" s="12" t="s">
        <v>351</v>
      </c>
      <c r="T5" s="12" t="s">
        <v>352</v>
      </c>
      <c r="U5" s="12" t="s">
        <v>353</v>
      </c>
      <c r="V5" s="12" t="s">
        <v>354</v>
      </c>
      <c r="W5" s="12" t="s">
        <v>355</v>
      </c>
      <c r="X5" s="12" t="s">
        <v>356</v>
      </c>
      <c r="Y5" s="12" t="s">
        <v>357</v>
      </c>
      <c r="Z5" s="12" t="s">
        <v>358</v>
      </c>
      <c r="AA5" s="12" t="s">
        <v>359</v>
      </c>
      <c r="AB5" s="12" t="s">
        <v>360</v>
      </c>
      <c r="AC5" s="12" t="s">
        <v>361</v>
      </c>
      <c r="AD5" s="12" t="s">
        <v>362</v>
      </c>
      <c r="AE5" s="12" t="s">
        <v>363</v>
      </c>
      <c r="AF5" s="12" t="s">
        <v>364</v>
      </c>
      <c r="AG5" s="12" t="s">
        <v>365</v>
      </c>
      <c r="AH5" s="12" t="s">
        <v>366</v>
      </c>
      <c r="AI5" s="12" t="str">
        <f>Drivers!AI5</f>
        <v>1FQ19</v>
      </c>
      <c r="AJ5" s="12" t="str">
        <f>Drivers!AJ5</f>
        <v>2FQ19</v>
      </c>
      <c r="AK5" s="12" t="str">
        <f>Drivers!AK5</f>
        <v>3FQ19</v>
      </c>
      <c r="AL5" s="12" t="str">
        <f>Drivers!AL5</f>
        <v>4FQ19</v>
      </c>
      <c r="AM5" s="12" t="str">
        <f>Drivers!AM5</f>
        <v>1FQ20</v>
      </c>
      <c r="AN5" s="12" t="str">
        <f>Drivers!AN5</f>
        <v>2FQ20</v>
      </c>
      <c r="AO5" s="12" t="str">
        <f>Drivers!AO5</f>
        <v>3FQ20</v>
      </c>
      <c r="AP5" s="12" t="str">
        <f>Drivers!AP5</f>
        <v>4FQ20</v>
      </c>
      <c r="AQ5" s="12" t="str">
        <f>Drivers!AQ5</f>
        <v>1FQ21</v>
      </c>
      <c r="AR5" s="12" t="str">
        <f>Drivers!AR5</f>
        <v>2FQ21</v>
      </c>
      <c r="AS5" s="12" t="str">
        <f>Drivers!AS5</f>
        <v>3FQ21</v>
      </c>
      <c r="AT5" s="12" t="str">
        <f>Drivers!AT5</f>
        <v>4FQ21</v>
      </c>
      <c r="AU5" s="12" t="str">
        <f>Drivers!AU5</f>
        <v>1FQ22</v>
      </c>
      <c r="AV5" s="12" t="str">
        <f>Drivers!AV5</f>
        <v>2FQ22</v>
      </c>
      <c r="AW5" s="12" t="str">
        <f>Drivers!AW5</f>
        <v>3FQ22E</v>
      </c>
      <c r="AX5" s="12" t="str">
        <f>Drivers!AX5</f>
        <v>4FQ22E</v>
      </c>
      <c r="AY5" s="12" t="str">
        <f>Drivers!AY5</f>
        <v>1FQ23E</v>
      </c>
      <c r="AZ5" s="12" t="str">
        <f>Drivers!AZ5</f>
        <v>2FQ23E</v>
      </c>
      <c r="BA5" s="12" t="str">
        <f>Drivers!BA5</f>
        <v>3FQ23E</v>
      </c>
      <c r="BB5" s="12" t="str">
        <f>Drivers!BB5</f>
        <v>4FQ23E</v>
      </c>
      <c r="BC5" s="12" t="str">
        <f>Drivers!BC5</f>
        <v>1FQ24E</v>
      </c>
      <c r="BD5" s="12" t="str">
        <f>Drivers!BD5</f>
        <v>2FQ24E</v>
      </c>
      <c r="BE5" s="12" t="str">
        <f>Drivers!BE5</f>
        <v>3FQ24E</v>
      </c>
      <c r="BF5" s="12" t="str">
        <f>Drivers!BF5</f>
        <v>4FQ24E</v>
      </c>
      <c r="BG5" s="12" t="str">
        <f>Drivers!BG5</f>
        <v>1FQ25E</v>
      </c>
      <c r="BH5" s="12" t="str">
        <f>Drivers!BH5</f>
        <v>2FQ25E</v>
      </c>
      <c r="BI5" s="12" t="str">
        <f>Drivers!BI5</f>
        <v>3FQ25E</v>
      </c>
      <c r="BJ5" s="12" t="str">
        <f>Drivers!BJ5</f>
        <v>4FQ25E</v>
      </c>
      <c r="BK5" s="12" t="str">
        <f>Drivers!BK5</f>
        <v>1FQ26E</v>
      </c>
      <c r="BL5" s="12" t="str">
        <f>Drivers!BL5</f>
        <v>2FQ26E</v>
      </c>
      <c r="BM5" s="12" t="str">
        <f>Drivers!BM5</f>
        <v>3FQ26E</v>
      </c>
      <c r="BN5" s="12" t="str">
        <f>Drivers!BN5</f>
        <v>4FQ26E</v>
      </c>
      <c r="BP5" s="304" t="str">
        <f>Drivers!BP5</f>
        <v>F2010</v>
      </c>
      <c r="BQ5" s="304" t="str">
        <f>Drivers!BQ5</f>
        <v>F2011</v>
      </c>
      <c r="BR5" s="304" t="str">
        <f>Drivers!BR5</f>
        <v>F2012</v>
      </c>
      <c r="BS5" s="304" t="str">
        <f>Drivers!BS5</f>
        <v>F2013</v>
      </c>
      <c r="BT5" s="304" t="str">
        <f>Drivers!BT5</f>
        <v>F2014</v>
      </c>
      <c r="BU5" s="304" t="str">
        <f>Drivers!BU5</f>
        <v>F2015</v>
      </c>
      <c r="BV5" s="304" t="str">
        <f>Drivers!BV5</f>
        <v>F2016</v>
      </c>
      <c r="BW5" s="304" t="str">
        <f>Drivers!BW5</f>
        <v>F2017</v>
      </c>
      <c r="BX5" s="304" t="str">
        <f>Drivers!BX5</f>
        <v>F2018</v>
      </c>
      <c r="BY5" s="304" t="str">
        <f>Drivers!BY5</f>
        <v>FY2019</v>
      </c>
      <c r="BZ5" s="304" t="str">
        <f>Drivers!BZ5</f>
        <v>FY2020</v>
      </c>
      <c r="CA5" s="304" t="str">
        <f>Drivers!CA5</f>
        <v>FY2021</v>
      </c>
      <c r="CB5" s="305" t="str">
        <f>Drivers!CB5</f>
        <v>FY2022E</v>
      </c>
      <c r="CC5" s="305" t="str">
        <f>Drivers!CC5</f>
        <v>FY2023E</v>
      </c>
      <c r="CD5" s="305" t="str">
        <f>Drivers!CD5</f>
        <v>FY2024E</v>
      </c>
      <c r="CE5" s="305" t="str">
        <f>Drivers!CE5</f>
        <v>FY2025E</v>
      </c>
      <c r="CF5" s="305" t="str">
        <f>Drivers!CF5</f>
        <v>FY2026E</v>
      </c>
    </row>
    <row r="6" spans="1:85" s="267" customFormat="1">
      <c r="A6" s="603" t="s">
        <v>372</v>
      </c>
      <c r="B6" s="603"/>
      <c r="C6" s="603"/>
      <c r="D6" s="603"/>
      <c r="E6" s="603"/>
      <c r="F6" s="603"/>
      <c r="G6" s="603"/>
      <c r="H6" s="603"/>
      <c r="I6" s="603"/>
      <c r="J6" s="603"/>
      <c r="K6" s="603"/>
      <c r="L6" s="603"/>
      <c r="M6" s="603"/>
      <c r="N6" s="603"/>
      <c r="O6" s="603"/>
      <c r="P6" s="603"/>
      <c r="Q6" s="603"/>
      <c r="R6" s="603"/>
      <c r="S6" s="603"/>
      <c r="T6" s="603"/>
      <c r="U6" s="603"/>
      <c r="V6" s="603"/>
      <c r="W6" s="603"/>
      <c r="X6" s="603"/>
      <c r="Y6" s="603"/>
      <c r="Z6" s="603"/>
      <c r="AA6" s="603"/>
      <c r="AB6" s="603"/>
      <c r="AC6" s="603"/>
      <c r="AD6" s="603"/>
      <c r="AE6" s="603"/>
      <c r="AF6" s="603"/>
      <c r="AG6" s="603"/>
      <c r="AH6" s="603"/>
      <c r="AI6" s="603"/>
      <c r="AJ6" s="603"/>
      <c r="AK6" s="603"/>
      <c r="AL6" s="603"/>
      <c r="AM6" s="603"/>
      <c r="AN6" s="603"/>
      <c r="AO6" s="603"/>
      <c r="AP6" s="603"/>
      <c r="AQ6" s="603"/>
      <c r="AR6" s="603"/>
      <c r="AS6" s="603"/>
      <c r="AT6" s="603"/>
      <c r="AU6" s="603"/>
      <c r="AV6" s="603"/>
      <c r="AW6" s="603"/>
      <c r="AX6" s="603"/>
      <c r="AY6" s="603"/>
      <c r="AZ6" s="603"/>
      <c r="BA6" s="603"/>
      <c r="BB6" s="603"/>
      <c r="BC6" s="603"/>
      <c r="BD6" s="603"/>
      <c r="BE6" s="603"/>
      <c r="BF6" s="603"/>
      <c r="BG6" s="603"/>
      <c r="BH6" s="603"/>
      <c r="BI6" s="603"/>
      <c r="BJ6" s="603"/>
      <c r="BK6" s="603"/>
      <c r="BL6" s="603"/>
      <c r="BM6" s="603"/>
      <c r="BN6" s="603"/>
      <c r="BO6" s="603"/>
      <c r="BP6" s="603"/>
      <c r="BQ6" s="603"/>
      <c r="BR6" s="603"/>
      <c r="BS6" s="603"/>
      <c r="BT6" s="603"/>
      <c r="BU6" s="603"/>
      <c r="BV6" s="603"/>
      <c r="BW6" s="603"/>
      <c r="BX6" s="603"/>
      <c r="BY6" s="603"/>
      <c r="BZ6" s="603"/>
      <c r="CA6" s="603"/>
      <c r="CB6" s="603"/>
      <c r="CC6" s="603"/>
      <c r="CD6" s="603"/>
      <c r="CE6" s="603"/>
      <c r="CF6" s="603"/>
    </row>
    <row r="7" spans="1:85" s="31" customFormat="1">
      <c r="A7" s="162" t="s">
        <v>202</v>
      </c>
      <c r="B7" s="45">
        <f>Drivers!B30</f>
        <v>0</v>
      </c>
      <c r="C7" s="45">
        <f>Drivers!C30</f>
        <v>0</v>
      </c>
      <c r="D7" s="45">
        <f>Drivers!D30</f>
        <v>0</v>
      </c>
      <c r="E7" s="45">
        <f>Drivers!E30</f>
        <v>0</v>
      </c>
      <c r="F7" s="45">
        <f>Drivers!F30</f>
        <v>0</v>
      </c>
      <c r="G7" s="45">
        <f>Drivers!G30</f>
        <v>0</v>
      </c>
      <c r="H7" s="45">
        <f>Drivers!H30</f>
        <v>0</v>
      </c>
      <c r="I7" s="45">
        <f>Drivers!I30</f>
        <v>0</v>
      </c>
      <c r="J7" s="45">
        <f>Drivers!J30</f>
        <v>0</v>
      </c>
      <c r="K7" s="45">
        <f>Drivers!K30</f>
        <v>0</v>
      </c>
      <c r="L7" s="45">
        <f>Drivers!L30</f>
        <v>0</v>
      </c>
      <c r="M7" s="45">
        <f>Drivers!M30</f>
        <v>0</v>
      </c>
      <c r="N7" s="45">
        <f>Drivers!N30</f>
        <v>0</v>
      </c>
      <c r="O7" s="45">
        <f>Drivers!O30</f>
        <v>0</v>
      </c>
      <c r="P7" s="45">
        <f>Drivers!P30</f>
        <v>705</v>
      </c>
      <c r="Q7" s="45">
        <f>Drivers!Q30</f>
        <v>1127</v>
      </c>
      <c r="R7" s="45">
        <f>Drivers!R30</f>
        <v>449</v>
      </c>
      <c r="S7" s="45">
        <f>Drivers!S30</f>
        <v>349</v>
      </c>
      <c r="T7" s="45">
        <f>Drivers!T30</f>
        <v>832</v>
      </c>
      <c r="U7" s="45">
        <f>Drivers!U30</f>
        <v>831</v>
      </c>
      <c r="V7" s="45">
        <f>Drivers!V30</f>
        <v>378</v>
      </c>
      <c r="W7" s="45">
        <f>Drivers!W30</f>
        <v>223</v>
      </c>
      <c r="X7" s="45">
        <f>Drivers!X30</f>
        <v>740</v>
      </c>
      <c r="Y7" s="45">
        <f>Drivers!Y30</f>
        <v>1160</v>
      </c>
      <c r="Z7" s="45">
        <f>Drivers!Z30</f>
        <v>324</v>
      </c>
      <c r="AA7" s="45">
        <f>Drivers!AA30</f>
        <v>183</v>
      </c>
      <c r="AB7" s="45">
        <f>Drivers!AB30</f>
        <v>692</v>
      </c>
      <c r="AC7" s="45">
        <f>Drivers!AC30</f>
        <v>1310</v>
      </c>
      <c r="AD7" s="45">
        <f>Drivers!AD30</f>
        <v>391</v>
      </c>
      <c r="AE7" s="45">
        <f>Drivers!AE30</f>
        <v>204</v>
      </c>
      <c r="AF7" s="45">
        <f>Drivers!AF30</f>
        <v>714</v>
      </c>
      <c r="AG7" s="45">
        <f>Drivers!AG30</f>
        <v>1001</v>
      </c>
      <c r="AH7" s="45">
        <f>Drivers!AH30</f>
        <v>396</v>
      </c>
      <c r="AI7" s="45">
        <f>Drivers!AI30</f>
        <v>150</v>
      </c>
      <c r="AJ7" s="45">
        <f>Drivers!AJ30</f>
        <v>742</v>
      </c>
      <c r="AK7" s="45">
        <f>Drivers!AK30</f>
        <v>676</v>
      </c>
      <c r="AL7" s="45">
        <f>Drivers!AL30</f>
        <v>379</v>
      </c>
      <c r="AM7" s="45">
        <f>Drivers!AM30</f>
        <v>95</v>
      </c>
      <c r="AN7" s="45">
        <f>Drivers!AN30</f>
        <v>637</v>
      </c>
      <c r="AO7" s="45">
        <f>Drivers!AO30</f>
        <v>780</v>
      </c>
      <c r="AP7" s="45">
        <f>Drivers!AP30</f>
        <v>268</v>
      </c>
      <c r="AQ7" s="45">
        <f>Drivers!AQ30</f>
        <v>287</v>
      </c>
      <c r="AR7" s="45">
        <f>Drivers!AR30</f>
        <v>266</v>
      </c>
      <c r="AS7" s="45">
        <f>Drivers!AS30</f>
        <v>858</v>
      </c>
      <c r="AT7" s="45">
        <f>Drivers!AT30</f>
        <v>187</v>
      </c>
      <c r="AU7" s="45">
        <f>Drivers!AU30</f>
        <v>282</v>
      </c>
      <c r="AV7" s="45">
        <f>Drivers!AV30</f>
        <v>696</v>
      </c>
      <c r="AW7" s="45">
        <f>Drivers!AW30</f>
        <v>1019.0281249999999</v>
      </c>
      <c r="AX7" s="45">
        <f>Drivers!AX30</f>
        <v>322.5625</v>
      </c>
      <c r="AY7" s="45">
        <f>Drivers!AY30</f>
        <v>367.26918798665179</v>
      </c>
      <c r="AZ7" s="45">
        <f>Drivers!AZ30</f>
        <v>667.33235796147278</v>
      </c>
      <c r="BA7" s="45">
        <f>Drivers!BA30</f>
        <v>1111.3799479166669</v>
      </c>
      <c r="BB7" s="45">
        <f>Drivers!BB30</f>
        <v>113.68750000000001</v>
      </c>
      <c r="BC7" s="45">
        <f>Drivers!BC30</f>
        <v>285.10922630082808</v>
      </c>
      <c r="BD7" s="45">
        <f>Drivers!BD30</f>
        <v>644.70137364870357</v>
      </c>
      <c r="BE7" s="45">
        <f>Drivers!BE30</f>
        <v>1083.1908029513891</v>
      </c>
      <c r="BF7" s="45">
        <f>Drivers!BF30</f>
        <v>87.697708333333338</v>
      </c>
      <c r="BG7" s="45">
        <f>Drivers!BG30</f>
        <v>284.96562487125618</v>
      </c>
      <c r="BH7" s="45">
        <f>Drivers!BH30</f>
        <v>1005.6128361646211</v>
      </c>
      <c r="BI7" s="45">
        <f>Drivers!BI30</f>
        <v>1206.621360054977</v>
      </c>
      <c r="BJ7" s="45">
        <f>Drivers!BJ30</f>
        <v>112.34529652777779</v>
      </c>
      <c r="BK7" s="45">
        <f>Drivers!BK30</f>
        <v>304.6722672087642</v>
      </c>
      <c r="BL7" s="45">
        <f>Drivers!BL30</f>
        <v>685.5349725550227</v>
      </c>
      <c r="BM7" s="45">
        <f>Drivers!BM30</f>
        <v>1181.3689345042922</v>
      </c>
      <c r="BN7" s="45">
        <f>Drivers!BN30</f>
        <v>99.501872641203704</v>
      </c>
      <c r="BO7" s="28"/>
      <c r="BP7" s="68"/>
      <c r="BQ7" s="68"/>
      <c r="BR7" s="68"/>
      <c r="BS7" s="68"/>
      <c r="BT7" s="49">
        <f>SUM(O7:R7)</f>
        <v>2281</v>
      </c>
      <c r="BU7" s="49">
        <f>SUM(S7:V7)</f>
        <v>2390</v>
      </c>
      <c r="BV7" s="49">
        <f>SUM(W7:Z7)</f>
        <v>2447</v>
      </c>
      <c r="BW7" s="49">
        <f>SUM(AA7:AD7)</f>
        <v>2576</v>
      </c>
      <c r="BX7" s="49">
        <f>SUM(AE7:AH7)</f>
        <v>2315</v>
      </c>
      <c r="BY7" s="49">
        <f>SUM(AI7:AL7)</f>
        <v>1947</v>
      </c>
      <c r="BZ7" s="49">
        <f>SUM(AM7:AP7)</f>
        <v>1780</v>
      </c>
      <c r="CA7" s="49">
        <f>SUM(AQ7:AT7)</f>
        <v>1598</v>
      </c>
      <c r="CB7" s="49">
        <f>SUM(AU7:AX7)</f>
        <v>2319.5906249999998</v>
      </c>
      <c r="CC7" s="49">
        <f>SUM(AY7:BB7)</f>
        <v>2259.6689938647914</v>
      </c>
      <c r="CD7" s="49">
        <f>SUM(BC7:BF7)</f>
        <v>2100.6991112342539</v>
      </c>
      <c r="CE7" s="49">
        <f>SUM(BG7:BJ7)</f>
        <v>2609.545117618632</v>
      </c>
      <c r="CF7" s="49">
        <f>SUM(BK7:BN7)</f>
        <v>2271.0780469092824</v>
      </c>
    </row>
    <row r="8" spans="1:85" s="31" customFormat="1">
      <c r="A8" s="162" t="s">
        <v>203</v>
      </c>
      <c r="AI8" s="43">
        <f t="shared" ref="AI8:AK8" si="0">AI9-AI7</f>
        <v>599</v>
      </c>
      <c r="AJ8" s="43">
        <f t="shared" si="0"/>
        <v>480</v>
      </c>
      <c r="AK8" s="43">
        <f t="shared" si="0"/>
        <v>933</v>
      </c>
      <c r="AL8" s="43">
        <f>AL9-AL7</f>
        <v>985</v>
      </c>
      <c r="AM8" s="45">
        <f>Drivers!AM46</f>
        <v>687</v>
      </c>
      <c r="AN8" s="45">
        <f>Drivers!AN46</f>
        <v>676</v>
      </c>
      <c r="AO8" s="45">
        <f>Drivers!AO46</f>
        <v>1241</v>
      </c>
      <c r="AP8" s="45">
        <f>Drivers!AP46</f>
        <v>988</v>
      </c>
      <c r="AQ8" s="45">
        <f>Drivers!AQ46</f>
        <v>1103</v>
      </c>
      <c r="AR8" s="45">
        <f>Drivers!AR46</f>
        <v>644</v>
      </c>
      <c r="AS8" s="45">
        <f>Drivers!AS46</f>
        <v>1542</v>
      </c>
      <c r="AT8" s="45">
        <f>Drivers!AT46</f>
        <v>1303</v>
      </c>
      <c r="AU8" s="45">
        <f>Drivers!AU46</f>
        <v>1054</v>
      </c>
      <c r="AV8" s="45">
        <f>Drivers!AV46</f>
        <v>1155</v>
      </c>
      <c r="AW8" s="45">
        <f>Drivers!AW46</f>
        <v>1619.1000000000001</v>
      </c>
      <c r="AX8" s="45">
        <f>Drivers!AX46</f>
        <v>1472.3899999999999</v>
      </c>
      <c r="AY8" s="45">
        <f>Drivers!AY46</f>
        <v>1148.8600000000001</v>
      </c>
      <c r="AZ8" s="45">
        <f>Drivers!AZ46</f>
        <v>1279.74</v>
      </c>
      <c r="BA8" s="45">
        <f>Drivers!BA46</f>
        <v>1761.5808000000002</v>
      </c>
      <c r="BB8" s="45">
        <f>Drivers!BB46</f>
        <v>1600.4879299999998</v>
      </c>
      <c r="BC8" s="45">
        <f>Drivers!BC46</f>
        <v>1241.5898989958655</v>
      </c>
      <c r="BD8" s="45">
        <f>Drivers!BD46</f>
        <v>1385.8060253097385</v>
      </c>
      <c r="BE8" s="45">
        <f>Drivers!BE46</f>
        <v>1887.6990554781917</v>
      </c>
      <c r="BF8" s="45">
        <f>Drivers!BF46</f>
        <v>1719.2045587735649</v>
      </c>
      <c r="BG8" s="45">
        <f>Drivers!BG46</f>
        <v>1323.9593608682817</v>
      </c>
      <c r="BH8" s="45">
        <f>Drivers!BH46</f>
        <v>1479.291766128325</v>
      </c>
      <c r="BI8" s="45">
        <f>Drivers!BI46</f>
        <v>2003.9565571520616</v>
      </c>
      <c r="BJ8" s="45">
        <f>Drivers!BJ46</f>
        <v>1827.4128202695433</v>
      </c>
      <c r="BK8" s="45">
        <f>Drivers!BK46</f>
        <v>1412.4762925265809</v>
      </c>
      <c r="BL8" s="45">
        <f>Drivers!BL46</f>
        <v>1579.8713379431508</v>
      </c>
      <c r="BM8" s="45">
        <f>Drivers!BM46</f>
        <v>2128.2141887996213</v>
      </c>
      <c r="BN8" s="45">
        <f>Drivers!BN46</f>
        <v>1943.2562981960502</v>
      </c>
      <c r="BO8" s="28"/>
      <c r="BP8" s="68"/>
      <c r="BQ8" s="68"/>
      <c r="BR8" s="68"/>
      <c r="BS8" s="68"/>
      <c r="BT8" s="68"/>
      <c r="BU8" s="68"/>
      <c r="BV8" s="68"/>
      <c r="BW8" s="68"/>
      <c r="BX8" s="68"/>
      <c r="BY8" s="68"/>
      <c r="BZ8" s="49">
        <f>SUM(AM8:AP8)</f>
        <v>3592</v>
      </c>
      <c r="CA8" s="49">
        <f>SUM(AQ8:AT8)</f>
        <v>4592</v>
      </c>
      <c r="CB8" s="49">
        <f>SUM(AU8:AX8)</f>
        <v>5300.49</v>
      </c>
      <c r="CC8" s="49">
        <f>SUM(AY8:BB8)</f>
        <v>5790.6687299999994</v>
      </c>
      <c r="CD8" s="49">
        <f>SUM(BC8:BF8)</f>
        <v>6234.2995385573604</v>
      </c>
      <c r="CE8" s="49">
        <f>SUM(BG8:BJ8)</f>
        <v>6634.6205044182116</v>
      </c>
      <c r="CF8" s="49">
        <f>SUM(BK8:BN8)</f>
        <v>7063.8181174654028</v>
      </c>
    </row>
    <row r="9" spans="1:85" s="31" customFormat="1">
      <c r="A9" s="59" t="s">
        <v>82</v>
      </c>
      <c r="B9" s="65">
        <f>Drivers!B8</f>
        <v>850</v>
      </c>
      <c r="C9" s="65">
        <f>Drivers!C8</f>
        <v>539</v>
      </c>
      <c r="D9" s="65">
        <f>Drivers!D8</f>
        <v>884</v>
      </c>
      <c r="E9" s="65">
        <f>Drivers!E8</f>
        <v>1410</v>
      </c>
      <c r="F9" s="65">
        <f>Drivers!F8</f>
        <v>995</v>
      </c>
      <c r="G9" s="65">
        <f>Drivers!G8</f>
        <v>524</v>
      </c>
      <c r="H9" s="65">
        <f>Drivers!H8</f>
        <v>1034</v>
      </c>
      <c r="I9" s="65">
        <f>Drivers!I8</f>
        <v>1651</v>
      </c>
      <c r="J9" s="65">
        <f>Drivers!J8</f>
        <v>977</v>
      </c>
      <c r="K9" s="65">
        <f>Drivers!K8</f>
        <v>491</v>
      </c>
      <c r="L9" s="65">
        <f>Drivers!L8</f>
        <v>1080</v>
      </c>
      <c r="M9" s="65">
        <f>Drivers!M8</f>
        <v>1182</v>
      </c>
      <c r="N9" s="65">
        <f>Drivers!N8</f>
        <v>1040</v>
      </c>
      <c r="O9" s="65">
        <f>Drivers!O8</f>
        <v>495</v>
      </c>
      <c r="P9" s="65">
        <f>Drivers!P8</f>
        <v>1040</v>
      </c>
      <c r="Q9" s="65">
        <f>Drivers!Q8</f>
        <v>1572</v>
      </c>
      <c r="R9" s="65">
        <f>Drivers!R8</f>
        <v>914</v>
      </c>
      <c r="S9" s="65">
        <f>Drivers!S8</f>
        <v>775</v>
      </c>
      <c r="T9" s="65">
        <f>Drivers!T8</f>
        <v>1220</v>
      </c>
      <c r="U9" s="65">
        <f>Drivers!U8</f>
        <v>1428</v>
      </c>
      <c r="V9" s="65">
        <f>Drivers!V8</f>
        <v>896</v>
      </c>
      <c r="W9" s="65">
        <f>Drivers!W8</f>
        <v>693</v>
      </c>
      <c r="X9" s="65">
        <f>Drivers!X8</f>
        <v>1146</v>
      </c>
      <c r="Y9" s="65">
        <f>Drivers!Y8</f>
        <v>1803</v>
      </c>
      <c r="Z9" s="65">
        <f>Drivers!Z8</f>
        <v>924</v>
      </c>
      <c r="AA9" s="65">
        <f>Drivers!AA8</f>
        <v>682</v>
      </c>
      <c r="AB9" s="65">
        <f>Drivers!AB8</f>
        <v>1098</v>
      </c>
      <c r="AC9" s="65">
        <f>Drivers!AC8</f>
        <v>2070</v>
      </c>
      <c r="AD9" s="65">
        <f>Drivers!AD8</f>
        <v>1092</v>
      </c>
      <c r="AE9" s="65">
        <f>Drivers!AE8</f>
        <v>775</v>
      </c>
      <c r="AF9" s="65">
        <f>Drivers!AF8</f>
        <v>1179</v>
      </c>
      <c r="AG9" s="65">
        <f>Drivers!AG8</f>
        <v>1971</v>
      </c>
      <c r="AH9" s="65">
        <f>Drivers!AH8</f>
        <v>1255</v>
      </c>
      <c r="AI9" s="65">
        <f>Drivers!AI8</f>
        <v>749</v>
      </c>
      <c r="AJ9" s="65">
        <f>Drivers!AJ8</f>
        <v>1222</v>
      </c>
      <c r="AK9" s="65">
        <f>Drivers!AK8</f>
        <v>1609</v>
      </c>
      <c r="AL9" s="65">
        <f>Drivers!AL8</f>
        <v>1364</v>
      </c>
      <c r="AM9" s="65">
        <f t="shared" ref="AM9:BN9" si="1">AM7+AM8</f>
        <v>782</v>
      </c>
      <c r="AN9" s="65">
        <f t="shared" si="1"/>
        <v>1313</v>
      </c>
      <c r="AO9" s="65">
        <f t="shared" si="1"/>
        <v>2021</v>
      </c>
      <c r="AP9" s="65">
        <f t="shared" si="1"/>
        <v>1256</v>
      </c>
      <c r="AQ9" s="65">
        <f t="shared" si="1"/>
        <v>1390</v>
      </c>
      <c r="AR9" s="65">
        <f t="shared" si="1"/>
        <v>910</v>
      </c>
      <c r="AS9" s="65">
        <f t="shared" si="1"/>
        <v>2400</v>
      </c>
      <c r="AT9" s="65">
        <f t="shared" si="1"/>
        <v>1490</v>
      </c>
      <c r="AU9" s="65">
        <f t="shared" si="1"/>
        <v>1336</v>
      </c>
      <c r="AV9" s="65">
        <f t="shared" ref="AV9" si="2">AV7+AV8</f>
        <v>1851</v>
      </c>
      <c r="AW9" s="65">
        <f t="shared" si="1"/>
        <v>2638.1281250000002</v>
      </c>
      <c r="AX9" s="65">
        <f t="shared" si="1"/>
        <v>1794.9524999999999</v>
      </c>
      <c r="AY9" s="65">
        <f t="shared" si="1"/>
        <v>1516.1291879866519</v>
      </c>
      <c r="AZ9" s="65">
        <f t="shared" si="1"/>
        <v>1947.0723579614728</v>
      </c>
      <c r="BA9" s="65">
        <f t="shared" si="1"/>
        <v>2872.9607479166671</v>
      </c>
      <c r="BB9" s="65">
        <f t="shared" si="1"/>
        <v>1714.1754299999998</v>
      </c>
      <c r="BC9" s="65">
        <f t="shared" si="1"/>
        <v>1526.6991252966936</v>
      </c>
      <c r="BD9" s="65">
        <f t="shared" si="1"/>
        <v>2030.5073989584421</v>
      </c>
      <c r="BE9" s="65">
        <f t="shared" si="1"/>
        <v>2970.8898584295807</v>
      </c>
      <c r="BF9" s="65">
        <f t="shared" si="1"/>
        <v>1806.9022671068983</v>
      </c>
      <c r="BG9" s="65">
        <f t="shared" si="1"/>
        <v>1608.924985739538</v>
      </c>
      <c r="BH9" s="65">
        <f t="shared" si="1"/>
        <v>2484.904602292946</v>
      </c>
      <c r="BI9" s="65">
        <f t="shared" si="1"/>
        <v>3210.5779172070388</v>
      </c>
      <c r="BJ9" s="65">
        <f t="shared" si="1"/>
        <v>1939.758116797321</v>
      </c>
      <c r="BK9" s="65">
        <f t="shared" si="1"/>
        <v>1717.1485597353451</v>
      </c>
      <c r="BL9" s="65">
        <f t="shared" si="1"/>
        <v>2265.4063104981733</v>
      </c>
      <c r="BM9" s="65">
        <f t="shared" si="1"/>
        <v>3309.5831233039135</v>
      </c>
      <c r="BN9" s="65">
        <f t="shared" si="1"/>
        <v>2042.7581708372541</v>
      </c>
      <c r="BO9" s="63"/>
      <c r="BP9" s="604">
        <v>3683</v>
      </c>
      <c r="BQ9" s="604">
        <v>3828</v>
      </c>
      <c r="BR9" s="604">
        <v>4186</v>
      </c>
      <c r="BS9" s="604">
        <v>3793</v>
      </c>
      <c r="BT9" s="604">
        <v>4021</v>
      </c>
      <c r="BU9" s="30">
        <f>SUM(S9:V9)</f>
        <v>4319</v>
      </c>
      <c r="BV9" s="30">
        <f>SUM(W9:Z9)</f>
        <v>4566</v>
      </c>
      <c r="BW9" s="30">
        <f>SUM(AA9:AD9)</f>
        <v>4942</v>
      </c>
      <c r="BX9" s="30">
        <f>SUM(AE9:AH9)</f>
        <v>5180</v>
      </c>
      <c r="BY9" s="30">
        <f>SUM(AI9:AL9)</f>
        <v>4944</v>
      </c>
      <c r="BZ9" s="30">
        <f t="shared" ref="BZ9:CF9" si="3">+BZ7+BZ8</f>
        <v>5372</v>
      </c>
      <c r="CA9" s="30">
        <f t="shared" si="3"/>
        <v>6190</v>
      </c>
      <c r="CB9" s="30">
        <f t="shared" si="3"/>
        <v>7620.0806249999996</v>
      </c>
      <c r="CC9" s="30">
        <f t="shared" si="3"/>
        <v>8050.3377238647909</v>
      </c>
      <c r="CD9" s="30">
        <f t="shared" si="3"/>
        <v>8334.9986497916143</v>
      </c>
      <c r="CE9" s="30">
        <f t="shared" si="3"/>
        <v>9244.1656220368441</v>
      </c>
      <c r="CF9" s="30">
        <f t="shared" si="3"/>
        <v>9334.8961643746843</v>
      </c>
    </row>
    <row r="10" spans="1:85" s="31" customFormat="1">
      <c r="A10" s="59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8"/>
      <c r="BP10" s="29"/>
      <c r="BQ10" s="29"/>
      <c r="BR10" s="29"/>
      <c r="BS10" s="29"/>
      <c r="BT10" s="29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</row>
    <row r="11" spans="1:85" s="27" customFormat="1">
      <c r="A11" s="605" t="s">
        <v>121</v>
      </c>
      <c r="B11" s="45">
        <f>Drivers!B211</f>
        <v>-296</v>
      </c>
      <c r="C11" s="45">
        <f>Drivers!C211</f>
        <v>-218</v>
      </c>
      <c r="D11" s="45">
        <f>Drivers!D211</f>
        <v>-361</v>
      </c>
      <c r="E11" s="45">
        <f>Drivers!E211</f>
        <v>-582</v>
      </c>
      <c r="F11" s="45">
        <f>Drivers!F211</f>
        <v>-325</v>
      </c>
      <c r="G11" s="45">
        <f>Drivers!G211</f>
        <v>-236</v>
      </c>
      <c r="H11" s="45">
        <f>Drivers!H211</f>
        <v>-424</v>
      </c>
      <c r="I11" s="45">
        <f>Drivers!I211</f>
        <v>-538</v>
      </c>
      <c r="J11" s="45">
        <f>Drivers!J211</f>
        <v>-346</v>
      </c>
      <c r="K11" s="45">
        <f>Drivers!K211</f>
        <v>-189</v>
      </c>
      <c r="L11" s="45">
        <f>Drivers!L211</f>
        <v>-431</v>
      </c>
      <c r="M11" s="45">
        <f>Drivers!M211</f>
        <v>-406</v>
      </c>
      <c r="N11" s="45">
        <f>Drivers!N211</f>
        <v>-267</v>
      </c>
      <c r="O11" s="45">
        <f>Drivers!O211</f>
        <v>-179</v>
      </c>
      <c r="P11" s="45">
        <f>Drivers!P211</f>
        <v>-398</v>
      </c>
      <c r="Q11" s="45">
        <f>Drivers!Q211</f>
        <v>-501</v>
      </c>
      <c r="R11" s="45">
        <f>Drivers!R211</f>
        <v>-207</v>
      </c>
      <c r="S11" s="45">
        <f>Drivers!S211</f>
        <v>-231</v>
      </c>
      <c r="T11" s="45">
        <f>Drivers!T211</f>
        <v>-414</v>
      </c>
      <c r="U11" s="45">
        <f>Drivers!U211</f>
        <v>-388</v>
      </c>
      <c r="V11" s="45">
        <f>Drivers!V211</f>
        <v>-220</v>
      </c>
      <c r="W11" s="45">
        <f>Drivers!W211</f>
        <v>-161</v>
      </c>
      <c r="X11" s="45">
        <f>Drivers!X211</f>
        <v>-397</v>
      </c>
      <c r="Y11" s="45">
        <f>Drivers!Y211</f>
        <v>-534</v>
      </c>
      <c r="Z11" s="45">
        <f>Drivers!Z211</f>
        <v>-213</v>
      </c>
      <c r="AA11" s="45">
        <f>Drivers!AA211</f>
        <v>-165</v>
      </c>
      <c r="AB11" s="45">
        <f>Drivers!AB211</f>
        <v>-388</v>
      </c>
      <c r="AC11" s="45">
        <f>Drivers!AC211</f>
        <v>-498</v>
      </c>
      <c r="AD11" s="45">
        <f>Drivers!AD211</f>
        <v>-201</v>
      </c>
      <c r="AE11" s="45">
        <f>Drivers!AE211</f>
        <v>-153</v>
      </c>
      <c r="AF11" s="45">
        <f>Drivers!AF211</f>
        <v>-388</v>
      </c>
      <c r="AG11" s="45">
        <f>Drivers!AG211</f>
        <v>-501</v>
      </c>
      <c r="AH11" s="45">
        <f>Drivers!AH211</f>
        <v>-230.83974773846154</v>
      </c>
      <c r="AI11" s="45">
        <f>Drivers!AI211</f>
        <v>-164</v>
      </c>
      <c r="AJ11" s="45">
        <f>Drivers!AJ211</f>
        <v>-372</v>
      </c>
      <c r="AK11" s="45">
        <f>Drivers!AK211</f>
        <v>-363</v>
      </c>
      <c r="AL11" s="45">
        <f>Drivers!AL211</f>
        <v>-227</v>
      </c>
      <c r="AM11" s="45">
        <f>Drivers!AM211</f>
        <v>-145</v>
      </c>
      <c r="AN11" s="45">
        <f>Drivers!AN211</f>
        <v>-366</v>
      </c>
      <c r="AO11" s="45">
        <f>Drivers!AO211</f>
        <v>-459</v>
      </c>
      <c r="AP11" s="45">
        <f>Drivers!AP211</f>
        <v>-222</v>
      </c>
      <c r="AQ11" s="45">
        <f>Drivers!AQ211</f>
        <v>-287</v>
      </c>
      <c r="AR11" s="45">
        <f>Drivers!AR211</f>
        <v>-284</v>
      </c>
      <c r="AS11" s="45">
        <f>Drivers!AS211</f>
        <v>-600</v>
      </c>
      <c r="AT11" s="45">
        <f>Drivers!AT211</f>
        <v>-314</v>
      </c>
      <c r="AU11" s="45">
        <f>Drivers!AU211</f>
        <v>-292</v>
      </c>
      <c r="AV11" s="45">
        <f>Drivers!AV211</f>
        <v>-470</v>
      </c>
      <c r="AW11" s="45">
        <f>Drivers!AW211</f>
        <v>-580.38818750000019</v>
      </c>
      <c r="AX11" s="45">
        <f>Drivers!AX211</f>
        <v>-378.26515771812069</v>
      </c>
      <c r="AY11" s="45">
        <f>Drivers!AY211</f>
        <v>-332.88568225093763</v>
      </c>
      <c r="AZ11" s="45">
        <f>Drivers!AZ211</f>
        <v>-496.34145822608275</v>
      </c>
      <c r="BA11" s="45">
        <f>Drivers!BA211</f>
        <v>-634.92432528958352</v>
      </c>
      <c r="BB11" s="45">
        <f>Drivers!BB211</f>
        <v>-362.95651436959724</v>
      </c>
      <c r="BC11" s="45">
        <f>Drivers!BC211</f>
        <v>-332.15304981679492</v>
      </c>
      <c r="BD11" s="45">
        <f>Drivers!BD211</f>
        <v>-513.54943723122415</v>
      </c>
      <c r="BE11" s="45">
        <f>Drivers!BE211</f>
        <v>-650.62487899607822</v>
      </c>
      <c r="BF11" s="45">
        <f>Drivers!BF211</f>
        <v>-378.97652851917906</v>
      </c>
      <c r="BG11" s="45">
        <f>Drivers!BG211</f>
        <v>-348.43341936680326</v>
      </c>
      <c r="BH11" s="45">
        <f>Drivers!BH211</f>
        <v>-625.98922001080291</v>
      </c>
      <c r="BI11" s="45">
        <f>Drivers!BI211</f>
        <v>-699.90598595113443</v>
      </c>
      <c r="BJ11" s="45">
        <f>Drivers!BJ211</f>
        <v>-404.90172448745147</v>
      </c>
      <c r="BK11" s="45">
        <f>Drivers!BK211</f>
        <v>-371.01205333323719</v>
      </c>
      <c r="BL11" s="45">
        <f>Drivers!BL211</f>
        <v>-569.56120920168087</v>
      </c>
      <c r="BM11" s="45">
        <f>Drivers!BM211</f>
        <v>-719.83432931860125</v>
      </c>
      <c r="BN11" s="45">
        <f>Drivers!BN211</f>
        <v>-425.38039695069074</v>
      </c>
      <c r="BO11" s="45"/>
      <c r="BP11" s="28">
        <v>-1857</v>
      </c>
      <c r="BQ11" s="28">
        <f>SUM(C11:F11)</f>
        <v>-1486</v>
      </c>
      <c r="BR11" s="28">
        <f>SUM(G11:J11)</f>
        <v>-1544</v>
      </c>
      <c r="BS11" s="28">
        <f>SUM(K11:N11)</f>
        <v>-1293</v>
      </c>
      <c r="BT11" s="28">
        <f>SUM(O11:R11)</f>
        <v>-1285</v>
      </c>
      <c r="BU11" s="28">
        <f>SUM(S11:V11)</f>
        <v>-1253</v>
      </c>
      <c r="BV11" s="28">
        <f>SUM(W11:Z11)</f>
        <v>-1305</v>
      </c>
      <c r="BW11" s="28">
        <f>SUM(AA11:AD11)</f>
        <v>-1252</v>
      </c>
      <c r="BX11" s="28">
        <f>SUM(AE11:AH11)</f>
        <v>-1272.8397477384615</v>
      </c>
      <c r="BY11" s="28">
        <f>SUM(AI11:AL11)</f>
        <v>-1126</v>
      </c>
      <c r="BZ11" s="28">
        <f>SUM(AM11:AP11)</f>
        <v>-1192</v>
      </c>
      <c r="CA11" s="28">
        <f>SUM(AQ11:AT11)</f>
        <v>-1485</v>
      </c>
      <c r="CB11" s="28">
        <f>SUM(AU11:AX11)</f>
        <v>-1720.6533452181209</v>
      </c>
      <c r="CC11" s="28">
        <f>SUM(AY11:BB11)</f>
        <v>-1827.1079801362011</v>
      </c>
      <c r="CD11" s="28">
        <f>SUM(BC11:BF11)</f>
        <v>-1875.3038945632763</v>
      </c>
      <c r="CE11" s="28">
        <f>SUM(BG11:BJ11)</f>
        <v>-2079.2303498161918</v>
      </c>
      <c r="CF11" s="28">
        <f>SUM(BK11:BN11)</f>
        <v>-2085.7879888042098</v>
      </c>
      <c r="CG11" s="28"/>
    </row>
    <row r="12" spans="1:85" s="228" customFormat="1">
      <c r="A12" s="194" t="s">
        <v>211</v>
      </c>
      <c r="B12" s="195">
        <f t="shared" ref="B12:AU12" si="4">B9+B11</f>
        <v>554</v>
      </c>
      <c r="C12" s="195">
        <f t="shared" si="4"/>
        <v>321</v>
      </c>
      <c r="D12" s="195">
        <f t="shared" si="4"/>
        <v>523</v>
      </c>
      <c r="E12" s="195">
        <f t="shared" si="4"/>
        <v>828</v>
      </c>
      <c r="F12" s="195">
        <f t="shared" si="4"/>
        <v>670</v>
      </c>
      <c r="G12" s="195">
        <f t="shared" si="4"/>
        <v>288</v>
      </c>
      <c r="H12" s="195">
        <f t="shared" si="4"/>
        <v>610</v>
      </c>
      <c r="I12" s="195">
        <f t="shared" si="4"/>
        <v>1113</v>
      </c>
      <c r="J12" s="195">
        <f t="shared" si="4"/>
        <v>631</v>
      </c>
      <c r="K12" s="195">
        <f t="shared" si="4"/>
        <v>302</v>
      </c>
      <c r="L12" s="195">
        <f t="shared" si="4"/>
        <v>649</v>
      </c>
      <c r="M12" s="195">
        <f t="shared" si="4"/>
        <v>776</v>
      </c>
      <c r="N12" s="195">
        <f t="shared" si="4"/>
        <v>773</v>
      </c>
      <c r="O12" s="195">
        <f t="shared" si="4"/>
        <v>316</v>
      </c>
      <c r="P12" s="195">
        <f t="shared" si="4"/>
        <v>642</v>
      </c>
      <c r="Q12" s="195">
        <f t="shared" si="4"/>
        <v>1071</v>
      </c>
      <c r="R12" s="195">
        <f t="shared" si="4"/>
        <v>707</v>
      </c>
      <c r="S12" s="195">
        <f t="shared" si="4"/>
        <v>544</v>
      </c>
      <c r="T12" s="195">
        <f t="shared" si="4"/>
        <v>806</v>
      </c>
      <c r="U12" s="195">
        <f t="shared" si="4"/>
        <v>1040</v>
      </c>
      <c r="V12" s="195">
        <f t="shared" si="4"/>
        <v>676</v>
      </c>
      <c r="W12" s="195">
        <f t="shared" si="4"/>
        <v>532</v>
      </c>
      <c r="X12" s="195">
        <f t="shared" si="4"/>
        <v>749</v>
      </c>
      <c r="Y12" s="195">
        <f t="shared" si="4"/>
        <v>1269</v>
      </c>
      <c r="Z12" s="195">
        <f t="shared" si="4"/>
        <v>711</v>
      </c>
      <c r="AA12" s="195">
        <f t="shared" si="4"/>
        <v>517</v>
      </c>
      <c r="AB12" s="195">
        <f t="shared" si="4"/>
        <v>710</v>
      </c>
      <c r="AC12" s="195">
        <f t="shared" si="4"/>
        <v>1572</v>
      </c>
      <c r="AD12" s="195">
        <f t="shared" si="4"/>
        <v>891</v>
      </c>
      <c r="AE12" s="195">
        <f t="shared" si="4"/>
        <v>622</v>
      </c>
      <c r="AF12" s="195">
        <f t="shared" si="4"/>
        <v>791</v>
      </c>
      <c r="AG12" s="195">
        <f t="shared" si="4"/>
        <v>1470</v>
      </c>
      <c r="AH12" s="195">
        <f t="shared" si="4"/>
        <v>1024.1602522615385</v>
      </c>
      <c r="AI12" s="195">
        <f t="shared" si="4"/>
        <v>585</v>
      </c>
      <c r="AJ12" s="195">
        <f t="shared" si="4"/>
        <v>850</v>
      </c>
      <c r="AK12" s="195">
        <f t="shared" si="4"/>
        <v>1246</v>
      </c>
      <c r="AL12" s="195">
        <f t="shared" si="4"/>
        <v>1137</v>
      </c>
      <c r="AM12" s="195">
        <f t="shared" si="4"/>
        <v>637</v>
      </c>
      <c r="AN12" s="195">
        <f t="shared" si="4"/>
        <v>947</v>
      </c>
      <c r="AO12" s="195">
        <f t="shared" si="4"/>
        <v>1562</v>
      </c>
      <c r="AP12" s="195">
        <f t="shared" si="4"/>
        <v>1034</v>
      </c>
      <c r="AQ12" s="195">
        <f t="shared" si="4"/>
        <v>1103</v>
      </c>
      <c r="AR12" s="195">
        <f t="shared" si="4"/>
        <v>626</v>
      </c>
      <c r="AS12" s="195">
        <f t="shared" si="4"/>
        <v>1800</v>
      </c>
      <c r="AT12" s="195">
        <f t="shared" si="4"/>
        <v>1176</v>
      </c>
      <c r="AU12" s="195">
        <f t="shared" si="4"/>
        <v>1044</v>
      </c>
      <c r="AV12" s="195">
        <f t="shared" ref="AV12" si="5">AV9+AV11</f>
        <v>1381</v>
      </c>
      <c r="AW12" s="195">
        <f t="shared" ref="AW12:BN12" si="6">AW55*AW9</f>
        <v>2057.7399375</v>
      </c>
      <c r="AX12" s="195">
        <f t="shared" si="6"/>
        <v>1416.6873422818792</v>
      </c>
      <c r="AY12" s="195">
        <f t="shared" si="6"/>
        <v>1183.2435057357143</v>
      </c>
      <c r="AZ12" s="195">
        <f t="shared" si="6"/>
        <v>1450.73089973539</v>
      </c>
      <c r="BA12" s="195">
        <f t="shared" si="6"/>
        <v>2238.0364226270835</v>
      </c>
      <c r="BB12" s="195">
        <f t="shared" si="6"/>
        <v>1351.2189156304025</v>
      </c>
      <c r="BC12" s="195">
        <f t="shared" si="6"/>
        <v>1194.5460754798987</v>
      </c>
      <c r="BD12" s="195">
        <f t="shared" si="6"/>
        <v>1516.9579617272179</v>
      </c>
      <c r="BE12" s="195">
        <f t="shared" si="6"/>
        <v>2320.2649794335025</v>
      </c>
      <c r="BF12" s="195">
        <f t="shared" si="6"/>
        <v>1427.9257385877193</v>
      </c>
      <c r="BG12" s="195">
        <f t="shared" si="6"/>
        <v>1260.4915663727347</v>
      </c>
      <c r="BH12" s="195">
        <f t="shared" si="6"/>
        <v>1858.9153822821431</v>
      </c>
      <c r="BI12" s="195">
        <f t="shared" si="6"/>
        <v>2510.6719312559044</v>
      </c>
      <c r="BJ12" s="195">
        <f t="shared" si="6"/>
        <v>1534.8563923098695</v>
      </c>
      <c r="BK12" s="195">
        <f t="shared" si="6"/>
        <v>1346.1365064021079</v>
      </c>
      <c r="BL12" s="195">
        <f t="shared" si="6"/>
        <v>1695.8451012964924</v>
      </c>
      <c r="BM12" s="195">
        <f t="shared" si="6"/>
        <v>2589.7487939853122</v>
      </c>
      <c r="BN12" s="195">
        <f t="shared" si="6"/>
        <v>1617.3777738865633</v>
      </c>
      <c r="BO12" s="196"/>
      <c r="BP12" s="196">
        <f t="shared" ref="BP12:CF12" si="7">BP9+BP11</f>
        <v>1826</v>
      </c>
      <c r="BQ12" s="196">
        <f t="shared" si="7"/>
        <v>2342</v>
      </c>
      <c r="BR12" s="196">
        <f t="shared" si="7"/>
        <v>2642</v>
      </c>
      <c r="BS12" s="196">
        <f t="shared" si="7"/>
        <v>2500</v>
      </c>
      <c r="BT12" s="196">
        <f t="shared" si="7"/>
        <v>2736</v>
      </c>
      <c r="BU12" s="196">
        <f t="shared" si="7"/>
        <v>3066</v>
      </c>
      <c r="BV12" s="196">
        <f t="shared" si="7"/>
        <v>3261</v>
      </c>
      <c r="BW12" s="196">
        <f t="shared" si="7"/>
        <v>3690</v>
      </c>
      <c r="BX12" s="196">
        <f t="shared" si="7"/>
        <v>3907.1602522615385</v>
      </c>
      <c r="BY12" s="196">
        <f t="shared" si="7"/>
        <v>3818</v>
      </c>
      <c r="BZ12" s="196">
        <f t="shared" si="7"/>
        <v>4180</v>
      </c>
      <c r="CA12" s="196">
        <f t="shared" si="7"/>
        <v>4705</v>
      </c>
      <c r="CB12" s="196">
        <f t="shared" si="7"/>
        <v>5899.4272797818785</v>
      </c>
      <c r="CC12" s="196">
        <f t="shared" si="7"/>
        <v>6223.2297437285897</v>
      </c>
      <c r="CD12" s="196">
        <f t="shared" si="7"/>
        <v>6459.6947552283382</v>
      </c>
      <c r="CE12" s="196">
        <f t="shared" si="7"/>
        <v>7164.9352722206522</v>
      </c>
      <c r="CF12" s="196">
        <f t="shared" si="7"/>
        <v>7249.1081755704745</v>
      </c>
      <c r="CG12" s="227"/>
    </row>
    <row r="13" spans="1:85" s="609" customFormat="1">
      <c r="A13" s="194"/>
      <c r="B13" s="194"/>
      <c r="C13" s="194"/>
      <c r="D13" s="194"/>
      <c r="E13" s="194"/>
      <c r="F13" s="194"/>
      <c r="G13" s="194"/>
      <c r="H13" s="194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94"/>
      <c r="X13" s="194"/>
      <c r="Y13" s="194"/>
      <c r="Z13" s="194"/>
      <c r="AA13" s="194"/>
      <c r="AB13" s="194"/>
      <c r="AC13" s="194"/>
      <c r="AD13" s="194"/>
      <c r="AE13" s="194"/>
      <c r="AF13" s="194"/>
      <c r="AG13" s="194"/>
      <c r="AH13" s="194"/>
      <c r="AI13" s="195"/>
      <c r="AJ13" s="195"/>
      <c r="AK13" s="195"/>
      <c r="AL13" s="195"/>
      <c r="AM13" s="195"/>
      <c r="AN13" s="195"/>
      <c r="AO13" s="195"/>
      <c r="AP13" s="195"/>
      <c r="AQ13" s="195"/>
      <c r="AR13" s="195"/>
      <c r="AS13" s="195"/>
      <c r="AT13" s="195"/>
      <c r="AU13" s="195"/>
      <c r="AV13" s="195"/>
      <c r="AW13" s="606"/>
      <c r="AX13" s="606"/>
      <c r="AY13" s="606"/>
      <c r="AZ13" s="606"/>
      <c r="BA13" s="606"/>
      <c r="BB13" s="606"/>
      <c r="BC13" s="606"/>
      <c r="BD13" s="606"/>
      <c r="BE13" s="606"/>
      <c r="BF13" s="606"/>
      <c r="BG13" s="606"/>
      <c r="BH13" s="606"/>
      <c r="BI13" s="606"/>
      <c r="BJ13" s="606"/>
      <c r="BK13" s="606"/>
      <c r="BL13" s="606"/>
      <c r="BM13" s="606"/>
      <c r="BN13" s="606"/>
      <c r="BO13" s="607"/>
      <c r="BP13" s="607"/>
      <c r="BQ13" s="607"/>
      <c r="BR13" s="607"/>
      <c r="BS13" s="607"/>
      <c r="BT13" s="607"/>
      <c r="BU13" s="607"/>
      <c r="BV13" s="607"/>
      <c r="BW13" s="607"/>
      <c r="BX13" s="607"/>
      <c r="BY13" s="196"/>
      <c r="BZ13" s="196"/>
      <c r="CA13" s="196"/>
      <c r="CB13" s="196"/>
      <c r="CC13" s="196"/>
      <c r="CD13" s="196"/>
      <c r="CE13" s="196"/>
      <c r="CF13" s="196"/>
      <c r="CG13" s="608"/>
    </row>
    <row r="14" spans="1:85" s="296" customFormat="1">
      <c r="A14" s="42" t="s">
        <v>110</v>
      </c>
      <c r="B14" s="298">
        <f>Drivers!B212</f>
        <v>-167</v>
      </c>
      <c r="C14" s="298">
        <f>Drivers!C212</f>
        <v>-123</v>
      </c>
      <c r="D14" s="298">
        <f>Drivers!D212</f>
        <v>-167</v>
      </c>
      <c r="E14" s="298">
        <f>Drivers!E212</f>
        <v>-247</v>
      </c>
      <c r="F14" s="298">
        <f>Drivers!F212</f>
        <v>-189</v>
      </c>
      <c r="G14" s="298">
        <f>Drivers!G212</f>
        <v>-135</v>
      </c>
      <c r="H14" s="298">
        <f>Drivers!H212</f>
        <v>-216</v>
      </c>
      <c r="I14" s="298">
        <f>Drivers!I212</f>
        <v>-262</v>
      </c>
      <c r="J14" s="298">
        <f>Drivers!J212</f>
        <v>-221</v>
      </c>
      <c r="K14" s="298">
        <f>Drivers!K212</f>
        <v>-144</v>
      </c>
      <c r="L14" s="298">
        <f>Drivers!L212</f>
        <v>-204</v>
      </c>
      <c r="M14" s="298">
        <f>Drivers!M212</f>
        <v>-207</v>
      </c>
      <c r="N14" s="298">
        <f>Drivers!N212</f>
        <v>-191</v>
      </c>
      <c r="O14" s="298">
        <f>Drivers!O212</f>
        <v>-140</v>
      </c>
      <c r="P14" s="298">
        <f>Drivers!P212</f>
        <v>-158</v>
      </c>
      <c r="Q14" s="298">
        <f>Drivers!Q212</f>
        <v>-207</v>
      </c>
      <c r="R14" s="298">
        <f>Drivers!R212</f>
        <v>-149</v>
      </c>
      <c r="S14" s="298">
        <f>Drivers!S212</f>
        <v>-126</v>
      </c>
      <c r="T14" s="298">
        <f>Drivers!T212</f>
        <v>-160</v>
      </c>
      <c r="U14" s="298">
        <f>Drivers!U212</f>
        <v>-147</v>
      </c>
      <c r="V14" s="298">
        <f>Drivers!V212</f>
        <v>-144</v>
      </c>
      <c r="W14" s="298">
        <f>Drivers!W212</f>
        <v>-118</v>
      </c>
      <c r="X14" s="298">
        <f>Drivers!X212</f>
        <v>-149</v>
      </c>
      <c r="Y14" s="298">
        <f>Drivers!Y212</f>
        <v>-185</v>
      </c>
      <c r="Z14" s="298">
        <f>Drivers!Z212</f>
        <v>-146</v>
      </c>
      <c r="AA14" s="298">
        <f>Drivers!AA212</f>
        <v>-121</v>
      </c>
      <c r="AB14" s="298">
        <f>Drivers!AB212</f>
        <v>-135</v>
      </c>
      <c r="AC14" s="298">
        <f>Drivers!AC212</f>
        <v>-232</v>
      </c>
      <c r="AD14" s="298">
        <f>Drivers!AD212</f>
        <v>-154</v>
      </c>
      <c r="AE14" s="298">
        <f>Drivers!AE212</f>
        <v>-114</v>
      </c>
      <c r="AF14" s="298">
        <f>Drivers!AF212</f>
        <v>-151</v>
      </c>
      <c r="AG14" s="298">
        <f>Drivers!AG212</f>
        <v>-222</v>
      </c>
      <c r="AH14" s="298">
        <f>Drivers!AH212</f>
        <v>-122</v>
      </c>
      <c r="AI14" s="298">
        <f>Drivers!AI212</f>
        <v>-133</v>
      </c>
      <c r="AJ14" s="298">
        <f>Drivers!AJ212</f>
        <v>-137</v>
      </c>
      <c r="AK14" s="298">
        <f>Drivers!AK212</f>
        <v>-179</v>
      </c>
      <c r="AL14" s="298">
        <f>Drivers!AL212</f>
        <v>-220</v>
      </c>
      <c r="AM14" s="298">
        <f>Drivers!AM212</f>
        <v>-103</v>
      </c>
      <c r="AN14" s="298">
        <f>Drivers!AN212</f>
        <v>-142</v>
      </c>
      <c r="AO14" s="298">
        <f>Drivers!AO212</f>
        <v>-192</v>
      </c>
      <c r="AP14" s="298">
        <f>Drivers!AP212</f>
        <v>-157</v>
      </c>
      <c r="AQ14" s="298">
        <f>Drivers!AQ212</f>
        <v>-110</v>
      </c>
      <c r="AR14" s="298">
        <f>Drivers!AR212</f>
        <v>-144</v>
      </c>
      <c r="AS14" s="298">
        <f>Drivers!AS212</f>
        <v>-205</v>
      </c>
      <c r="AT14" s="298">
        <f>Drivers!AT212</f>
        <v>-184</v>
      </c>
      <c r="AU14" s="298">
        <f>Drivers!AU212</f>
        <v>-178</v>
      </c>
      <c r="AV14" s="298">
        <f>Drivers!AV212</f>
        <v>-218</v>
      </c>
      <c r="AW14" s="298">
        <f>Drivers!AW212</f>
        <v>-290.19409375000004</v>
      </c>
      <c r="AX14" s="298">
        <f>Drivers!AX212</f>
        <v>-212.68380125838922</v>
      </c>
      <c r="AY14" s="298">
        <f>Drivers!AY212</f>
        <v>-194.41860216008473</v>
      </c>
      <c r="AZ14" s="298">
        <f>Drivers!AZ212</f>
        <v>-219.57948101710838</v>
      </c>
      <c r="BA14" s="298">
        <f>Drivers!BA212</f>
        <v>-316.02568227083339</v>
      </c>
      <c r="BB14" s="298">
        <f>Drivers!BB212</f>
        <v>-203.11253165536908</v>
      </c>
      <c r="BC14" s="298">
        <f>Drivers!BC212</f>
        <v>-184.32377912451844</v>
      </c>
      <c r="BD14" s="298">
        <f>Drivers!BD212</f>
        <v>-213.75999353297647</v>
      </c>
      <c r="BE14" s="298">
        <f>Drivers!BE212</f>
        <v>-304.51621048903206</v>
      </c>
      <c r="BF14" s="298">
        <f>Drivers!BF212</f>
        <v>-200.5479613575861</v>
      </c>
      <c r="BG14" s="298">
        <f>Drivers!BG212</f>
        <v>-186.20657282563423</v>
      </c>
      <c r="BH14" s="298">
        <f>Drivers!BH212</f>
        <v>-256.62647554112408</v>
      </c>
      <c r="BI14" s="298">
        <f>Drivers!BI212</f>
        <v>-329.08423651372152</v>
      </c>
      <c r="BJ14" s="298">
        <f>Drivers!BJ212</f>
        <v>-205.59483261423952</v>
      </c>
      <c r="BK14" s="298">
        <f>Drivers!BK212</f>
        <v>-190.14592659225067</v>
      </c>
      <c r="BL14" s="298">
        <f>Drivers!BL212</f>
        <v>-229.42715767505229</v>
      </c>
      <c r="BM14" s="298">
        <f>Drivers!BM212</f>
        <v>-339.23227013865113</v>
      </c>
      <c r="BN14" s="298">
        <f>Drivers!BN212</f>
        <v>-206.29801057499043</v>
      </c>
      <c r="BO14" s="299"/>
      <c r="BP14" s="263">
        <v>-714</v>
      </c>
      <c r="BQ14" s="297">
        <f>SUM(C14:F14)</f>
        <v>-726</v>
      </c>
      <c r="BR14" s="297">
        <f>SUM(G14:J14)</f>
        <v>-834</v>
      </c>
      <c r="BS14" s="297">
        <f>SUM(K14:N14)</f>
        <v>-746</v>
      </c>
      <c r="BT14" s="297">
        <f>SUM(O14:R14)</f>
        <v>-654</v>
      </c>
      <c r="BU14" s="297">
        <f>SUM(S14:V14)</f>
        <v>-577</v>
      </c>
      <c r="BV14" s="297">
        <f>SUM(W14:Z14)</f>
        <v>-598</v>
      </c>
      <c r="BW14" s="297">
        <f>SUM(AA14:AD14)</f>
        <v>-642</v>
      </c>
      <c r="BX14" s="297">
        <f>SUM(AE14:AH14)</f>
        <v>-609</v>
      </c>
      <c r="BY14" s="161">
        <f>SUM(AI14:AL14)</f>
        <v>-669</v>
      </c>
      <c r="BZ14" s="161">
        <f>SUM(AM14:AP14)</f>
        <v>-594</v>
      </c>
      <c r="CA14" s="161">
        <f>SUM(AQ14:AT14)</f>
        <v>-643</v>
      </c>
      <c r="CB14" s="161">
        <f>SUM(AU14:AX14)</f>
        <v>-898.87789500838926</v>
      </c>
      <c r="CC14" s="161">
        <f>SUM(AY14:BB14)</f>
        <v>-933.13629710339569</v>
      </c>
      <c r="CD14" s="161">
        <f>SUM(BC14:BF14)</f>
        <v>-903.14794450411307</v>
      </c>
      <c r="CE14" s="161">
        <f>SUM(BG14:BJ14)</f>
        <v>-977.5121174947194</v>
      </c>
      <c r="CF14" s="161">
        <f>SUM(BK14:BN14)</f>
        <v>-965.10336498094466</v>
      </c>
    </row>
    <row r="15" spans="1:85" s="296" customFormat="1">
      <c r="A15" s="42" t="s">
        <v>115</v>
      </c>
      <c r="B15" s="298">
        <f>Drivers!B213</f>
        <v>-70</v>
      </c>
      <c r="C15" s="298">
        <f>Drivers!C213</f>
        <v>-62</v>
      </c>
      <c r="D15" s="298">
        <f>Drivers!D213</f>
        <v>-67</v>
      </c>
      <c r="E15" s="298">
        <f>Drivers!E213</f>
        <v>-65</v>
      </c>
      <c r="F15" s="298">
        <f>Drivers!F213</f>
        <v>-67</v>
      </c>
      <c r="G15" s="298">
        <f>Drivers!G213</f>
        <v>-65</v>
      </c>
      <c r="H15" s="298">
        <f>Drivers!H213</f>
        <v>-79</v>
      </c>
      <c r="I15" s="298">
        <f>Drivers!I213</f>
        <v>-87</v>
      </c>
      <c r="J15" s="298">
        <f>Drivers!J213</f>
        <v>-83</v>
      </c>
      <c r="K15" s="298">
        <f>Drivers!K213</f>
        <v>-79</v>
      </c>
      <c r="L15" s="298">
        <f>Drivers!L213</f>
        <v>-90</v>
      </c>
      <c r="M15" s="298">
        <f>Drivers!M213</f>
        <v>-61</v>
      </c>
      <c r="N15" s="298">
        <f>Drivers!N213</f>
        <v>-84</v>
      </c>
      <c r="O15" s="298">
        <f>Drivers!O213</f>
        <v>-79</v>
      </c>
      <c r="P15" s="298">
        <f>Drivers!P213</f>
        <v>-81</v>
      </c>
      <c r="Q15" s="298">
        <f>Drivers!Q213</f>
        <v>-83</v>
      </c>
      <c r="R15" s="298">
        <f>Drivers!R213</f>
        <v>-87</v>
      </c>
      <c r="S15" s="298">
        <f>Drivers!S213</f>
        <v>-84</v>
      </c>
      <c r="T15" s="298">
        <f>Drivers!T213</f>
        <v>-86</v>
      </c>
      <c r="U15" s="298">
        <f>Drivers!U213</f>
        <v>-101</v>
      </c>
      <c r="V15" s="298">
        <f>Drivers!V213</f>
        <v>-94</v>
      </c>
      <c r="W15" s="298">
        <f>Drivers!W213</f>
        <v>-84</v>
      </c>
      <c r="X15" s="298">
        <f>Drivers!X213</f>
        <v>-90</v>
      </c>
      <c r="Y15" s="298">
        <f>Drivers!Y213</f>
        <v>-86</v>
      </c>
      <c r="Z15" s="298">
        <f>Drivers!Z213</f>
        <v>-97</v>
      </c>
      <c r="AA15" s="298">
        <f>Drivers!AA213</f>
        <v>-95</v>
      </c>
      <c r="AB15" s="298">
        <f>Drivers!AB213</f>
        <v>-99</v>
      </c>
      <c r="AC15" s="298">
        <f>Drivers!AC213</f>
        <v>-97</v>
      </c>
      <c r="AD15" s="298">
        <f>Drivers!AD213</f>
        <v>-95</v>
      </c>
      <c r="AE15" s="298">
        <f>Drivers!AE213</f>
        <v>-93</v>
      </c>
      <c r="AF15" s="298">
        <f>Drivers!AF213</f>
        <v>-102</v>
      </c>
      <c r="AG15" s="298">
        <f>Drivers!AG213</f>
        <v>-103</v>
      </c>
      <c r="AH15" s="298">
        <f>Drivers!AH213</f>
        <v>-110</v>
      </c>
      <c r="AI15" s="298">
        <f>Drivers!AI213</f>
        <v>-99</v>
      </c>
      <c r="AJ15" s="298">
        <f>Drivers!AJ213</f>
        <v>-100</v>
      </c>
      <c r="AK15" s="298">
        <f>Drivers!AK213</f>
        <v>-89</v>
      </c>
      <c r="AL15" s="298">
        <f>Drivers!AL213</f>
        <v>-109</v>
      </c>
      <c r="AM15" s="298">
        <f>Drivers!AM213</f>
        <v>-94</v>
      </c>
      <c r="AN15" s="298">
        <f>Drivers!AN213</f>
        <v>-108</v>
      </c>
      <c r="AO15" s="298">
        <f>Drivers!AO213</f>
        <v>-106</v>
      </c>
      <c r="AP15" s="298">
        <f>Drivers!AP213</f>
        <v>-121</v>
      </c>
      <c r="AQ15" s="298">
        <f>Drivers!AQ213</f>
        <v>-112</v>
      </c>
      <c r="AR15" s="298">
        <f>Drivers!AR213</f>
        <v>-108</v>
      </c>
      <c r="AS15" s="298">
        <f>Drivers!AS213</f>
        <v>-124</v>
      </c>
      <c r="AT15" s="298">
        <f>Drivers!AT213</f>
        <v>-149</v>
      </c>
      <c r="AU15" s="298">
        <f>Drivers!AU213</f>
        <v>-142</v>
      </c>
      <c r="AV15" s="298">
        <f>Drivers!AV213</f>
        <v>-145</v>
      </c>
      <c r="AW15" s="298">
        <f>Drivers!AW213</f>
        <v>-211.05025000000001</v>
      </c>
      <c r="AX15" s="298">
        <f>Drivers!AX213</f>
        <v>-170.5204875</v>
      </c>
      <c r="AY15" s="298">
        <f>Drivers!AY213</f>
        <v>-153.56482164547435</v>
      </c>
      <c r="AZ15" s="298">
        <f>Drivers!AZ213</f>
        <v>-142.79056576525127</v>
      </c>
      <c r="BA15" s="298">
        <f>Drivers!BA213</f>
        <v>-229.83685983333336</v>
      </c>
      <c r="BB15" s="298">
        <f>Drivers!BB213</f>
        <v>-162.84666584999999</v>
      </c>
      <c r="BC15" s="298">
        <f>Drivers!BC213</f>
        <v>-147.00192775311876</v>
      </c>
      <c r="BD15" s="298">
        <f>Drivers!BD213</f>
        <v>-148.90936081664705</v>
      </c>
      <c r="BE15" s="298">
        <f>Drivers!BE213</f>
        <v>-222.81673938221854</v>
      </c>
      <c r="BF15" s="298">
        <f>Drivers!BF213</f>
        <v>-162.62120403962084</v>
      </c>
      <c r="BG15" s="298">
        <f>Drivers!BG213</f>
        <v>-146.87461920718115</v>
      </c>
      <c r="BH15" s="298">
        <f>Drivers!BH213</f>
        <v>-176.02078832584837</v>
      </c>
      <c r="BI15" s="298">
        <f>Drivers!BI213</f>
        <v>-232.76689899751031</v>
      </c>
      <c r="BJ15" s="298">
        <f>Drivers!BJ213</f>
        <v>-169.72883521976559</v>
      </c>
      <c r="BK15" s="298">
        <f>Drivers!BK213</f>
        <v>-152.46119921841813</v>
      </c>
      <c r="BL15" s="298">
        <f>Drivers!BL213</f>
        <v>-154.80888396267633</v>
      </c>
      <c r="BM15" s="298">
        <f>Drivers!BM213</f>
        <v>-231.67081863127393</v>
      </c>
      <c r="BN15" s="298">
        <f>Drivers!BN213</f>
        <v>-173.63444452116659</v>
      </c>
      <c r="BO15" s="299"/>
      <c r="BP15" s="263">
        <v>-273</v>
      </c>
      <c r="BQ15" s="297">
        <f>SUM(C15:F15)</f>
        <v>-261</v>
      </c>
      <c r="BR15" s="297">
        <f>SUM(G15:J15)</f>
        <v>-314</v>
      </c>
      <c r="BS15" s="297">
        <f>SUM(K15:N15)</f>
        <v>-314</v>
      </c>
      <c r="BT15" s="297">
        <f>SUM(O15:R15)</f>
        <v>-330</v>
      </c>
      <c r="BU15" s="297">
        <f>SUM(S15:V15)</f>
        <v>-365</v>
      </c>
      <c r="BV15" s="297">
        <f>SUM(W15:Z15)</f>
        <v>-357</v>
      </c>
      <c r="BW15" s="297">
        <f>SUM(AA15:AD15)</f>
        <v>-386</v>
      </c>
      <c r="BX15" s="297">
        <f>SUM(AE15:AH15)</f>
        <v>-408</v>
      </c>
      <c r="BY15" s="161">
        <f>SUM(AI15:AL15)</f>
        <v>-397</v>
      </c>
      <c r="BZ15" s="161">
        <f>SUM(AM15:AP15)</f>
        <v>-429</v>
      </c>
      <c r="CA15" s="161">
        <f>SUM(AQ15:AT15)</f>
        <v>-493</v>
      </c>
      <c r="CB15" s="161">
        <f>SUM(AU15:AX15)</f>
        <v>-668.57073749999995</v>
      </c>
      <c r="CC15" s="161">
        <f>SUM(AY15:BB15)</f>
        <v>-689.03891309405901</v>
      </c>
      <c r="CD15" s="161">
        <f>SUM(BC15:BF15)</f>
        <v>-681.34923199160517</v>
      </c>
      <c r="CE15" s="161">
        <f>SUM(BG15:BJ15)</f>
        <v>-725.39114175030545</v>
      </c>
      <c r="CF15" s="161">
        <f>SUM(BK15:BN15)</f>
        <v>-712.57534633353498</v>
      </c>
    </row>
    <row r="16" spans="1:85" s="296" customFormat="1">
      <c r="A16" s="42" t="s">
        <v>111</v>
      </c>
      <c r="B16" s="298">
        <f>Drivers!B214</f>
        <v>-283</v>
      </c>
      <c r="C16" s="298">
        <f>Drivers!C214</f>
        <v>-245</v>
      </c>
      <c r="D16" s="298">
        <f>Drivers!D214</f>
        <v>-250</v>
      </c>
      <c r="E16" s="298">
        <f>Drivers!E214</f>
        <v>-244</v>
      </c>
      <c r="F16" s="298">
        <f>Drivers!F214</f>
        <v>-303</v>
      </c>
      <c r="G16" s="298">
        <f>Drivers!G214</f>
        <v>-262</v>
      </c>
      <c r="H16" s="298">
        <f>Drivers!H214</f>
        <v>-290</v>
      </c>
      <c r="I16" s="298">
        <f>Drivers!I214</f>
        <v>-295</v>
      </c>
      <c r="J16" s="298">
        <f>Drivers!J214</f>
        <v>-250</v>
      </c>
      <c r="K16" s="298">
        <f>Drivers!K214</f>
        <v>-260</v>
      </c>
      <c r="L16" s="298">
        <f>Drivers!L214</f>
        <v>-287</v>
      </c>
      <c r="M16" s="298">
        <f>Drivers!M214</f>
        <v>-261</v>
      </c>
      <c r="N16" s="298">
        <f>Drivers!N214</f>
        <v>-265</v>
      </c>
      <c r="O16" s="298">
        <f>Drivers!O214</f>
        <v>-258</v>
      </c>
      <c r="P16" s="298">
        <f>Drivers!P214</f>
        <v>-260</v>
      </c>
      <c r="Q16" s="298">
        <f>Drivers!Q214</f>
        <v>-250</v>
      </c>
      <c r="R16" s="298">
        <f>Drivers!R214</f>
        <v>-267</v>
      </c>
      <c r="S16" s="298">
        <f>Drivers!S214</f>
        <v>-249</v>
      </c>
      <c r="T16" s="298">
        <f>Drivers!T214</f>
        <v>-251</v>
      </c>
      <c r="U16" s="298">
        <f>Drivers!U214</f>
        <v>-273</v>
      </c>
      <c r="V16" s="298">
        <f>Drivers!V214</f>
        <v>-275</v>
      </c>
      <c r="W16" s="298">
        <f>Drivers!W214</f>
        <v>-270</v>
      </c>
      <c r="X16" s="298">
        <f>Drivers!X214</f>
        <v>-240</v>
      </c>
      <c r="Y16" s="298">
        <f>Drivers!Y214</f>
        <v>-240</v>
      </c>
      <c r="Z16" s="298">
        <f>Drivers!Z214</f>
        <v>-256</v>
      </c>
      <c r="AA16" s="298">
        <f>Drivers!AA214</f>
        <v>-267</v>
      </c>
      <c r="AB16" s="298">
        <f>Drivers!AB214</f>
        <v>-264</v>
      </c>
      <c r="AC16" s="298">
        <f>Drivers!AC214</f>
        <v>-258</v>
      </c>
      <c r="AD16" s="298">
        <f>Drivers!AD214</f>
        <v>-307</v>
      </c>
      <c r="AE16" s="298">
        <f>Drivers!AE214</f>
        <v>-297</v>
      </c>
      <c r="AF16" s="298">
        <f>Drivers!AF214</f>
        <v>-295</v>
      </c>
      <c r="AG16" s="298">
        <f>Drivers!AG214</f>
        <v>-291</v>
      </c>
      <c r="AH16" s="298">
        <f>Drivers!AH214</f>
        <v>-291</v>
      </c>
      <c r="AI16" s="298">
        <f>Drivers!AI214</f>
        <v>-315</v>
      </c>
      <c r="AJ16" s="298">
        <f>Drivers!AJ214</f>
        <v>-300</v>
      </c>
      <c r="AK16" s="298">
        <f>Drivers!AK214</f>
        <v>-285</v>
      </c>
      <c r="AL16" s="298">
        <f>Drivers!AL214</f>
        <v>-349</v>
      </c>
      <c r="AM16" s="298">
        <f>Drivers!AM214</f>
        <v>-332</v>
      </c>
      <c r="AN16" s="298">
        <f>Drivers!AN214</f>
        <v>-326</v>
      </c>
      <c r="AO16" s="298">
        <f>Drivers!AO214</f>
        <v>-329</v>
      </c>
      <c r="AP16" s="298">
        <f>Drivers!AP214</f>
        <v>-343</v>
      </c>
      <c r="AQ16" s="298">
        <f>Drivers!AQ214</f>
        <v>-372</v>
      </c>
      <c r="AR16" s="298">
        <f>Drivers!AR214</f>
        <v>-347</v>
      </c>
      <c r="AS16" s="298">
        <f>Drivers!AS214</f>
        <v>-377</v>
      </c>
      <c r="AT16" s="298">
        <f>Drivers!AT214</f>
        <v>-397</v>
      </c>
      <c r="AU16" s="298">
        <f>Drivers!AU214</f>
        <v>-430</v>
      </c>
      <c r="AV16" s="298">
        <f>Drivers!AV214</f>
        <v>-452</v>
      </c>
      <c r="AW16" s="298">
        <f>Drivers!AW214</f>
        <v>-422.10050000000001</v>
      </c>
      <c r="AX16" s="298">
        <f>Drivers!AX214</f>
        <v>-520.53622499999994</v>
      </c>
      <c r="AY16" s="298">
        <f>Drivers!AY214</f>
        <v>-457.6531279425576</v>
      </c>
      <c r="AZ16" s="298">
        <f>Drivers!AZ214</f>
        <v>-504.66621816174279</v>
      </c>
      <c r="BA16" s="298">
        <f>Drivers!BA214</f>
        <v>-502.76813088541672</v>
      </c>
      <c r="BB16" s="298">
        <f>Drivers!BB214</f>
        <v>-514.25262899999996</v>
      </c>
      <c r="BC16" s="298">
        <f>Drivers!BC214</f>
        <v>-453.21023435079991</v>
      </c>
      <c r="BD16" s="298">
        <f>Drivers!BD214</f>
        <v>-526.29194071382869</v>
      </c>
      <c r="BE16" s="298">
        <f>Drivers!BE214</f>
        <v>-519.90572522517664</v>
      </c>
      <c r="BF16" s="298">
        <f>Drivers!BF214</f>
        <v>-533.03616879653498</v>
      </c>
      <c r="BG16" s="298">
        <f>Drivers!BG214</f>
        <v>-469.57487308350346</v>
      </c>
      <c r="BH16" s="298">
        <f>Drivers!BH214</f>
        <v>-637.85594839112082</v>
      </c>
      <c r="BI16" s="298">
        <f>Drivers!BI214</f>
        <v>-561.85113551123175</v>
      </c>
      <c r="BJ16" s="298">
        <f>Drivers!BJ214</f>
        <v>-567.3792491632164</v>
      </c>
      <c r="BK16" s="298">
        <f>Drivers!BK214</f>
        <v>-492.57486080312395</v>
      </c>
      <c r="BL16" s="298">
        <f>Drivers!BL214</f>
        <v>-575.84890499864696</v>
      </c>
      <c r="BM16" s="298">
        <f>Drivers!BM214</f>
        <v>-579.17704657818479</v>
      </c>
      <c r="BN16" s="298">
        <f>Drivers!BN214</f>
        <v>-592.39986954280369</v>
      </c>
      <c r="BO16" s="299"/>
      <c r="BP16" s="263">
        <v>-1119</v>
      </c>
      <c r="BQ16" s="297">
        <f>SUM(C16:F16)</f>
        <v>-1042</v>
      </c>
      <c r="BR16" s="297">
        <f>SUM(G16:J16)</f>
        <v>-1097</v>
      </c>
      <c r="BS16" s="297">
        <f>SUM(K16:N16)</f>
        <v>-1073</v>
      </c>
      <c r="BT16" s="297">
        <f>SUM(O16:R16)</f>
        <v>-1035</v>
      </c>
      <c r="BU16" s="297">
        <f>SUM(S16:V16)</f>
        <v>-1048</v>
      </c>
      <c r="BV16" s="297">
        <f>SUM(W16:Z16)</f>
        <v>-1006</v>
      </c>
      <c r="BW16" s="297">
        <f>SUM(AA16:AD16)</f>
        <v>-1096</v>
      </c>
      <c r="BX16" s="297">
        <f>SUM(AE16:AH16)</f>
        <v>-1174</v>
      </c>
      <c r="BY16" s="161">
        <f>SUM(AI16:AL16)</f>
        <v>-1249</v>
      </c>
      <c r="BZ16" s="161">
        <f>SUM(AM16:AP16)</f>
        <v>-1330</v>
      </c>
      <c r="CA16" s="161">
        <f>SUM(AQ16:AT16)</f>
        <v>-1493</v>
      </c>
      <c r="CB16" s="161">
        <f>SUM(AU16:AX16)</f>
        <v>-1824.6367249999998</v>
      </c>
      <c r="CC16" s="161">
        <f>SUM(AY16:BB16)</f>
        <v>-1979.3401059897169</v>
      </c>
      <c r="CD16" s="161">
        <f>SUM(BC16:BF16)</f>
        <v>-2032.4440690863403</v>
      </c>
      <c r="CE16" s="161">
        <f>SUM(BG16:BJ16)</f>
        <v>-2236.6612061490723</v>
      </c>
      <c r="CF16" s="161">
        <f>SUM(BK16:BN16)</f>
        <v>-2240.0006819227592</v>
      </c>
    </row>
    <row r="17" spans="1:85" s="296" customFormat="1">
      <c r="A17" s="194" t="s">
        <v>374</v>
      </c>
      <c r="B17" s="298">
        <f>Drivers!B215</f>
        <v>-520</v>
      </c>
      <c r="C17" s="298">
        <f>Drivers!C215</f>
        <v>-430</v>
      </c>
      <c r="D17" s="298">
        <f>Drivers!D215</f>
        <v>-484</v>
      </c>
      <c r="E17" s="298">
        <f>Drivers!E215</f>
        <v>-556</v>
      </c>
      <c r="F17" s="298">
        <f>Drivers!F215</f>
        <v>-559</v>
      </c>
      <c r="G17" s="298">
        <f>Drivers!G215</f>
        <v>-462</v>
      </c>
      <c r="H17" s="298">
        <f>Drivers!H215</f>
        <v>-585</v>
      </c>
      <c r="I17" s="298">
        <f>Drivers!I215</f>
        <v>-644</v>
      </c>
      <c r="J17" s="298">
        <f>Drivers!J215</f>
        <v>-554</v>
      </c>
      <c r="K17" s="298">
        <f>Drivers!K215</f>
        <v>-483</v>
      </c>
      <c r="L17" s="298">
        <f>Drivers!L215</f>
        <v>-581</v>
      </c>
      <c r="M17" s="298">
        <f>Drivers!M215</f>
        <v>-529</v>
      </c>
      <c r="N17" s="298">
        <f>Drivers!N215</f>
        <v>-540</v>
      </c>
      <c r="O17" s="298">
        <f>Drivers!O215</f>
        <v>-477</v>
      </c>
      <c r="P17" s="298">
        <f>Drivers!P215</f>
        <v>-499</v>
      </c>
      <c r="Q17" s="298">
        <f>Drivers!Q215</f>
        <v>-540</v>
      </c>
      <c r="R17" s="298">
        <f>Drivers!R215</f>
        <v>-503</v>
      </c>
      <c r="S17" s="298">
        <f>Drivers!S215</f>
        <v>-459</v>
      </c>
      <c r="T17" s="298">
        <f>Drivers!T215</f>
        <v>-497</v>
      </c>
      <c r="U17" s="298">
        <f>Drivers!U215</f>
        <v>-521</v>
      </c>
      <c r="V17" s="298">
        <f>Drivers!V215</f>
        <v>-513</v>
      </c>
      <c r="W17" s="298">
        <f>Drivers!W215</f>
        <v>-472</v>
      </c>
      <c r="X17" s="298">
        <f>Drivers!X215</f>
        <v>-479</v>
      </c>
      <c r="Y17" s="298">
        <f>Drivers!Y215</f>
        <v>-511</v>
      </c>
      <c r="Z17" s="298">
        <f>Drivers!Z215</f>
        <v>-499</v>
      </c>
      <c r="AA17" s="298">
        <f>Drivers!AA215</f>
        <v>-483</v>
      </c>
      <c r="AB17" s="298">
        <f>Drivers!AB215</f>
        <v>-498</v>
      </c>
      <c r="AC17" s="298">
        <f>Drivers!AC215</f>
        <v>-587</v>
      </c>
      <c r="AD17" s="298">
        <f>Drivers!AD215</f>
        <v>-556</v>
      </c>
      <c r="AE17" s="298">
        <f>Drivers!AE215</f>
        <v>-504</v>
      </c>
      <c r="AF17" s="298">
        <f>Drivers!AF215</f>
        <v>-548</v>
      </c>
      <c r="AG17" s="298">
        <f>Drivers!AG215</f>
        <v>-616</v>
      </c>
      <c r="AH17" s="298">
        <f>Drivers!AH215</f>
        <v>-523</v>
      </c>
      <c r="AI17" s="298">
        <f>Drivers!AI215</f>
        <v>-547</v>
      </c>
      <c r="AJ17" s="298">
        <f>Drivers!AJ215</f>
        <v>-537</v>
      </c>
      <c r="AK17" s="298">
        <f>Drivers!AK215</f>
        <v>-553</v>
      </c>
      <c r="AL17" s="298">
        <f>Drivers!AL215</f>
        <v>-678</v>
      </c>
      <c r="AM17" s="298">
        <f>Drivers!AM215</f>
        <v>-529</v>
      </c>
      <c r="AN17" s="298">
        <f>Drivers!AN215</f>
        <v>-576</v>
      </c>
      <c r="AO17" s="298">
        <f>Drivers!AO215</f>
        <v>-627</v>
      </c>
      <c r="AP17" s="298">
        <f>Drivers!AP215</f>
        <v>-621</v>
      </c>
      <c r="AQ17" s="298">
        <f>Drivers!AQ215</f>
        <v>-594</v>
      </c>
      <c r="AR17" s="298">
        <f>Drivers!AR215</f>
        <v>-599</v>
      </c>
      <c r="AS17" s="298">
        <f>Drivers!AS215</f>
        <v>-706</v>
      </c>
      <c r="AT17" s="298">
        <f>Drivers!AT215</f>
        <v>-730</v>
      </c>
      <c r="AU17" s="298">
        <f>Drivers!AU215</f>
        <v>-750</v>
      </c>
      <c r="AV17" s="298">
        <f>Drivers!AV215</f>
        <v>-815</v>
      </c>
      <c r="AW17" s="298">
        <f>Drivers!AW215</f>
        <v>-923.34484375000011</v>
      </c>
      <c r="AX17" s="298">
        <f>Drivers!AX215</f>
        <v>-903.74051375838917</v>
      </c>
      <c r="AY17" s="298">
        <f>Drivers!AY215</f>
        <v>-805.63655174811663</v>
      </c>
      <c r="AZ17" s="298">
        <f>Drivers!AZ215</f>
        <v>-867.03626494410241</v>
      </c>
      <c r="BA17" s="298">
        <f>Drivers!BA215</f>
        <v>-1048.6306729895834</v>
      </c>
      <c r="BB17" s="298">
        <f>Drivers!BB215</f>
        <v>-880.211826505369</v>
      </c>
      <c r="BC17" s="298">
        <f>Drivers!BC215</f>
        <v>-784.5359412284372</v>
      </c>
      <c r="BD17" s="298">
        <f>Drivers!BD215</f>
        <v>-888.9612950634521</v>
      </c>
      <c r="BE17" s="298">
        <f>Drivers!BE215</f>
        <v>-1047.2386750964274</v>
      </c>
      <c r="BF17" s="298">
        <f>Drivers!BF215</f>
        <v>-896.20533419374192</v>
      </c>
      <c r="BG17" s="298">
        <f>Drivers!BG215</f>
        <v>-802.65606511631881</v>
      </c>
      <c r="BH17" s="298">
        <f>Drivers!BH215</f>
        <v>-1070.5032122580933</v>
      </c>
      <c r="BI17" s="298">
        <f>Drivers!BI215</f>
        <v>-1123.7022710224635</v>
      </c>
      <c r="BJ17" s="298">
        <f>Drivers!BJ215</f>
        <v>-942.70291699722156</v>
      </c>
      <c r="BK17" s="298">
        <f>Drivers!BK215</f>
        <v>-835.18198661379279</v>
      </c>
      <c r="BL17" s="298">
        <f>Drivers!BL215</f>
        <v>-960.08494663637555</v>
      </c>
      <c r="BM17" s="298">
        <f>Drivers!BM215</f>
        <v>-1150.0801353481099</v>
      </c>
      <c r="BN17" s="298">
        <f>Drivers!BN215</f>
        <v>-972.3323246389607</v>
      </c>
      <c r="BO17" s="299"/>
      <c r="BP17" s="297">
        <f t="shared" ref="BP17:CF17" si="8">BP16+BP14+BP15</f>
        <v>-2106</v>
      </c>
      <c r="BQ17" s="297">
        <f t="shared" si="8"/>
        <v>-2029</v>
      </c>
      <c r="BR17" s="297">
        <f t="shared" si="8"/>
        <v>-2245</v>
      </c>
      <c r="BS17" s="297">
        <f t="shared" si="8"/>
        <v>-2133</v>
      </c>
      <c r="BT17" s="297">
        <f t="shared" si="8"/>
        <v>-2019</v>
      </c>
      <c r="BU17" s="297">
        <f t="shared" si="8"/>
        <v>-1990</v>
      </c>
      <c r="BV17" s="297">
        <f t="shared" si="8"/>
        <v>-1961</v>
      </c>
      <c r="BW17" s="297">
        <f t="shared" si="8"/>
        <v>-2124</v>
      </c>
      <c r="BX17" s="297">
        <f t="shared" si="8"/>
        <v>-2191</v>
      </c>
      <c r="BY17" s="161">
        <f t="shared" si="8"/>
        <v>-2315</v>
      </c>
      <c r="BZ17" s="161">
        <f t="shared" si="8"/>
        <v>-2353</v>
      </c>
      <c r="CA17" s="161">
        <f t="shared" si="8"/>
        <v>-2629</v>
      </c>
      <c r="CB17" s="161">
        <f t="shared" si="8"/>
        <v>-3392.0853575083893</v>
      </c>
      <c r="CC17" s="161">
        <f t="shared" si="8"/>
        <v>-3601.5153161871717</v>
      </c>
      <c r="CD17" s="161">
        <f t="shared" si="8"/>
        <v>-3616.9412455820584</v>
      </c>
      <c r="CE17" s="161">
        <f t="shared" si="8"/>
        <v>-3939.5644653940972</v>
      </c>
      <c r="CF17" s="161">
        <f t="shared" si="8"/>
        <v>-3917.6793932372389</v>
      </c>
    </row>
    <row r="18" spans="1:85">
      <c r="AY18" s="610"/>
      <c r="AZ18" s="610"/>
      <c r="BA18" s="610"/>
      <c r="BB18" s="610"/>
    </row>
    <row r="19" spans="1:85">
      <c r="A19" s="281" t="s">
        <v>375</v>
      </c>
      <c r="B19" s="296">
        <f>CF!B58</f>
        <v>84</v>
      </c>
      <c r="C19" s="296">
        <f>CF!C58</f>
        <v>-61</v>
      </c>
      <c r="D19" s="296">
        <f>CF!D58</f>
        <v>85</v>
      </c>
      <c r="E19" s="296">
        <f>CF!E58</f>
        <v>316</v>
      </c>
      <c r="F19" s="296">
        <f>CF!F58</f>
        <v>153</v>
      </c>
      <c r="G19" s="296">
        <f>CF!G58</f>
        <v>-131</v>
      </c>
      <c r="H19" s="296">
        <f>CF!H58</f>
        <v>76</v>
      </c>
      <c r="I19" s="296">
        <f>CF!I58</f>
        <v>523</v>
      </c>
      <c r="J19" s="296">
        <f>CF!J58</f>
        <v>145</v>
      </c>
      <c r="K19" s="296">
        <f>CF!K58</f>
        <v>-125</v>
      </c>
      <c r="L19" s="296">
        <f>CF!L58</f>
        <v>124</v>
      </c>
      <c r="M19" s="296">
        <f>CF!M58</f>
        <v>313</v>
      </c>
      <c r="N19" s="296">
        <f>CF!N58</f>
        <v>319</v>
      </c>
      <c r="O19" s="296">
        <f>CF!O58</f>
        <v>-105</v>
      </c>
      <c r="P19" s="296">
        <f>CF!P58</f>
        <v>199</v>
      </c>
      <c r="Q19" s="296">
        <f>CF!Q58</f>
        <v>589</v>
      </c>
      <c r="R19" s="296">
        <f>CF!R58</f>
        <v>261</v>
      </c>
      <c r="S19" s="296">
        <f>CF!S58</f>
        <v>141</v>
      </c>
      <c r="T19" s="296">
        <f>CF!T58</f>
        <v>365</v>
      </c>
      <c r="U19" s="296">
        <f>CF!U58</f>
        <v>572</v>
      </c>
      <c r="V19" s="296">
        <f>CF!V58</f>
        <v>218</v>
      </c>
      <c r="W19" s="296">
        <f>CF!W58</f>
        <v>109</v>
      </c>
      <c r="X19" s="296">
        <f>CF!X58</f>
        <v>320</v>
      </c>
      <c r="Y19" s="296">
        <f>CF!Y58</f>
        <v>808</v>
      </c>
      <c r="Z19" s="296">
        <f>CF!Z58</f>
        <v>260</v>
      </c>
      <c r="AA19" s="296">
        <f>CF!AA58</f>
        <v>80</v>
      </c>
      <c r="AB19" s="296">
        <f>CF!AB58</f>
        <v>257</v>
      </c>
      <c r="AC19" s="296">
        <f>CF!AC58</f>
        <v>1034</v>
      </c>
      <c r="AD19" s="296">
        <f>CF!AD58</f>
        <v>367</v>
      </c>
      <c r="AE19" s="296">
        <f>CF!AE58</f>
        <v>149</v>
      </c>
      <c r="AF19" s="296">
        <f>CF!AF58</f>
        <v>275</v>
      </c>
      <c r="AG19" s="296">
        <f>CF!AG58</f>
        <v>888</v>
      </c>
      <c r="AH19" s="296">
        <f>CF!AH58</f>
        <v>540.16025226153852</v>
      </c>
      <c r="AI19" s="296">
        <f>CF!AI58</f>
        <v>76</v>
      </c>
      <c r="AJ19" s="296">
        <f>CF!AJ58</f>
        <v>349</v>
      </c>
      <c r="AK19" s="296">
        <f>CF!AK58</f>
        <v>727</v>
      </c>
      <c r="AL19" s="296">
        <f>CF!AL58</f>
        <v>496</v>
      </c>
      <c r="AM19" s="296">
        <f>CF!AM58</f>
        <v>145</v>
      </c>
      <c r="AN19" s="296">
        <f>CF!AN58</f>
        <v>406</v>
      </c>
      <c r="AO19" s="296">
        <f>CF!AO58</f>
        <v>974</v>
      </c>
      <c r="AP19" s="296">
        <f>CF!AP58</f>
        <v>452</v>
      </c>
      <c r="AQ19" s="296">
        <f>CF!AQ58</f>
        <v>546</v>
      </c>
      <c r="AR19" s="296">
        <f>CF!AR58</f>
        <v>67</v>
      </c>
      <c r="AS19" s="296">
        <f>CF!AS58</f>
        <v>1140</v>
      </c>
      <c r="AT19" s="296">
        <f>CF!AT58</f>
        <v>504</v>
      </c>
      <c r="AU19" s="296">
        <f>CF!AU58</f>
        <v>399</v>
      </c>
      <c r="AV19" s="296">
        <f>CF!AV58</f>
        <v>660</v>
      </c>
      <c r="AW19" s="296">
        <f>CF!AW58</f>
        <v>1234.7915992829062</v>
      </c>
      <c r="AX19" s="296">
        <f>CF!AX58</f>
        <v>610.69538606672222</v>
      </c>
      <c r="AY19" s="296">
        <f>CF!AY58</f>
        <v>477.16043371747912</v>
      </c>
      <c r="AZ19" s="296">
        <f>CF!AZ58</f>
        <v>679.69024617243736</v>
      </c>
      <c r="BA19" s="296">
        <f>CF!BA58</f>
        <v>1282.3648291411416</v>
      </c>
      <c r="BB19" s="296">
        <f>CF!BB58</f>
        <v>560.75236168533706</v>
      </c>
      <c r="BC19" s="296">
        <f>CF!BC58</f>
        <v>496.63310465039297</v>
      </c>
      <c r="BD19" s="296">
        <f>CF!BD58</f>
        <v>712.43015280260829</v>
      </c>
      <c r="BE19" s="296">
        <f>CF!BE58</f>
        <v>1355.6882375199446</v>
      </c>
      <c r="BF19" s="296">
        <f>CF!BF58</f>
        <v>612.35150059792318</v>
      </c>
      <c r="BG19" s="296">
        <f>CF!BG58</f>
        <v>536.38559360274132</v>
      </c>
      <c r="BH19" s="296">
        <f>CF!BH58</f>
        <v>865.6869035055845</v>
      </c>
      <c r="BI19" s="296">
        <f>CF!BI58</f>
        <v>1463.935446449196</v>
      </c>
      <c r="BJ19" s="296">
        <f>CF!BJ58</f>
        <v>668.14252719358637</v>
      </c>
      <c r="BK19" s="296">
        <f>CF!BK58</f>
        <v>585.65474421034878</v>
      </c>
      <c r="BL19" s="296">
        <f>CF!BL58</f>
        <v>809.81901274070424</v>
      </c>
      <c r="BM19" s="296">
        <f>CF!BM58</f>
        <v>1513.3310924388504</v>
      </c>
      <c r="BN19" s="296">
        <f>CF!BN58</f>
        <v>718.01713052090247</v>
      </c>
      <c r="BO19" s="296"/>
      <c r="BP19" s="296">
        <f>CF!BP58</f>
        <v>-88</v>
      </c>
      <c r="BQ19" s="296">
        <f>CF!BQ58</f>
        <v>493</v>
      </c>
      <c r="BR19" s="296">
        <f>CF!BR58</f>
        <v>613</v>
      </c>
      <c r="BS19" s="296">
        <f>CF!BS58</f>
        <v>631</v>
      </c>
      <c r="BT19" s="296">
        <f>CF!BT58</f>
        <v>944</v>
      </c>
      <c r="BU19" s="296">
        <f>CF!BU58</f>
        <v>1296</v>
      </c>
      <c r="BV19" s="296">
        <f>CF!BV58</f>
        <v>1497</v>
      </c>
      <c r="BW19" s="296">
        <f>CF!BW58</f>
        <v>1738</v>
      </c>
      <c r="BX19" s="296">
        <f>CF!BX58</f>
        <v>1852.1602522615385</v>
      </c>
      <c r="BY19" s="296">
        <f>CF!BY58</f>
        <v>1648</v>
      </c>
      <c r="BZ19" s="296">
        <f>CF!BZ58</f>
        <v>1977</v>
      </c>
      <c r="CA19" s="296">
        <f>CF!CA58</f>
        <v>2257</v>
      </c>
      <c r="CB19" s="296">
        <f>CF!CB58</f>
        <v>2904.4869853496275</v>
      </c>
      <c r="CC19" s="296">
        <f>CF!CC58</f>
        <v>2999.9678707163944</v>
      </c>
      <c r="CD19" s="296">
        <f>CF!CD58</f>
        <v>3177.1029955708691</v>
      </c>
      <c r="CE19" s="296">
        <f>CF!CE58</f>
        <v>3534.1504707511085</v>
      </c>
      <c r="CF19" s="296">
        <f>CF!CF58</f>
        <v>3626.8219799108047</v>
      </c>
    </row>
    <row r="20" spans="1:85">
      <c r="AW20" s="280"/>
      <c r="AX20" s="280"/>
      <c r="AY20" s="610"/>
      <c r="AZ20" s="610"/>
      <c r="BA20" s="610"/>
      <c r="BB20" s="610"/>
      <c r="CB20" s="263"/>
      <c r="CC20" s="263"/>
      <c r="CD20" s="263"/>
    </row>
    <row r="21" spans="1:85" s="611" customFormat="1">
      <c r="A21" s="25" t="s">
        <v>377</v>
      </c>
      <c r="B21" s="306">
        <f t="shared" ref="B21:AG21" si="9">B12+B17</f>
        <v>34</v>
      </c>
      <c r="C21" s="306">
        <f t="shared" si="9"/>
        <v>-109</v>
      </c>
      <c r="D21" s="306">
        <f t="shared" si="9"/>
        <v>39</v>
      </c>
      <c r="E21" s="306">
        <f t="shared" si="9"/>
        <v>272</v>
      </c>
      <c r="F21" s="306">
        <f t="shared" si="9"/>
        <v>111</v>
      </c>
      <c r="G21" s="306">
        <f t="shared" si="9"/>
        <v>-174</v>
      </c>
      <c r="H21" s="306">
        <f t="shared" si="9"/>
        <v>25</v>
      </c>
      <c r="I21" s="306">
        <f t="shared" si="9"/>
        <v>469</v>
      </c>
      <c r="J21" s="306">
        <f t="shared" si="9"/>
        <v>77</v>
      </c>
      <c r="K21" s="306">
        <f t="shared" si="9"/>
        <v>-181</v>
      </c>
      <c r="L21" s="306">
        <f t="shared" si="9"/>
        <v>68</v>
      </c>
      <c r="M21" s="306">
        <f t="shared" si="9"/>
        <v>247</v>
      </c>
      <c r="N21" s="306">
        <f t="shared" si="9"/>
        <v>233</v>
      </c>
      <c r="O21" s="306">
        <f t="shared" si="9"/>
        <v>-161</v>
      </c>
      <c r="P21" s="306">
        <f t="shared" si="9"/>
        <v>143</v>
      </c>
      <c r="Q21" s="306">
        <f t="shared" si="9"/>
        <v>531</v>
      </c>
      <c r="R21" s="306">
        <f t="shared" si="9"/>
        <v>204</v>
      </c>
      <c r="S21" s="306">
        <f t="shared" si="9"/>
        <v>85</v>
      </c>
      <c r="T21" s="306">
        <f t="shared" si="9"/>
        <v>309</v>
      </c>
      <c r="U21" s="306">
        <f t="shared" si="9"/>
        <v>519</v>
      </c>
      <c r="V21" s="306">
        <f t="shared" si="9"/>
        <v>163</v>
      </c>
      <c r="W21" s="306">
        <f t="shared" si="9"/>
        <v>60</v>
      </c>
      <c r="X21" s="306">
        <f t="shared" si="9"/>
        <v>270</v>
      </c>
      <c r="Y21" s="306">
        <f t="shared" si="9"/>
        <v>758</v>
      </c>
      <c r="Z21" s="306">
        <f t="shared" si="9"/>
        <v>212</v>
      </c>
      <c r="AA21" s="306">
        <f t="shared" si="9"/>
        <v>34</v>
      </c>
      <c r="AB21" s="306">
        <f t="shared" si="9"/>
        <v>212</v>
      </c>
      <c r="AC21" s="306">
        <f t="shared" si="9"/>
        <v>985</v>
      </c>
      <c r="AD21" s="306">
        <f t="shared" si="9"/>
        <v>335</v>
      </c>
      <c r="AE21" s="306">
        <f t="shared" si="9"/>
        <v>118</v>
      </c>
      <c r="AF21" s="306">
        <f t="shared" si="9"/>
        <v>243</v>
      </c>
      <c r="AG21" s="306">
        <f t="shared" si="9"/>
        <v>854</v>
      </c>
      <c r="AH21" s="306">
        <f t="shared" ref="AH21:BN21" si="10">AH12+AH17</f>
        <v>501.16025226153852</v>
      </c>
      <c r="AI21" s="306">
        <f t="shared" si="10"/>
        <v>38</v>
      </c>
      <c r="AJ21" s="306">
        <f t="shared" si="10"/>
        <v>313</v>
      </c>
      <c r="AK21" s="306">
        <f t="shared" si="10"/>
        <v>693</v>
      </c>
      <c r="AL21" s="306">
        <f t="shared" si="10"/>
        <v>459</v>
      </c>
      <c r="AM21" s="306">
        <f t="shared" si="10"/>
        <v>108</v>
      </c>
      <c r="AN21" s="306">
        <f t="shared" si="10"/>
        <v>371</v>
      </c>
      <c r="AO21" s="306">
        <f t="shared" si="10"/>
        <v>935</v>
      </c>
      <c r="AP21" s="306">
        <f t="shared" si="10"/>
        <v>413</v>
      </c>
      <c r="AQ21" s="306">
        <f t="shared" si="10"/>
        <v>509</v>
      </c>
      <c r="AR21" s="306">
        <f t="shared" si="10"/>
        <v>27</v>
      </c>
      <c r="AS21" s="306">
        <f t="shared" si="10"/>
        <v>1094</v>
      </c>
      <c r="AT21" s="306">
        <f t="shared" si="10"/>
        <v>446</v>
      </c>
      <c r="AU21" s="306">
        <f t="shared" si="10"/>
        <v>294</v>
      </c>
      <c r="AV21" s="306">
        <f>AV12+AV17</f>
        <v>566</v>
      </c>
      <c r="AW21" s="306">
        <f t="shared" si="10"/>
        <v>1134.3950937499999</v>
      </c>
      <c r="AX21" s="306">
        <f t="shared" si="10"/>
        <v>512.94682852349001</v>
      </c>
      <c r="AY21" s="306">
        <f t="shared" si="10"/>
        <v>377.60695398759765</v>
      </c>
      <c r="AZ21" s="306">
        <f t="shared" si="10"/>
        <v>583.69463479128763</v>
      </c>
      <c r="BA21" s="306">
        <f t="shared" si="10"/>
        <v>1189.4057496375001</v>
      </c>
      <c r="BB21" s="306">
        <f t="shared" si="10"/>
        <v>471.00708912503353</v>
      </c>
      <c r="BC21" s="306">
        <f t="shared" si="10"/>
        <v>410.01013425146152</v>
      </c>
      <c r="BD21" s="306">
        <f t="shared" si="10"/>
        <v>627.99666666376584</v>
      </c>
      <c r="BE21" s="306">
        <f t="shared" si="10"/>
        <v>1273.0263043370751</v>
      </c>
      <c r="BF21" s="306">
        <f t="shared" si="10"/>
        <v>531.72040439397733</v>
      </c>
      <c r="BG21" s="306">
        <f t="shared" si="10"/>
        <v>457.83550125641591</v>
      </c>
      <c r="BH21" s="306">
        <f t="shared" si="10"/>
        <v>788.41217002404983</v>
      </c>
      <c r="BI21" s="306">
        <f t="shared" si="10"/>
        <v>1386.9696602334409</v>
      </c>
      <c r="BJ21" s="306">
        <f t="shared" si="10"/>
        <v>592.15347531264797</v>
      </c>
      <c r="BK21" s="306">
        <f t="shared" si="10"/>
        <v>510.95451978831511</v>
      </c>
      <c r="BL21" s="306">
        <f t="shared" si="10"/>
        <v>735.76015466011688</v>
      </c>
      <c r="BM21" s="306">
        <f t="shared" si="10"/>
        <v>1439.6686586372023</v>
      </c>
      <c r="BN21" s="306">
        <f t="shared" si="10"/>
        <v>645.04544924760262</v>
      </c>
      <c r="BO21" s="306"/>
      <c r="BP21" s="306">
        <f t="shared" ref="BP21:CF21" si="11">BP12+BP17</f>
        <v>-280</v>
      </c>
      <c r="BQ21" s="306">
        <f t="shared" si="11"/>
        <v>313</v>
      </c>
      <c r="BR21" s="306">
        <f t="shared" si="11"/>
        <v>397</v>
      </c>
      <c r="BS21" s="306">
        <f t="shared" si="11"/>
        <v>367</v>
      </c>
      <c r="BT21" s="306">
        <f t="shared" si="11"/>
        <v>717</v>
      </c>
      <c r="BU21" s="306">
        <f t="shared" si="11"/>
        <v>1076</v>
      </c>
      <c r="BV21" s="306">
        <f t="shared" si="11"/>
        <v>1300</v>
      </c>
      <c r="BW21" s="306">
        <f t="shared" si="11"/>
        <v>1566</v>
      </c>
      <c r="BX21" s="306">
        <f t="shared" si="11"/>
        <v>1716.1602522615385</v>
      </c>
      <c r="BY21" s="30">
        <f t="shared" si="11"/>
        <v>1503</v>
      </c>
      <c r="BZ21" s="30">
        <f t="shared" si="11"/>
        <v>1827</v>
      </c>
      <c r="CA21" s="30">
        <f t="shared" si="11"/>
        <v>2076</v>
      </c>
      <c r="CB21" s="30">
        <f t="shared" si="11"/>
        <v>2507.3419222734892</v>
      </c>
      <c r="CC21" s="30">
        <f t="shared" si="11"/>
        <v>2621.714427541418</v>
      </c>
      <c r="CD21" s="30">
        <f t="shared" si="11"/>
        <v>2842.7535096462798</v>
      </c>
      <c r="CE21" s="30">
        <f t="shared" si="11"/>
        <v>3225.3708068265551</v>
      </c>
      <c r="CF21" s="30">
        <f t="shared" si="11"/>
        <v>3331.4287823332356</v>
      </c>
    </row>
    <row r="22" spans="1:85" s="614" customFormat="1" ht="12.75" customHeight="1">
      <c r="A22" s="612" t="s">
        <v>119</v>
      </c>
      <c r="B22" s="613">
        <f>Drivers!B198</f>
        <v>-2</v>
      </c>
      <c r="C22" s="613">
        <f>Drivers!C198</f>
        <v>0</v>
      </c>
      <c r="D22" s="613">
        <f>Drivers!D198</f>
        <v>6</v>
      </c>
      <c r="E22" s="613">
        <f>Drivers!E198</f>
        <v>0</v>
      </c>
      <c r="F22" s="613">
        <f>Drivers!F198</f>
        <v>4</v>
      </c>
      <c r="G22" s="613">
        <f>Drivers!G198</f>
        <v>3</v>
      </c>
      <c r="H22" s="613">
        <f>Drivers!H198</f>
        <v>-6</v>
      </c>
      <c r="I22" s="613">
        <f>Drivers!I198</f>
        <v>-10</v>
      </c>
      <c r="J22" s="613">
        <f>Drivers!J198</f>
        <v>-4</v>
      </c>
      <c r="K22" s="613">
        <f>Drivers!K198</f>
        <v>-5</v>
      </c>
      <c r="L22" s="613">
        <f>Drivers!L198</f>
        <v>-4</v>
      </c>
      <c r="M22" s="613">
        <f>Drivers!M198</f>
        <v>-8</v>
      </c>
      <c r="N22" s="613">
        <f>Drivers!N198</f>
        <v>-4</v>
      </c>
      <c r="O22" s="613">
        <f>Drivers!O198</f>
        <v>-5</v>
      </c>
      <c r="P22" s="613">
        <f>Drivers!P198</f>
        <v>-8</v>
      </c>
      <c r="Q22" s="613">
        <f>Drivers!Q198</f>
        <v>-6</v>
      </c>
      <c r="R22" s="613">
        <f>Drivers!R198</f>
        <v>-7</v>
      </c>
      <c r="S22" s="613">
        <f>Drivers!S198</f>
        <v>-8</v>
      </c>
      <c r="T22" s="613">
        <f>Drivers!T198</f>
        <v>-6</v>
      </c>
      <c r="U22" s="613">
        <f>Drivers!U198</f>
        <v>-6</v>
      </c>
      <c r="V22" s="613">
        <f>Drivers!V198</f>
        <v>-3</v>
      </c>
      <c r="W22" s="613">
        <f>Drivers!W198</f>
        <v>-3</v>
      </c>
      <c r="X22" s="613">
        <f>Drivers!X198</f>
        <v>-9</v>
      </c>
      <c r="Y22" s="613">
        <f>Drivers!Y198</f>
        <v>1</v>
      </c>
      <c r="Z22" s="613">
        <f>Drivers!Z198</f>
        <v>-10</v>
      </c>
      <c r="AA22" s="613">
        <f>Drivers!AA198</f>
        <v>-8</v>
      </c>
      <c r="AB22" s="613">
        <f>Drivers!AB198</f>
        <v>-3</v>
      </c>
      <c r="AC22" s="613">
        <f>Drivers!AC198</f>
        <v>-2</v>
      </c>
      <c r="AD22" s="613">
        <f>Drivers!AD198</f>
        <v>-1</v>
      </c>
      <c r="AE22" s="613">
        <f>Drivers!AE198</f>
        <v>6</v>
      </c>
      <c r="AF22" s="613">
        <f>Drivers!AF198</f>
        <v>3</v>
      </c>
      <c r="AG22" s="613">
        <f>Drivers!AG198</f>
        <v>5</v>
      </c>
      <c r="AH22" s="613">
        <f>Drivers!AH198</f>
        <v>1</v>
      </c>
      <c r="AI22" s="613">
        <f>Drivers!AI198</f>
        <v>19</v>
      </c>
      <c r="AJ22" s="613">
        <f>Drivers!AJ198</f>
        <v>18</v>
      </c>
      <c r="AK22" s="613">
        <f>Drivers!AK198</f>
        <v>23</v>
      </c>
      <c r="AL22" s="613">
        <f>Drivers!AL198</f>
        <v>23</v>
      </c>
      <c r="AM22" s="613">
        <f>Drivers!AM198</f>
        <v>21</v>
      </c>
      <c r="AN22" s="613">
        <f>Drivers!AN198</f>
        <v>16</v>
      </c>
      <c r="AO22" s="613">
        <f>Drivers!AO198</f>
        <v>13</v>
      </c>
      <c r="AP22" s="613">
        <f>Drivers!AP198</f>
        <v>13</v>
      </c>
      <c r="AQ22" s="613">
        <f>Drivers!AQ198</f>
        <v>-3</v>
      </c>
      <c r="AR22" s="613">
        <f>Drivers!AR198</f>
        <v>-10</v>
      </c>
      <c r="AS22" s="613">
        <f>Drivers!AS198</f>
        <v>-6</v>
      </c>
      <c r="AT22" s="613">
        <f>Drivers!AT198</f>
        <v>-10</v>
      </c>
      <c r="AU22" s="613">
        <f>Drivers!AU198</f>
        <v>-14</v>
      </c>
      <c r="AV22" s="613">
        <f>Drivers!AV198</f>
        <v>-14</v>
      </c>
      <c r="AW22" s="613">
        <f>Drivers!AW198</f>
        <v>-19.457702213563255</v>
      </c>
      <c r="AX22" s="613">
        <f>Drivers!AX198</f>
        <v>-17.756469142365283</v>
      </c>
      <c r="AY22" s="613">
        <f>Drivers!AY198</f>
        <v>-16.863523277751078</v>
      </c>
      <c r="AZ22" s="613">
        <f>Drivers!AZ198</f>
        <v>-15.45395926144759</v>
      </c>
      <c r="BA22" s="613">
        <f>Drivers!BA198</f>
        <v>-19.46261883899999</v>
      </c>
      <c r="BB22" s="613">
        <f>Drivers!BB198</f>
        <v>-17.526112581735635</v>
      </c>
      <c r="BC22" s="613">
        <f>Drivers!BC198</f>
        <v>-17.257624756969001</v>
      </c>
      <c r="BD22" s="613">
        <f>Drivers!BD198</f>
        <v>-17.253445557962326</v>
      </c>
      <c r="BE22" s="613">
        <f>Drivers!BE198</f>
        <v>-17.266013746096519</v>
      </c>
      <c r="BF22" s="613">
        <f>Drivers!BF198</f>
        <v>-16.346850123198642</v>
      </c>
      <c r="BG22" s="613">
        <f>Drivers!BG198</f>
        <v>-16.075336835362151</v>
      </c>
      <c r="BH22" s="613">
        <f>Drivers!BH198</f>
        <v>-16.030425001799404</v>
      </c>
      <c r="BI22" s="613">
        <f>Drivers!BI198</f>
        <v>-16.000324567655404</v>
      </c>
      <c r="BJ22" s="613">
        <f>Drivers!BJ198</f>
        <v>-15.003872277272929</v>
      </c>
      <c r="BK22" s="613">
        <f>Drivers!BK198</f>
        <v>-14.705523419624477</v>
      </c>
      <c r="BL22" s="613">
        <f>Drivers!BL198</f>
        <v>-14.647681985000178</v>
      </c>
      <c r="BM22" s="613">
        <f>Drivers!BM198</f>
        <v>-14.647254403099232</v>
      </c>
      <c r="BN22" s="613">
        <f>Drivers!BN198</f>
        <v>-13.629158157009208</v>
      </c>
      <c r="BO22" s="613"/>
      <c r="BP22" s="614">
        <v>6</v>
      </c>
      <c r="BQ22" s="614">
        <f>SUM(C22:F22)</f>
        <v>10</v>
      </c>
      <c r="BR22" s="614">
        <f>SUM(G22:J22)</f>
        <v>-17</v>
      </c>
      <c r="BS22" s="614">
        <f>SUM(K22:N22)</f>
        <v>-21</v>
      </c>
      <c r="BT22" s="614">
        <f>SUM(O22:R22)</f>
        <v>-26</v>
      </c>
      <c r="BU22" s="614">
        <f>SUM(S22:V22)</f>
        <v>-23</v>
      </c>
      <c r="BV22" s="614">
        <f>SUM(W22:Z22)</f>
        <v>-21</v>
      </c>
      <c r="BW22" s="614">
        <f>SUM(AA22:AD22)</f>
        <v>-14</v>
      </c>
      <c r="BX22" s="614">
        <f>SUM(AE22:AH22)</f>
        <v>15</v>
      </c>
      <c r="BY22" s="615">
        <f>SUM(AI22:AL22)</f>
        <v>83</v>
      </c>
      <c r="BZ22" s="615">
        <f>SUM(AM22:AP22)</f>
        <v>63</v>
      </c>
      <c r="CA22" s="615">
        <f>SUM(AQ22:AT22)</f>
        <v>-29</v>
      </c>
      <c r="CB22" s="615">
        <f>SUM(AU22:AX22)</f>
        <v>-65.214171355928528</v>
      </c>
      <c r="CC22" s="615">
        <f>SUM(AY22:BB22)</f>
        <v>-69.306213959934283</v>
      </c>
      <c r="CD22" s="615">
        <f>SUM(BC22:BF22)</f>
        <v>-68.123934184226499</v>
      </c>
      <c r="CE22" s="615">
        <f>SUM(BG22:BJ22)</f>
        <v>-63.109958682089882</v>
      </c>
      <c r="CF22" s="615">
        <f>SUM(BK22:BN22)</f>
        <v>-57.629617964733093</v>
      </c>
    </row>
    <row r="23" spans="1:85" s="618" customFormat="1">
      <c r="A23" s="612" t="s">
        <v>120</v>
      </c>
      <c r="B23" s="174">
        <v>0</v>
      </c>
      <c r="C23" s="174">
        <v>0</v>
      </c>
      <c r="D23" s="174">
        <v>0</v>
      </c>
      <c r="E23" s="174">
        <v>0</v>
      </c>
      <c r="F23" s="174">
        <v>0</v>
      </c>
      <c r="G23" s="174">
        <v>0</v>
      </c>
      <c r="H23" s="174">
        <v>4</v>
      </c>
      <c r="I23" s="174">
        <v>5</v>
      </c>
      <c r="J23" s="174">
        <v>5</v>
      </c>
      <c r="K23" s="174">
        <v>5</v>
      </c>
      <c r="L23" s="174">
        <v>5</v>
      </c>
      <c r="M23" s="174">
        <v>5</v>
      </c>
      <c r="N23" s="174">
        <v>5</v>
      </c>
      <c r="O23" s="174">
        <v>5</v>
      </c>
      <c r="P23" s="174">
        <v>5</v>
      </c>
      <c r="Q23" s="174">
        <v>6</v>
      </c>
      <c r="R23" s="174">
        <v>5</v>
      </c>
      <c r="S23" s="174">
        <v>5</v>
      </c>
      <c r="T23" s="174">
        <v>6</v>
      </c>
      <c r="U23" s="174">
        <v>5</v>
      </c>
      <c r="V23" s="174">
        <v>5.578662500000001</v>
      </c>
      <c r="W23" s="174">
        <v>5.6419803193750004</v>
      </c>
      <c r="X23" s="174">
        <v>11</v>
      </c>
      <c r="Y23" s="174">
        <v>5</v>
      </c>
      <c r="Z23" s="174">
        <v>5</v>
      </c>
      <c r="AA23" s="174">
        <v>2</v>
      </c>
      <c r="AB23" s="101">
        <v>0</v>
      </c>
      <c r="AC23" s="101">
        <v>0</v>
      </c>
      <c r="AD23" s="101">
        <v>0</v>
      </c>
      <c r="AE23" s="101">
        <v>0</v>
      </c>
      <c r="AF23" s="101">
        <v>0</v>
      </c>
      <c r="AG23" s="101">
        <v>0</v>
      </c>
      <c r="AH23" s="101">
        <v>0</v>
      </c>
      <c r="AI23" s="101">
        <v>0</v>
      </c>
      <c r="AJ23" s="101">
        <v>0</v>
      </c>
      <c r="AK23" s="101">
        <v>0</v>
      </c>
      <c r="AL23" s="101">
        <v>0</v>
      </c>
      <c r="AM23" s="101">
        <v>0</v>
      </c>
      <c r="AN23" s="101">
        <v>0</v>
      </c>
      <c r="AO23" s="101">
        <v>0</v>
      </c>
      <c r="AP23" s="101">
        <v>0</v>
      </c>
      <c r="AQ23" s="101">
        <v>0</v>
      </c>
      <c r="AR23" s="101">
        <v>0</v>
      </c>
      <c r="AS23" s="101">
        <v>0</v>
      </c>
      <c r="AT23" s="101">
        <v>0</v>
      </c>
      <c r="AU23" s="101">
        <v>0</v>
      </c>
      <c r="AV23" s="101">
        <v>0</v>
      </c>
      <c r="AW23" s="204">
        <f>-Debt!AW20</f>
        <v>0</v>
      </c>
      <c r="AX23" s="204">
        <f>-Debt!AX20</f>
        <v>0</v>
      </c>
      <c r="AY23" s="204">
        <f>-Debt!AY20</f>
        <v>0</v>
      </c>
      <c r="AZ23" s="204">
        <f>-Debt!AZ20</f>
        <v>0</v>
      </c>
      <c r="BA23" s="204">
        <f>-Debt!BA20</f>
        <v>0</v>
      </c>
      <c r="BB23" s="204">
        <f>-Debt!BB20</f>
        <v>0</v>
      </c>
      <c r="BC23" s="204">
        <f>-Debt!BC20</f>
        <v>0</v>
      </c>
      <c r="BD23" s="204">
        <f>-Debt!BD20</f>
        <v>0</v>
      </c>
      <c r="BE23" s="204">
        <f>-Debt!BE20</f>
        <v>0</v>
      </c>
      <c r="BF23" s="204">
        <f>-Debt!BF20</f>
        <v>0</v>
      </c>
      <c r="BG23" s="204">
        <f>-Debt!BG20</f>
        <v>0</v>
      </c>
      <c r="BH23" s="204">
        <f>-Debt!BH20</f>
        <v>0</v>
      </c>
      <c r="BI23" s="204">
        <f>-Debt!BI20</f>
        <v>0</v>
      </c>
      <c r="BJ23" s="204">
        <f>-Debt!BJ20</f>
        <v>0</v>
      </c>
      <c r="BK23" s="204">
        <f>-Debt!BK20</f>
        <v>0</v>
      </c>
      <c r="BL23" s="204">
        <f>-Debt!BL20</f>
        <v>0</v>
      </c>
      <c r="BM23" s="204">
        <f>-Debt!BM20</f>
        <v>0</v>
      </c>
      <c r="BN23" s="204">
        <f>-Debt!BN20</f>
        <v>0</v>
      </c>
      <c r="BO23" s="176"/>
      <c r="BP23" s="616">
        <v>0</v>
      </c>
      <c r="BQ23" s="176">
        <f>SUM(C23:F23)</f>
        <v>0</v>
      </c>
      <c r="BR23" s="176">
        <f>SUM(G23:J23)</f>
        <v>14</v>
      </c>
      <c r="BS23" s="176">
        <f>SUM(K23:N23)</f>
        <v>20</v>
      </c>
      <c r="BT23" s="176">
        <f>SUM(O23:R23)</f>
        <v>21</v>
      </c>
      <c r="BU23" s="176">
        <f>SUM(S23:V23)</f>
        <v>21.5786625</v>
      </c>
      <c r="BV23" s="176">
        <f>SUM(W23:Z23)</f>
        <v>26.641980319375001</v>
      </c>
      <c r="BW23" s="176">
        <f>SUM(AA23:AD23)</f>
        <v>2</v>
      </c>
      <c r="BX23" s="176">
        <f>SUM(AE23:AH23)</f>
        <v>0</v>
      </c>
      <c r="BY23" s="176">
        <f>SUM(AI23:AL23)</f>
        <v>0</v>
      </c>
      <c r="BZ23" s="176">
        <f>SUM(AM23:AP23)</f>
        <v>0</v>
      </c>
      <c r="CA23" s="176">
        <f>SUM(AQ23:AT23)</f>
        <v>0</v>
      </c>
      <c r="CB23" s="176">
        <f>SUM(AU23:AX23)</f>
        <v>0</v>
      </c>
      <c r="CC23" s="176">
        <f>SUM(AY23:BB23)</f>
        <v>0</v>
      </c>
      <c r="CD23" s="176">
        <f>SUM(BC23:BF23)</f>
        <v>0</v>
      </c>
      <c r="CE23" s="176">
        <f>SUM(BG23:BJ23)</f>
        <v>0</v>
      </c>
      <c r="CF23" s="176">
        <f>SUM(BK23:BN23)</f>
        <v>0</v>
      </c>
      <c r="CG23" s="617"/>
    </row>
    <row r="24" spans="1:85" s="620" customFormat="1">
      <c r="A24" s="619" t="s">
        <v>167</v>
      </c>
      <c r="B24" s="620">
        <f>B21+B22+B23</f>
        <v>32</v>
      </c>
      <c r="C24" s="620">
        <f t="shared" ref="C24:AU24" si="12">C21+C22+C23</f>
        <v>-109</v>
      </c>
      <c r="D24" s="620">
        <f t="shared" si="12"/>
        <v>45</v>
      </c>
      <c r="E24" s="620">
        <f t="shared" si="12"/>
        <v>272</v>
      </c>
      <c r="F24" s="620">
        <f t="shared" si="12"/>
        <v>115</v>
      </c>
      <c r="G24" s="620">
        <f t="shared" si="12"/>
        <v>-171</v>
      </c>
      <c r="H24" s="620">
        <f t="shared" si="12"/>
        <v>23</v>
      </c>
      <c r="I24" s="620">
        <f t="shared" si="12"/>
        <v>464</v>
      </c>
      <c r="J24" s="620">
        <f t="shared" si="12"/>
        <v>78</v>
      </c>
      <c r="K24" s="620">
        <f t="shared" si="12"/>
        <v>-181</v>
      </c>
      <c r="L24" s="620">
        <f t="shared" si="12"/>
        <v>69</v>
      </c>
      <c r="M24" s="620">
        <f t="shared" si="12"/>
        <v>244</v>
      </c>
      <c r="N24" s="620">
        <f t="shared" si="12"/>
        <v>234</v>
      </c>
      <c r="O24" s="620">
        <f t="shared" si="12"/>
        <v>-161</v>
      </c>
      <c r="P24" s="620">
        <f t="shared" si="12"/>
        <v>140</v>
      </c>
      <c r="Q24" s="620">
        <f t="shared" si="12"/>
        <v>531</v>
      </c>
      <c r="R24" s="620">
        <f t="shared" si="12"/>
        <v>202</v>
      </c>
      <c r="S24" s="620">
        <f t="shared" si="12"/>
        <v>82</v>
      </c>
      <c r="T24" s="620">
        <f t="shared" si="12"/>
        <v>309</v>
      </c>
      <c r="U24" s="620">
        <f t="shared" si="12"/>
        <v>518</v>
      </c>
      <c r="V24" s="620">
        <f t="shared" si="12"/>
        <v>165.57866250000001</v>
      </c>
      <c r="W24" s="620">
        <f t="shared" si="12"/>
        <v>62.641980319375001</v>
      </c>
      <c r="X24" s="620">
        <f t="shared" si="12"/>
        <v>272</v>
      </c>
      <c r="Y24" s="620">
        <f t="shared" si="12"/>
        <v>764</v>
      </c>
      <c r="Z24" s="620">
        <f t="shared" si="12"/>
        <v>207</v>
      </c>
      <c r="AA24" s="620">
        <f t="shared" si="12"/>
        <v>28</v>
      </c>
      <c r="AB24" s="620">
        <f t="shared" si="12"/>
        <v>209</v>
      </c>
      <c r="AC24" s="620">
        <f t="shared" si="12"/>
        <v>983</v>
      </c>
      <c r="AD24" s="620">
        <f t="shared" si="12"/>
        <v>334</v>
      </c>
      <c r="AE24" s="620">
        <f t="shared" si="12"/>
        <v>124</v>
      </c>
      <c r="AF24" s="620">
        <f t="shared" si="12"/>
        <v>246</v>
      </c>
      <c r="AG24" s="620">
        <f t="shared" si="12"/>
        <v>859</v>
      </c>
      <c r="AH24" s="620">
        <f t="shared" si="12"/>
        <v>502.16025226153852</v>
      </c>
      <c r="AI24" s="620">
        <f t="shared" si="12"/>
        <v>57</v>
      </c>
      <c r="AJ24" s="620">
        <f t="shared" si="12"/>
        <v>331</v>
      </c>
      <c r="AK24" s="620">
        <f t="shared" si="12"/>
        <v>716</v>
      </c>
      <c r="AL24" s="620">
        <f t="shared" si="12"/>
        <v>482</v>
      </c>
      <c r="AM24" s="620">
        <f t="shared" si="12"/>
        <v>129</v>
      </c>
      <c r="AN24" s="620">
        <f t="shared" si="12"/>
        <v>387</v>
      </c>
      <c r="AO24" s="620">
        <f t="shared" si="12"/>
        <v>948</v>
      </c>
      <c r="AP24" s="620">
        <f t="shared" si="12"/>
        <v>426</v>
      </c>
      <c r="AQ24" s="620">
        <f t="shared" si="12"/>
        <v>506</v>
      </c>
      <c r="AR24" s="620">
        <f t="shared" si="12"/>
        <v>17</v>
      </c>
      <c r="AS24" s="620">
        <f t="shared" si="12"/>
        <v>1088</v>
      </c>
      <c r="AT24" s="620">
        <f t="shared" si="12"/>
        <v>436</v>
      </c>
      <c r="AU24" s="620">
        <f t="shared" si="12"/>
        <v>280</v>
      </c>
      <c r="AV24" s="620">
        <f>AV21+AV22+AV23</f>
        <v>552</v>
      </c>
      <c r="AW24" s="620">
        <f>AW21+AW22+AW23</f>
        <v>1114.9373915364367</v>
      </c>
      <c r="AX24" s="620">
        <f t="shared" ref="AX24" si="13">AX21+AX22+AX23</f>
        <v>495.19035938112472</v>
      </c>
      <c r="AY24" s="620">
        <f t="shared" ref="AY24" si="14">AY21+AY22+AY23</f>
        <v>360.74343070984656</v>
      </c>
      <c r="AZ24" s="620">
        <f t="shared" ref="AZ24" si="15">AZ21+AZ22+AZ23</f>
        <v>568.24067552984002</v>
      </c>
      <c r="BA24" s="620">
        <f t="shared" ref="BA24" si="16">BA21+BA22+BA23</f>
        <v>1169.9431307985001</v>
      </c>
      <c r="BB24" s="620">
        <f t="shared" ref="BB24" si="17">BB21+BB22+BB23</f>
        <v>453.48097654329791</v>
      </c>
      <c r="BC24" s="620">
        <f t="shared" ref="BC24" si="18">BC21+BC22+BC23</f>
        <v>392.75250949449253</v>
      </c>
      <c r="BD24" s="620">
        <f t="shared" ref="BD24" si="19">BD21+BD22+BD23</f>
        <v>610.74322110580351</v>
      </c>
      <c r="BE24" s="620">
        <f t="shared" ref="BE24" si="20">BE21+BE22+BE23</f>
        <v>1255.7602905909785</v>
      </c>
      <c r="BF24" s="620">
        <f t="shared" ref="BF24" si="21">BF21+BF22+BF23</f>
        <v>515.37355427077864</v>
      </c>
      <c r="BG24" s="620">
        <f t="shared" ref="BG24" si="22">BG21+BG22+BG23</f>
        <v>441.76016442105379</v>
      </c>
      <c r="BH24" s="620">
        <f t="shared" ref="BH24" si="23">BH21+BH22+BH23</f>
        <v>772.38174502225047</v>
      </c>
      <c r="BI24" s="620">
        <f t="shared" ref="BI24" si="24">BI21+BI22+BI23</f>
        <v>1370.9693356657856</v>
      </c>
      <c r="BJ24" s="620">
        <f t="shared" ref="BJ24" si="25">BJ21+BJ22+BJ23</f>
        <v>577.14960303537509</v>
      </c>
      <c r="BK24" s="620">
        <f t="shared" ref="BK24" si="26">BK21+BK22+BK23</f>
        <v>496.24899636869065</v>
      </c>
      <c r="BL24" s="620">
        <f t="shared" ref="BL24" si="27">BL21+BL22+BL23</f>
        <v>721.11247267511669</v>
      </c>
      <c r="BM24" s="620">
        <f t="shared" ref="BM24" si="28">BM21+BM22+BM23</f>
        <v>1425.0214042341031</v>
      </c>
      <c r="BN24" s="620">
        <f t="shared" ref="BN24" si="29">BN21+BN22+BN23</f>
        <v>631.4162910905934</v>
      </c>
      <c r="BP24" s="620">
        <f t="shared" ref="BP24" si="30">BP21+BP22+BP23</f>
        <v>-274</v>
      </c>
      <c r="BQ24" s="620">
        <f t="shared" ref="BQ24" si="31">BQ21+BQ22+BQ23</f>
        <v>323</v>
      </c>
      <c r="BR24" s="620">
        <f t="shared" ref="BR24" si="32">BR21+BR22+BR23</f>
        <v>394</v>
      </c>
      <c r="BS24" s="620">
        <f t="shared" ref="BS24" si="33">BS21+BS22+BS23</f>
        <v>366</v>
      </c>
      <c r="BT24" s="620">
        <f t="shared" ref="BT24" si="34">BT21+BT22+BT23</f>
        <v>712</v>
      </c>
      <c r="BU24" s="620">
        <f t="shared" ref="BU24" si="35">BU21+BU22+BU23</f>
        <v>1074.5786625000001</v>
      </c>
      <c r="BV24" s="620">
        <f t="shared" ref="BV24" si="36">BV21+BV22+BV23</f>
        <v>1305.6419803193751</v>
      </c>
      <c r="BW24" s="620">
        <f t="shared" ref="BW24" si="37">BW21+BW22+BW23</f>
        <v>1554</v>
      </c>
      <c r="BX24" s="620">
        <f t="shared" ref="BX24" si="38">BX21+BX22+BX23</f>
        <v>1731.1602522615385</v>
      </c>
      <c r="BY24" s="620">
        <f t="shared" ref="BY24" si="39">BY21+BY22+BY23</f>
        <v>1586</v>
      </c>
      <c r="BZ24" s="620">
        <f t="shared" ref="BZ24" si="40">BZ21+BZ22+BZ23</f>
        <v>1890</v>
      </c>
      <c r="CA24" s="620">
        <f t="shared" ref="CA24" si="41">CA21+CA22+CA23</f>
        <v>2047</v>
      </c>
      <c r="CB24" s="620">
        <f t="shared" ref="CB24" si="42">CB21+CB22+CB23</f>
        <v>2442.1277509175607</v>
      </c>
      <c r="CC24" s="620">
        <f t="shared" ref="CC24" si="43">CC21+CC22+CC23</f>
        <v>2552.4082135814838</v>
      </c>
      <c r="CD24" s="620">
        <f t="shared" ref="CD24" si="44">CD21+CD22+CD23</f>
        <v>2774.6295754620533</v>
      </c>
      <c r="CE24" s="620">
        <f t="shared" ref="CE24" si="45">CE21+CE22+CE23</f>
        <v>3162.2608481444649</v>
      </c>
      <c r="CF24" s="620">
        <f t="shared" ref="CF24" si="46">CF21+CF22+CF23</f>
        <v>3273.7991643685027</v>
      </c>
      <c r="CG24" s="621"/>
    </row>
    <row r="25" spans="1:85" s="296" customFormat="1">
      <c r="A25" s="42" t="s">
        <v>76</v>
      </c>
      <c r="B25" s="298">
        <f t="shared" ref="B25:AA25" si="47">B82-B28</f>
        <v>-9</v>
      </c>
      <c r="C25" s="298">
        <f t="shared" si="47"/>
        <v>31</v>
      </c>
      <c r="D25" s="298">
        <f t="shared" si="47"/>
        <v>-13</v>
      </c>
      <c r="E25" s="298">
        <f t="shared" si="47"/>
        <v>-76</v>
      </c>
      <c r="F25" s="298">
        <f t="shared" si="47"/>
        <v>-32</v>
      </c>
      <c r="G25" s="298">
        <f t="shared" si="47"/>
        <v>48</v>
      </c>
      <c r="H25" s="298">
        <f t="shared" si="47"/>
        <v>-6</v>
      </c>
      <c r="I25" s="298">
        <f t="shared" si="47"/>
        <v>-130</v>
      </c>
      <c r="J25" s="298">
        <f t="shared" si="47"/>
        <v>-22</v>
      </c>
      <c r="K25" s="298">
        <f t="shared" si="47"/>
        <v>51</v>
      </c>
      <c r="L25" s="298">
        <f t="shared" si="47"/>
        <v>-20</v>
      </c>
      <c r="M25" s="298">
        <f t="shared" si="47"/>
        <v>-68</v>
      </c>
      <c r="N25" s="298">
        <f t="shared" si="47"/>
        <v>-65</v>
      </c>
      <c r="O25" s="298">
        <f t="shared" si="47"/>
        <v>40</v>
      </c>
      <c r="P25" s="298">
        <f t="shared" si="47"/>
        <v>-35</v>
      </c>
      <c r="Q25" s="298">
        <f t="shared" si="47"/>
        <v>-133</v>
      </c>
      <c r="R25" s="298">
        <f t="shared" si="47"/>
        <v>-50</v>
      </c>
      <c r="S25" s="298">
        <f t="shared" si="47"/>
        <v>-21</v>
      </c>
      <c r="T25" s="298">
        <f t="shared" si="47"/>
        <v>-77</v>
      </c>
      <c r="U25" s="298">
        <f t="shared" si="47"/>
        <v>-130</v>
      </c>
      <c r="V25" s="298">
        <f t="shared" si="47"/>
        <v>-41</v>
      </c>
      <c r="W25" s="298">
        <f t="shared" si="47"/>
        <v>-14</v>
      </c>
      <c r="X25" s="298">
        <f t="shared" si="47"/>
        <v>-60</v>
      </c>
      <c r="Y25" s="298">
        <f t="shared" si="47"/>
        <v>-168</v>
      </c>
      <c r="Z25" s="298">
        <f t="shared" si="47"/>
        <v>-46</v>
      </c>
      <c r="AA25" s="298">
        <f t="shared" si="47"/>
        <v>-6</v>
      </c>
      <c r="AB25" s="298">
        <f>AB24*AB26</f>
        <v>-43.89</v>
      </c>
      <c r="AC25" s="298">
        <f t="shared" ref="AC25:AQ25" si="48">AC24*AC26</f>
        <v>-206.42999999999998</v>
      </c>
      <c r="AD25" s="298">
        <f t="shared" si="48"/>
        <v>-70.14</v>
      </c>
      <c r="AE25" s="298">
        <f t="shared" si="48"/>
        <v>-26.04</v>
      </c>
      <c r="AF25" s="298">
        <f t="shared" si="48"/>
        <v>-51.66</v>
      </c>
      <c r="AG25" s="298">
        <f t="shared" si="48"/>
        <v>-180.39</v>
      </c>
      <c r="AH25" s="298">
        <f t="shared" si="48"/>
        <v>-105.45365297492309</v>
      </c>
      <c r="AI25" s="298">
        <f t="shared" si="48"/>
        <v>-10.26</v>
      </c>
      <c r="AJ25" s="298">
        <f t="shared" si="48"/>
        <v>-59.58</v>
      </c>
      <c r="AK25" s="298">
        <f t="shared" si="48"/>
        <v>-128.88</v>
      </c>
      <c r="AL25" s="298">
        <f t="shared" si="48"/>
        <v>-86.759999999999991</v>
      </c>
      <c r="AM25" s="298">
        <f t="shared" si="48"/>
        <v>-23.22</v>
      </c>
      <c r="AN25" s="298">
        <f t="shared" si="48"/>
        <v>-69.66</v>
      </c>
      <c r="AO25" s="298">
        <f t="shared" si="48"/>
        <v>-170.64</v>
      </c>
      <c r="AP25" s="298">
        <f t="shared" si="48"/>
        <v>-76.679999999999993</v>
      </c>
      <c r="AQ25" s="298">
        <f t="shared" si="48"/>
        <v>-91.08</v>
      </c>
      <c r="AR25" s="298">
        <f>AR24*AR26</f>
        <v>-3.06</v>
      </c>
      <c r="AS25" s="298">
        <f t="shared" ref="AS25" si="49">AS24*AS26</f>
        <v>-195.84</v>
      </c>
      <c r="AT25" s="298">
        <f t="shared" ref="AT25" si="50">AT24*AT26</f>
        <v>-78.48</v>
      </c>
      <c r="AU25" s="298">
        <f t="shared" ref="AU25" si="51">AU24*AU26</f>
        <v>-50.4</v>
      </c>
      <c r="AV25" s="298">
        <f>AV24*AV26</f>
        <v>-99.36</v>
      </c>
      <c r="AW25" s="298">
        <f t="shared" ref="AW25" si="52">AW24*AW26</f>
        <v>-200.68873047655862</v>
      </c>
      <c r="AX25" s="298">
        <f t="shared" ref="AX25" si="53">AX24*AX26</f>
        <v>-89.134264688602443</v>
      </c>
      <c r="AY25" s="298">
        <f t="shared" ref="AY25" si="54">AY24*AY26</f>
        <v>-64.933817527772376</v>
      </c>
      <c r="AZ25" s="298">
        <f t="shared" ref="AZ25" si="55">AZ24*AZ26</f>
        <v>-102.28332159537121</v>
      </c>
      <c r="BA25" s="298">
        <f t="shared" ref="BA25" si="56">BA24*BA26</f>
        <v>-210.58976354373002</v>
      </c>
      <c r="BB25" s="298">
        <f t="shared" ref="BB25" si="57">BB24*BB26</f>
        <v>-81.626575777793619</v>
      </c>
      <c r="BC25" s="298">
        <f t="shared" ref="BC25" si="58">BC24*BC26</f>
        <v>-70.695451709008651</v>
      </c>
      <c r="BD25" s="298">
        <f t="shared" ref="BD25" si="59">BD24*BD26</f>
        <v>-109.93377979904463</v>
      </c>
      <c r="BE25" s="298">
        <f t="shared" ref="BE25" si="60">BE24*BE26</f>
        <v>-226.03685230637612</v>
      </c>
      <c r="BF25" s="298">
        <f t="shared" ref="BF25" si="61">BF24*BF26</f>
        <v>-92.767239768740154</v>
      </c>
      <c r="BG25" s="298">
        <f>BG24*BG26</f>
        <v>-79.516829595789673</v>
      </c>
      <c r="BH25" s="298">
        <f t="shared" ref="BH25" si="62">BH24*BH26</f>
        <v>-139.02871410400508</v>
      </c>
      <c r="BI25" s="298">
        <f t="shared" ref="BI25" si="63">BI24*BI26</f>
        <v>-246.77448041984141</v>
      </c>
      <c r="BJ25" s="298">
        <f t="shared" ref="BJ25" si="64">BJ24*BJ26</f>
        <v>-103.88692854636751</v>
      </c>
      <c r="BK25" s="298">
        <f t="shared" ref="BK25" si="65">BK24*BK26</f>
        <v>-89.324819346364308</v>
      </c>
      <c r="BL25" s="298">
        <f t="shared" ref="BL25" si="66">BL24*BL26</f>
        <v>-129.80024508152101</v>
      </c>
      <c r="BM25" s="298">
        <f t="shared" ref="BM25" si="67">BM24*BM26</f>
        <v>-256.50385276213854</v>
      </c>
      <c r="BN25" s="298">
        <f t="shared" ref="BN25" si="68">BN24*BN26</f>
        <v>-113.6549323963068</v>
      </c>
      <c r="BO25" s="298"/>
      <c r="BP25" s="622">
        <v>-57</v>
      </c>
      <c r="BQ25" s="622">
        <f>SUM(C25:F25)</f>
        <v>-90</v>
      </c>
      <c r="BR25" s="622">
        <f>SUM(G25:J25)</f>
        <v>-110</v>
      </c>
      <c r="BS25" s="622">
        <f>SUM(K25:N25)</f>
        <v>-102</v>
      </c>
      <c r="BT25" s="622">
        <f>SUM(O25:R25)</f>
        <v>-178</v>
      </c>
      <c r="BU25" s="622">
        <f>SUM(S25:V25)</f>
        <v>-269</v>
      </c>
      <c r="BV25" s="622">
        <f>SUM(W25:Z25)</f>
        <v>-288</v>
      </c>
      <c r="BW25" s="622">
        <f>SUM(AA25:AD25)</f>
        <v>-326.45999999999998</v>
      </c>
      <c r="BX25" s="622">
        <f>SUM(AE25:AH25)</f>
        <v>-363.54365297492308</v>
      </c>
      <c r="BY25" s="622">
        <f>SUM(AI25:AL25)</f>
        <v>-285.48</v>
      </c>
      <c r="BZ25" s="622">
        <f>SUM(AM25:AP25)</f>
        <v>-340.2</v>
      </c>
      <c r="CA25" s="622">
        <f>SUM(AQ25:AT25)</f>
        <v>-368.46000000000004</v>
      </c>
      <c r="CB25" s="622">
        <f>SUM(AU25:AX25)</f>
        <v>-439.58299516516104</v>
      </c>
      <c r="CC25" s="622">
        <f>SUM(AY25:BB25)</f>
        <v>-459.43347844466723</v>
      </c>
      <c r="CD25" s="622">
        <f>SUM(BC25:BF25)</f>
        <v>-499.43332358316957</v>
      </c>
      <c r="CE25" s="622">
        <f>SUM(BG25:BJ25)</f>
        <v>-569.20695266600364</v>
      </c>
      <c r="CF25" s="622">
        <f>SUM(BK25:BN25)</f>
        <v>-589.28384958633069</v>
      </c>
      <c r="CG25" s="266"/>
    </row>
    <row r="26" spans="1:85">
      <c r="A26" s="69" t="s">
        <v>7</v>
      </c>
      <c r="B26" s="623">
        <f>Drivers!B292</f>
        <v>-0.28125</v>
      </c>
      <c r="C26" s="623">
        <f>Drivers!C292</f>
        <v>-0.28440366972477066</v>
      </c>
      <c r="D26" s="623">
        <f>Drivers!D292</f>
        <v>-0.28888888888888886</v>
      </c>
      <c r="E26" s="623">
        <f>Drivers!E292</f>
        <v>-0.27941176470588236</v>
      </c>
      <c r="F26" s="623">
        <f>Drivers!F292</f>
        <v>-0.27826086956521739</v>
      </c>
      <c r="G26" s="623">
        <f>Drivers!G292</f>
        <v>-0.2807017543859649</v>
      </c>
      <c r="H26" s="623">
        <f>Drivers!H292</f>
        <v>-0.2608695652173913</v>
      </c>
      <c r="I26" s="623">
        <f>Drivers!I292</f>
        <v>-0.28017241379310343</v>
      </c>
      <c r="J26" s="623">
        <f>Drivers!J292</f>
        <v>-0.28205128205128205</v>
      </c>
      <c r="K26" s="623">
        <f>Drivers!K292</f>
        <v>-0.28176795580110497</v>
      </c>
      <c r="L26" s="623">
        <f>Drivers!L292</f>
        <v>-0.28985507246376813</v>
      </c>
      <c r="M26" s="623">
        <f>Drivers!M292</f>
        <v>-0.27868852459016391</v>
      </c>
      <c r="N26" s="623">
        <f>Drivers!N292</f>
        <v>-0.27777777777777779</v>
      </c>
      <c r="O26" s="623">
        <f>Drivers!O292</f>
        <v>-0.2484472049689441</v>
      </c>
      <c r="P26" s="623">
        <f>Drivers!P292</f>
        <v>-0.25</v>
      </c>
      <c r="Q26" s="623">
        <f>Drivers!Q292</f>
        <v>-0.2504708097928437</v>
      </c>
      <c r="R26" s="623">
        <f>Drivers!R292</f>
        <v>-0.24752475247524752</v>
      </c>
      <c r="S26" s="623">
        <f>Drivers!S292</f>
        <v>-0.25609756097560976</v>
      </c>
      <c r="T26" s="623">
        <f>Drivers!T292</f>
        <v>-0.24919093851132687</v>
      </c>
      <c r="U26" s="623">
        <f>Drivers!U292</f>
        <v>-0.25096525096525096</v>
      </c>
      <c r="V26" s="623">
        <f>Drivers!V292</f>
        <v>-0.24761644635219829</v>
      </c>
      <c r="W26" s="623">
        <f>Drivers!W292</f>
        <v>-0.22349229587925137</v>
      </c>
      <c r="X26" s="623">
        <f>Drivers!X292</f>
        <v>-0.22058823529411764</v>
      </c>
      <c r="Y26" s="623">
        <f>Drivers!Y292</f>
        <v>-0.21989528795811519</v>
      </c>
      <c r="Z26" s="623">
        <f>Drivers!Z292</f>
        <v>-0.22222222222222221</v>
      </c>
      <c r="AA26" s="623">
        <f>Drivers!AA292</f>
        <v>-0.21428571428571427</v>
      </c>
      <c r="AB26" s="623">
        <f>Drivers!AB292</f>
        <v>-0.21</v>
      </c>
      <c r="AC26" s="623">
        <f>Drivers!AC292</f>
        <v>-0.21</v>
      </c>
      <c r="AD26" s="623">
        <f>Drivers!AD292</f>
        <v>-0.21</v>
      </c>
      <c r="AE26" s="623">
        <f>Drivers!AE292</f>
        <v>-0.21</v>
      </c>
      <c r="AF26" s="623">
        <f>Drivers!AF292</f>
        <v>-0.21</v>
      </c>
      <c r="AG26" s="623">
        <f>Drivers!AG292</f>
        <v>-0.21</v>
      </c>
      <c r="AH26" s="623">
        <f>Drivers!AH292</f>
        <v>-0.21</v>
      </c>
      <c r="AI26" s="623">
        <f>Drivers!AI292</f>
        <v>-0.18</v>
      </c>
      <c r="AJ26" s="623">
        <f>Drivers!AJ292</f>
        <v>-0.18</v>
      </c>
      <c r="AK26" s="623">
        <f>Drivers!AK292</f>
        <v>-0.18</v>
      </c>
      <c r="AL26" s="623">
        <f>Drivers!AL292</f>
        <v>-0.18</v>
      </c>
      <c r="AM26" s="623">
        <f>Drivers!AM292</f>
        <v>-0.18</v>
      </c>
      <c r="AN26" s="623">
        <f>Drivers!AN292</f>
        <v>-0.18</v>
      </c>
      <c r="AO26" s="623">
        <f>Drivers!AO292</f>
        <v>-0.18</v>
      </c>
      <c r="AP26" s="623">
        <f>Drivers!AP292</f>
        <v>-0.18</v>
      </c>
      <c r="AQ26" s="623">
        <f>Drivers!AQ292</f>
        <v>-0.18</v>
      </c>
      <c r="AR26" s="623">
        <f>Drivers!AR292</f>
        <v>-0.18</v>
      </c>
      <c r="AS26" s="623">
        <f>Drivers!AS292</f>
        <v>-0.18</v>
      </c>
      <c r="AT26" s="623">
        <f>Drivers!AT292</f>
        <v>-0.18</v>
      </c>
      <c r="AU26" s="623">
        <f>Drivers!AU292</f>
        <v>-0.18</v>
      </c>
      <c r="AV26" s="623">
        <f>Drivers!AV292</f>
        <v>-0.18</v>
      </c>
      <c r="AW26" s="623">
        <f>Drivers!AW292</f>
        <v>-0.18</v>
      </c>
      <c r="AX26" s="623">
        <f>Drivers!AX292</f>
        <v>-0.18</v>
      </c>
      <c r="AY26" s="623">
        <f>Drivers!AY292</f>
        <v>-0.18</v>
      </c>
      <c r="AZ26" s="623">
        <f>Drivers!AZ292</f>
        <v>-0.18</v>
      </c>
      <c r="BA26" s="623">
        <f>Drivers!BA292</f>
        <v>-0.18</v>
      </c>
      <c r="BB26" s="623">
        <f>Drivers!BB292</f>
        <v>-0.18</v>
      </c>
      <c r="BC26" s="623">
        <f>Drivers!BC292</f>
        <v>-0.18</v>
      </c>
      <c r="BD26" s="623">
        <f>Drivers!BD292</f>
        <v>-0.18</v>
      </c>
      <c r="BE26" s="623">
        <f>Drivers!BE292</f>
        <v>-0.18</v>
      </c>
      <c r="BF26" s="623">
        <f>Drivers!BF292</f>
        <v>-0.18</v>
      </c>
      <c r="BG26" s="623">
        <f>Drivers!BG292</f>
        <v>-0.18</v>
      </c>
      <c r="BH26" s="623">
        <f>Drivers!BH292</f>
        <v>-0.18</v>
      </c>
      <c r="BI26" s="623">
        <f>Drivers!BI292</f>
        <v>-0.18</v>
      </c>
      <c r="BJ26" s="623">
        <f>Drivers!BJ292</f>
        <v>-0.18</v>
      </c>
      <c r="BK26" s="623">
        <f>Drivers!BK292</f>
        <v>-0.18</v>
      </c>
      <c r="BL26" s="623">
        <f>Drivers!BL292</f>
        <v>-0.18</v>
      </c>
      <c r="BM26" s="623">
        <f>Drivers!BM292</f>
        <v>-0.18</v>
      </c>
      <c r="BN26" s="623">
        <f>Drivers!BN292</f>
        <v>-0.18</v>
      </c>
      <c r="BO26" s="623"/>
      <c r="BP26" s="35">
        <f t="shared" ref="BP26:BU26" si="69">BP25/(BP21+BP22+BP23)</f>
        <v>0.20802919708029197</v>
      </c>
      <c r="BQ26" s="35">
        <f t="shared" si="69"/>
        <v>-0.27863777089783281</v>
      </c>
      <c r="BR26" s="35">
        <f t="shared" si="69"/>
        <v>-0.27918781725888325</v>
      </c>
      <c r="BS26" s="35">
        <f t="shared" si="69"/>
        <v>-0.27868852459016391</v>
      </c>
      <c r="BT26" s="35">
        <f t="shared" si="69"/>
        <v>-0.25</v>
      </c>
      <c r="BU26" s="35">
        <f t="shared" si="69"/>
        <v>-0.25033067320932401</v>
      </c>
      <c r="BV26" s="35">
        <f t="shared" ref="BV26:CF26" si="70">BV25/(BV21+BV22+BV23)</f>
        <v>-0.22058114271842874</v>
      </c>
      <c r="BW26" s="35">
        <f t="shared" si="70"/>
        <v>-0.21007722007722007</v>
      </c>
      <c r="BX26" s="35">
        <f t="shared" si="70"/>
        <v>-0.21</v>
      </c>
      <c r="BY26" s="35">
        <f t="shared" si="70"/>
        <v>-0.18000000000000002</v>
      </c>
      <c r="BZ26" s="35">
        <f t="shared" si="70"/>
        <v>-0.18</v>
      </c>
      <c r="CA26" s="35">
        <f t="shared" si="70"/>
        <v>-0.18000000000000002</v>
      </c>
      <c r="CB26" s="35">
        <f t="shared" si="70"/>
        <v>-0.18000000000000005</v>
      </c>
      <c r="CC26" s="35">
        <f t="shared" si="70"/>
        <v>-0.18000000000000005</v>
      </c>
      <c r="CD26" s="35">
        <f t="shared" si="70"/>
        <v>-0.18</v>
      </c>
      <c r="CE26" s="35">
        <f t="shared" si="70"/>
        <v>-0.18</v>
      </c>
      <c r="CF26" s="35">
        <f t="shared" si="70"/>
        <v>-0.18000000000000005</v>
      </c>
    </row>
    <row r="27" spans="1:85">
      <c r="B27" s="624"/>
      <c r="C27" s="624"/>
      <c r="D27" s="624"/>
      <c r="E27" s="624"/>
      <c r="F27" s="624"/>
      <c r="G27" s="624"/>
      <c r="H27" s="624"/>
      <c r="I27" s="624"/>
      <c r="J27" s="624"/>
      <c r="K27" s="624"/>
      <c r="L27" s="624"/>
      <c r="M27" s="624"/>
      <c r="N27" s="624"/>
      <c r="O27" s="624"/>
      <c r="P27" s="624"/>
      <c r="Q27" s="624"/>
      <c r="R27" s="624"/>
      <c r="S27" s="624"/>
      <c r="T27" s="624"/>
      <c r="U27" s="624"/>
      <c r="V27" s="624"/>
      <c r="W27" s="624"/>
      <c r="X27" s="624"/>
      <c r="Y27" s="624"/>
      <c r="Z27" s="624"/>
      <c r="AA27" s="624"/>
      <c r="AB27" s="624"/>
      <c r="AC27" s="624"/>
      <c r="AD27" s="624"/>
      <c r="AE27" s="624"/>
      <c r="AF27" s="624"/>
      <c r="AG27" s="624"/>
      <c r="AH27" s="624"/>
      <c r="AI27" s="624"/>
      <c r="AJ27" s="624"/>
      <c r="AK27" s="624"/>
      <c r="AL27" s="624"/>
      <c r="AM27" s="624"/>
      <c r="AN27" s="624"/>
      <c r="AO27" s="624"/>
      <c r="AP27" s="624"/>
      <c r="AQ27" s="624"/>
      <c r="AR27" s="624"/>
      <c r="AS27" s="624"/>
      <c r="AT27" s="624"/>
      <c r="AU27" s="624"/>
      <c r="AV27" s="624"/>
      <c r="BY27" s="625"/>
      <c r="BZ27" s="625"/>
      <c r="CA27" s="625"/>
      <c r="CB27" s="625"/>
      <c r="CC27" s="625"/>
      <c r="CD27" s="625"/>
      <c r="CE27" s="625"/>
      <c r="CF27" s="625"/>
    </row>
    <row r="28" spans="1:85" s="627" customFormat="1">
      <c r="A28" s="605" t="s">
        <v>71</v>
      </c>
      <c r="B28" s="626">
        <f>Drivers!B290</f>
        <v>-41</v>
      </c>
      <c r="C28" s="626">
        <f>Drivers!C290</f>
        <v>-28</v>
      </c>
      <c r="D28" s="626">
        <f>Drivers!D290</f>
        <v>30</v>
      </c>
      <c r="E28" s="626">
        <f>Drivers!E290</f>
        <v>57</v>
      </c>
      <c r="F28" s="626">
        <f>Drivers!F290</f>
        <v>34</v>
      </c>
      <c r="G28" s="626">
        <f>Drivers!G290</f>
        <v>-57</v>
      </c>
      <c r="H28" s="626">
        <f>Drivers!H290</f>
        <v>46</v>
      </c>
      <c r="I28" s="626">
        <f>Drivers!I290</f>
        <v>118</v>
      </c>
      <c r="J28" s="626">
        <f>Drivers!J290</f>
        <v>61</v>
      </c>
      <c r="K28" s="626">
        <f>Drivers!K290</f>
        <v>-60</v>
      </c>
      <c r="L28" s="626">
        <f>Drivers!L290</f>
        <v>7</v>
      </c>
      <c r="M28" s="626">
        <f>Drivers!M290</f>
        <v>56</v>
      </c>
      <c r="N28" s="626">
        <f>Drivers!N290</f>
        <v>58</v>
      </c>
      <c r="O28" s="626">
        <f>Drivers!O290</f>
        <v>-46</v>
      </c>
      <c r="P28" s="626">
        <f>Drivers!P290</f>
        <v>22</v>
      </c>
      <c r="Q28" s="626">
        <f>Drivers!Q290</f>
        <v>123</v>
      </c>
      <c r="R28" s="626">
        <f>Drivers!R290</f>
        <v>80</v>
      </c>
      <c r="S28" s="626">
        <f>Drivers!S290</f>
        <v>2</v>
      </c>
      <c r="T28" s="626">
        <f>Drivers!T290</f>
        <v>62</v>
      </c>
      <c r="U28" s="626">
        <f>Drivers!U290</f>
        <v>116</v>
      </c>
      <c r="V28" s="626">
        <f>Drivers!V290</f>
        <v>39</v>
      </c>
      <c r="W28" s="626">
        <f>Drivers!W290</f>
        <v>-53</v>
      </c>
      <c r="X28" s="626">
        <f>Drivers!X290</f>
        <v>48</v>
      </c>
      <c r="Y28" s="626">
        <f>Drivers!Y290</f>
        <v>153</v>
      </c>
      <c r="Z28" s="626">
        <f>Drivers!Z290</f>
        <v>419</v>
      </c>
      <c r="AA28" s="626">
        <f>Drivers!AA290</f>
        <v>-106</v>
      </c>
      <c r="AB28" s="626">
        <f>Drivers!AB290</f>
        <v>57.89</v>
      </c>
      <c r="AC28" s="626">
        <f>Drivers!AC290</f>
        <v>211.42999999999998</v>
      </c>
      <c r="AD28" s="626">
        <f>Drivers!AD290</f>
        <v>-79.86</v>
      </c>
      <c r="AE28" s="626">
        <f>Drivers!AE290</f>
        <v>-78.960000000000008</v>
      </c>
      <c r="AF28" s="626">
        <f>Drivers!AF290</f>
        <v>67.66</v>
      </c>
      <c r="AG28" s="626">
        <f>Drivers!AG290</f>
        <v>10.389999999999986</v>
      </c>
      <c r="AH28" s="626">
        <f>Drivers!AH290</f>
        <v>-41.546347025076912</v>
      </c>
      <c r="AI28" s="626">
        <f>Drivers!AI290</f>
        <v>-15.74</v>
      </c>
      <c r="AJ28" s="626">
        <f>Drivers!AJ290</f>
        <v>38.58</v>
      </c>
      <c r="AK28" s="626">
        <f>Drivers!AK290</f>
        <v>125.88</v>
      </c>
      <c r="AL28" s="626">
        <f>Drivers!AL290</f>
        <v>76.759999999999991</v>
      </c>
      <c r="AM28" s="626">
        <f>Drivers!AM290</f>
        <v>1008.22</v>
      </c>
      <c r="AN28" s="626">
        <f>Drivers!AN290</f>
        <v>639.66</v>
      </c>
      <c r="AO28" s="626">
        <f>Drivers!AO290</f>
        <v>142.63999999999999</v>
      </c>
      <c r="AP28" s="626">
        <f>Drivers!AP290</f>
        <v>80.679999999999993</v>
      </c>
      <c r="AQ28" s="626">
        <f>Drivers!AQ290</f>
        <v>-11.920000000000002</v>
      </c>
      <c r="AR28" s="626">
        <f>Drivers!AR290</f>
        <v>49.06</v>
      </c>
      <c r="AS28" s="626">
        <f>Drivers!AS290</f>
        <v>161.84</v>
      </c>
      <c r="AT28" s="626">
        <f>Drivers!AT290</f>
        <v>-10.519999999999996</v>
      </c>
      <c r="AU28" s="626">
        <f>Drivers!AU290</f>
        <v>-53.6</v>
      </c>
      <c r="AV28" s="626">
        <f>Drivers!AV290</f>
        <v>67.36</v>
      </c>
      <c r="AW28" s="626">
        <f>Drivers!AW290</f>
        <v>199.95039542732499</v>
      </c>
      <c r="AX28" s="626">
        <f>Drivers!AX290</f>
        <v>-76.376262184041977</v>
      </c>
      <c r="AY28" s="626">
        <f>Drivers!AY290</f>
        <v>-65.779650748543943</v>
      </c>
      <c r="AZ28" s="626">
        <f>Drivers!AZ290</f>
        <v>8.1196730618691788</v>
      </c>
      <c r="BA28" s="626">
        <f>Drivers!BA290</f>
        <v>203.82334886400636</v>
      </c>
      <c r="BB28" s="626">
        <f>Drivers!BB290</f>
        <v>3.1889823018222074</v>
      </c>
      <c r="BC28" s="626">
        <f>Drivers!BC290</f>
        <v>-77.149799444150815</v>
      </c>
      <c r="BD28" s="626">
        <f>Drivers!BD290</f>
        <v>6.2315226504260437</v>
      </c>
      <c r="BE28" s="626">
        <f>Drivers!BE290</f>
        <v>198.05182281773486</v>
      </c>
      <c r="BF28" s="626">
        <f>Drivers!BF290</f>
        <v>4.1049825341999053</v>
      </c>
      <c r="BG28" s="626">
        <f>Drivers!BG290</f>
        <v>-77.636679552932449</v>
      </c>
      <c r="BH28" s="626">
        <f>Drivers!BH290</f>
        <v>37.142071258153493</v>
      </c>
      <c r="BI28" s="626">
        <f>Drivers!BI290</f>
        <v>200.85169111359946</v>
      </c>
      <c r="BJ28" s="626">
        <f>Drivers!BJ290</f>
        <v>-3.7231307694969615</v>
      </c>
      <c r="BK28" s="626">
        <f>Drivers!BK290</f>
        <v>-86.100052507401273</v>
      </c>
      <c r="BL28" s="626">
        <f>Drivers!BL290</f>
        <v>6.1981635782248645</v>
      </c>
      <c r="BM28" s="626">
        <f>Drivers!BM290</f>
        <v>209.35404602276813</v>
      </c>
      <c r="BN28" s="626">
        <f>Drivers!BN290</f>
        <v>2.3982240803916284</v>
      </c>
      <c r="BO28" s="626"/>
      <c r="BP28" s="626">
        <f>Drivers!BP290</f>
        <v>86</v>
      </c>
      <c r="BQ28" s="626">
        <f>Drivers!BQ290</f>
        <v>93</v>
      </c>
      <c r="BR28" s="626">
        <f>Drivers!BR290</f>
        <v>168</v>
      </c>
      <c r="BS28" s="626">
        <f>Drivers!BS290</f>
        <v>61</v>
      </c>
      <c r="BT28" s="626">
        <f>Drivers!BT290</f>
        <v>179</v>
      </c>
      <c r="BU28" s="626">
        <f>Drivers!BU290</f>
        <v>219</v>
      </c>
      <c r="BV28" s="626">
        <f>Drivers!BV290</f>
        <v>567</v>
      </c>
      <c r="BW28" s="626">
        <f>Drivers!BW290</f>
        <v>83.46</v>
      </c>
      <c r="BX28" s="626">
        <f>Drivers!BX290</f>
        <v>-42.456347025076937</v>
      </c>
      <c r="BY28" s="626">
        <f>Drivers!BY290</f>
        <v>225.48</v>
      </c>
      <c r="BZ28" s="626">
        <f>Drivers!BZ290</f>
        <v>1871.2</v>
      </c>
      <c r="CA28" s="626">
        <f>Drivers!CA290</f>
        <v>188.46000000000004</v>
      </c>
      <c r="CB28" s="626">
        <f>Drivers!CB290</f>
        <v>137.33413324328302</v>
      </c>
      <c r="CC28" s="626">
        <f>Drivers!CC290</f>
        <v>149.35235347915381</v>
      </c>
      <c r="CD28" s="626">
        <f>Drivers!CD290</f>
        <v>131.23852855820999</v>
      </c>
      <c r="CE28" s="626">
        <f>Drivers!CE290</f>
        <v>156.63395204932357</v>
      </c>
      <c r="CF28" s="626">
        <f>Drivers!CF290</f>
        <v>131.85038117398335</v>
      </c>
    </row>
    <row r="29" spans="1:85">
      <c r="BY29" s="43"/>
      <c r="BZ29" s="43"/>
      <c r="CA29" s="43"/>
      <c r="CB29" s="43"/>
      <c r="CC29" s="43"/>
      <c r="CD29" s="43"/>
      <c r="CE29" s="43"/>
      <c r="CF29" s="43"/>
    </row>
    <row r="30" spans="1:85" s="611" customFormat="1">
      <c r="A30" s="25" t="s">
        <v>220</v>
      </c>
      <c r="B30" s="606">
        <f t="shared" ref="B30:AG30" si="71">B21+B22+B23+B25</f>
        <v>23</v>
      </c>
      <c r="C30" s="606">
        <f t="shared" si="71"/>
        <v>-78</v>
      </c>
      <c r="D30" s="606">
        <f t="shared" si="71"/>
        <v>32</v>
      </c>
      <c r="E30" s="606">
        <f t="shared" si="71"/>
        <v>196</v>
      </c>
      <c r="F30" s="606">
        <f t="shared" si="71"/>
        <v>83</v>
      </c>
      <c r="G30" s="606">
        <f t="shared" si="71"/>
        <v>-123</v>
      </c>
      <c r="H30" s="606">
        <f t="shared" si="71"/>
        <v>17</v>
      </c>
      <c r="I30" s="606">
        <f t="shared" si="71"/>
        <v>334</v>
      </c>
      <c r="J30" s="606">
        <f t="shared" si="71"/>
        <v>56</v>
      </c>
      <c r="K30" s="606">
        <f t="shared" si="71"/>
        <v>-130</v>
      </c>
      <c r="L30" s="606">
        <f t="shared" si="71"/>
        <v>49</v>
      </c>
      <c r="M30" s="606">
        <f t="shared" si="71"/>
        <v>176</v>
      </c>
      <c r="N30" s="606">
        <f t="shared" si="71"/>
        <v>169</v>
      </c>
      <c r="O30" s="606">
        <f t="shared" si="71"/>
        <v>-121</v>
      </c>
      <c r="P30" s="606">
        <f t="shared" si="71"/>
        <v>105</v>
      </c>
      <c r="Q30" s="606">
        <f t="shared" si="71"/>
        <v>398</v>
      </c>
      <c r="R30" s="606">
        <f t="shared" si="71"/>
        <v>152</v>
      </c>
      <c r="S30" s="606">
        <f t="shared" si="71"/>
        <v>61</v>
      </c>
      <c r="T30" s="606">
        <f t="shared" si="71"/>
        <v>232</v>
      </c>
      <c r="U30" s="606">
        <f t="shared" si="71"/>
        <v>388</v>
      </c>
      <c r="V30" s="606">
        <f t="shared" si="71"/>
        <v>124.57866250000001</v>
      </c>
      <c r="W30" s="606">
        <f t="shared" si="71"/>
        <v>48.641980319375001</v>
      </c>
      <c r="X30" s="606">
        <f t="shared" si="71"/>
        <v>212</v>
      </c>
      <c r="Y30" s="606">
        <f t="shared" si="71"/>
        <v>596</v>
      </c>
      <c r="Z30" s="606">
        <f t="shared" si="71"/>
        <v>161</v>
      </c>
      <c r="AA30" s="606">
        <f t="shared" si="71"/>
        <v>22</v>
      </c>
      <c r="AB30" s="606">
        <f t="shared" si="71"/>
        <v>165.11</v>
      </c>
      <c r="AC30" s="606">
        <f t="shared" si="71"/>
        <v>776.57</v>
      </c>
      <c r="AD30" s="606">
        <f t="shared" si="71"/>
        <v>263.86</v>
      </c>
      <c r="AE30" s="606">
        <f t="shared" si="71"/>
        <v>97.960000000000008</v>
      </c>
      <c r="AF30" s="606">
        <f t="shared" si="71"/>
        <v>194.34</v>
      </c>
      <c r="AG30" s="606">
        <f t="shared" si="71"/>
        <v>678.61</v>
      </c>
      <c r="AH30" s="606">
        <f t="shared" ref="AH30:BN30" si="72">AH21+AH22+AH23+AH25</f>
        <v>396.70659928661541</v>
      </c>
      <c r="AI30" s="606">
        <f t="shared" si="72"/>
        <v>46.74</v>
      </c>
      <c r="AJ30" s="606">
        <f t="shared" si="72"/>
        <v>271.42</v>
      </c>
      <c r="AK30" s="606">
        <f t="shared" si="72"/>
        <v>587.12</v>
      </c>
      <c r="AL30" s="606">
        <f t="shared" si="72"/>
        <v>395.24</v>
      </c>
      <c r="AM30" s="606">
        <f t="shared" si="72"/>
        <v>105.78</v>
      </c>
      <c r="AN30" s="606">
        <f t="shared" si="72"/>
        <v>317.34000000000003</v>
      </c>
      <c r="AO30" s="606">
        <f t="shared" si="72"/>
        <v>777.36</v>
      </c>
      <c r="AP30" s="606">
        <f t="shared" si="72"/>
        <v>349.32</v>
      </c>
      <c r="AQ30" s="606">
        <f t="shared" si="72"/>
        <v>414.92</v>
      </c>
      <c r="AR30" s="606">
        <f t="shared" si="72"/>
        <v>13.94</v>
      </c>
      <c r="AS30" s="606">
        <f t="shared" si="72"/>
        <v>892.16</v>
      </c>
      <c r="AT30" s="606">
        <f t="shared" si="72"/>
        <v>357.52</v>
      </c>
      <c r="AU30" s="606">
        <f t="shared" si="72"/>
        <v>229.6</v>
      </c>
      <c r="AV30" s="606">
        <f>AV21+AV22+AV23+AV25</f>
        <v>452.64</v>
      </c>
      <c r="AW30" s="606">
        <f t="shared" ref="AW30:BB30" si="73">AW21+AW22+AW23+AW25</f>
        <v>914.24866105987815</v>
      </c>
      <c r="AX30" s="606">
        <f t="shared" si="73"/>
        <v>406.05609469252227</v>
      </c>
      <c r="AY30" s="606">
        <f t="shared" si="73"/>
        <v>295.8096131820742</v>
      </c>
      <c r="AZ30" s="606">
        <f t="shared" si="73"/>
        <v>465.95735393446881</v>
      </c>
      <c r="BA30" s="606">
        <f t="shared" si="73"/>
        <v>959.35336725477009</v>
      </c>
      <c r="BB30" s="606">
        <f t="shared" si="73"/>
        <v>371.85440076550429</v>
      </c>
      <c r="BC30" s="606">
        <f t="shared" si="72"/>
        <v>322.05705778548389</v>
      </c>
      <c r="BD30" s="606">
        <f t="shared" si="72"/>
        <v>500.80944130675891</v>
      </c>
      <c r="BE30" s="606">
        <f t="shared" si="72"/>
        <v>1029.7234382846023</v>
      </c>
      <c r="BF30" s="606">
        <f t="shared" si="72"/>
        <v>422.60631450203846</v>
      </c>
      <c r="BG30" s="606">
        <f t="shared" si="72"/>
        <v>362.24333482526413</v>
      </c>
      <c r="BH30" s="606">
        <f t="shared" si="72"/>
        <v>633.35303091824539</v>
      </c>
      <c r="BI30" s="606">
        <f t="shared" si="72"/>
        <v>1124.1948552459442</v>
      </c>
      <c r="BJ30" s="606">
        <f t="shared" si="72"/>
        <v>473.26267448900757</v>
      </c>
      <c r="BK30" s="606">
        <f t="shared" si="72"/>
        <v>406.92417702232638</v>
      </c>
      <c r="BL30" s="606">
        <f t="shared" si="72"/>
        <v>591.31222759359571</v>
      </c>
      <c r="BM30" s="606">
        <f t="shared" si="72"/>
        <v>1168.5175514719645</v>
      </c>
      <c r="BN30" s="606">
        <f t="shared" si="72"/>
        <v>517.76135869428663</v>
      </c>
      <c r="BO30" s="607"/>
      <c r="BP30" s="607">
        <f t="shared" ref="BP30:CF30" si="74">BP21+BP22+BP23+BP25</f>
        <v>-331</v>
      </c>
      <c r="BQ30" s="607">
        <f t="shared" si="74"/>
        <v>233</v>
      </c>
      <c r="BR30" s="607">
        <f t="shared" si="74"/>
        <v>284</v>
      </c>
      <c r="BS30" s="607">
        <f t="shared" si="74"/>
        <v>264</v>
      </c>
      <c r="BT30" s="607">
        <f t="shared" si="74"/>
        <v>534</v>
      </c>
      <c r="BU30" s="607">
        <f t="shared" si="74"/>
        <v>805.57866250000006</v>
      </c>
      <c r="BV30" s="607">
        <f t="shared" si="74"/>
        <v>1017.6419803193751</v>
      </c>
      <c r="BW30" s="607">
        <f t="shared" si="74"/>
        <v>1227.54</v>
      </c>
      <c r="BX30" s="607">
        <f t="shared" si="74"/>
        <v>1367.6165992866154</v>
      </c>
      <c r="BY30" s="196">
        <f t="shared" si="74"/>
        <v>1300.52</v>
      </c>
      <c r="BZ30" s="628">
        <f t="shared" si="74"/>
        <v>1549.8</v>
      </c>
      <c r="CA30" s="196">
        <f t="shared" si="74"/>
        <v>1678.54</v>
      </c>
      <c r="CB30" s="196">
        <f t="shared" si="74"/>
        <v>2002.5447557523996</v>
      </c>
      <c r="CC30" s="196">
        <f t="shared" si="74"/>
        <v>2092.9747351368164</v>
      </c>
      <c r="CD30" s="196">
        <f t="shared" si="74"/>
        <v>2275.1962518788837</v>
      </c>
      <c r="CE30" s="196">
        <f t="shared" si="74"/>
        <v>2593.0538954784615</v>
      </c>
      <c r="CF30" s="196">
        <f t="shared" si="74"/>
        <v>2684.515314782172</v>
      </c>
    </row>
    <row r="32" spans="1:85" s="633" customFormat="1">
      <c r="A32" s="629" t="s">
        <v>379</v>
      </c>
      <c r="B32" s="599">
        <f t="shared" ref="B32:AG32" si="75">B30/B33</f>
        <v>6.9696969696969702E-2</v>
      </c>
      <c r="C32" s="599">
        <f t="shared" si="75"/>
        <v>-0.23780487804878048</v>
      </c>
      <c r="D32" s="599">
        <f t="shared" si="75"/>
        <v>9.6096096096096095E-2</v>
      </c>
      <c r="E32" s="599">
        <f t="shared" si="75"/>
        <v>0.58507462686567169</v>
      </c>
      <c r="F32" s="599">
        <f t="shared" si="75"/>
        <v>0.24702380952380953</v>
      </c>
      <c r="G32" s="599">
        <f t="shared" si="75"/>
        <v>-0.37160120845921452</v>
      </c>
      <c r="H32" s="599">
        <f t="shared" si="75"/>
        <v>5.0445103857566766E-2</v>
      </c>
      <c r="I32" s="599">
        <f t="shared" si="75"/>
        <v>0.98816568047337283</v>
      </c>
      <c r="J32" s="599">
        <f t="shared" si="75"/>
        <v>0.16867469879518071</v>
      </c>
      <c r="K32" s="599">
        <f t="shared" si="75"/>
        <v>-0.41009463722397477</v>
      </c>
      <c r="L32" s="599">
        <f t="shared" si="75"/>
        <v>0.1540880503144654</v>
      </c>
      <c r="M32" s="599">
        <f t="shared" si="75"/>
        <v>0.5714285714285714</v>
      </c>
      <c r="N32" s="599">
        <f t="shared" si="75"/>
        <v>0.55048859934853422</v>
      </c>
      <c r="O32" s="599">
        <f t="shared" si="75"/>
        <v>-0.39802631578947367</v>
      </c>
      <c r="P32" s="599">
        <f t="shared" si="75"/>
        <v>0.33227848101265822</v>
      </c>
      <c r="Q32" s="599">
        <f t="shared" si="75"/>
        <v>1.259493670886076</v>
      </c>
      <c r="R32" s="599">
        <f t="shared" si="75"/>
        <v>0.47648902821316613</v>
      </c>
      <c r="S32" s="599">
        <f t="shared" si="75"/>
        <v>0.19003115264797507</v>
      </c>
      <c r="T32" s="599">
        <f t="shared" si="75"/>
        <v>0.72727272727272729</v>
      </c>
      <c r="U32" s="599">
        <f t="shared" si="75"/>
        <v>1.2163009404388714</v>
      </c>
      <c r="V32" s="599">
        <f t="shared" si="75"/>
        <v>0.38450204475308647</v>
      </c>
      <c r="W32" s="599">
        <f t="shared" si="75"/>
        <v>0.14966763175192307</v>
      </c>
      <c r="X32" s="599">
        <f t="shared" si="75"/>
        <v>0.64956666550370401</v>
      </c>
      <c r="Y32" s="599">
        <f t="shared" si="75"/>
        <v>1.8338461538461539</v>
      </c>
      <c r="Z32" s="599">
        <f t="shared" si="75"/>
        <v>0.50470219435736674</v>
      </c>
      <c r="AA32" s="599">
        <f t="shared" si="75"/>
        <v>7.0287539936102233E-2</v>
      </c>
      <c r="AB32" s="599">
        <f t="shared" si="75"/>
        <v>0.52582802547770702</v>
      </c>
      <c r="AC32" s="599">
        <f t="shared" si="75"/>
        <v>2.4810543130990417</v>
      </c>
      <c r="AD32" s="599">
        <f t="shared" si="75"/>
        <v>0.84570512820512822</v>
      </c>
      <c r="AE32" s="599">
        <f t="shared" si="75"/>
        <v>0.31297124600638981</v>
      </c>
      <c r="AF32" s="599">
        <f t="shared" si="75"/>
        <v>0.62288461538461537</v>
      </c>
      <c r="AG32" s="599">
        <f t="shared" si="75"/>
        <v>2.1820257234726688</v>
      </c>
      <c r="AH32" s="599">
        <f t="shared" ref="AH32:BM32" si="76">AH30/AH33</f>
        <v>1.2755839205357409</v>
      </c>
      <c r="AI32" s="599">
        <f t="shared" si="76"/>
        <v>0.15077419354838711</v>
      </c>
      <c r="AJ32" s="599">
        <f t="shared" si="76"/>
        <v>0.88410423452768738</v>
      </c>
      <c r="AK32" s="599">
        <f t="shared" si="76"/>
        <v>1.9313157894736843</v>
      </c>
      <c r="AL32" s="599">
        <f t="shared" si="76"/>
        <v>1.3130897009966778</v>
      </c>
      <c r="AM32" s="599">
        <f t="shared" si="76"/>
        <v>0.35377926421404682</v>
      </c>
      <c r="AN32" s="599">
        <f t="shared" si="76"/>
        <v>1.0720945945945948</v>
      </c>
      <c r="AO32" s="599">
        <f t="shared" si="76"/>
        <v>2.6440816326530614</v>
      </c>
      <c r="AP32" s="599">
        <f t="shared" si="76"/>
        <v>1.1963013698630136</v>
      </c>
      <c r="AQ32" s="599">
        <f t="shared" si="76"/>
        <v>1.4209589041095891</v>
      </c>
      <c r="AR32" s="599">
        <f t="shared" si="76"/>
        <v>4.7576791808873718E-2</v>
      </c>
      <c r="AS32" s="599">
        <f t="shared" si="76"/>
        <v>3.0553424657534247</v>
      </c>
      <c r="AT32" s="599">
        <f t="shared" si="76"/>
        <v>1.2413888888888889</v>
      </c>
      <c r="AU32" s="599">
        <f t="shared" si="76"/>
        <v>0.79446366782006916</v>
      </c>
      <c r="AV32" s="599">
        <f>AV30/AV33</f>
        <v>1.5771428571428572</v>
      </c>
      <c r="AW32" s="599">
        <f t="shared" si="76"/>
        <v>3.1836057282057846</v>
      </c>
      <c r="AX32" s="599">
        <f t="shared" si="76"/>
        <v>1.4211542544924669</v>
      </c>
      <c r="AY32" s="599">
        <f t="shared" si="76"/>
        <v>1.0517704362110378</v>
      </c>
      <c r="AZ32" s="599">
        <f t="shared" si="76"/>
        <v>1.6656554733858622</v>
      </c>
      <c r="BA32" s="599">
        <f t="shared" si="76"/>
        <v>3.4473148426429021</v>
      </c>
      <c r="BB32" s="599">
        <f t="shared" si="76"/>
        <v>1.3373069434930795</v>
      </c>
      <c r="BC32" s="599">
        <f t="shared" si="76"/>
        <v>1.1543629442518406</v>
      </c>
      <c r="BD32" s="599">
        <f t="shared" si="76"/>
        <v>1.7891049374079817</v>
      </c>
      <c r="BE32" s="599">
        <f t="shared" si="76"/>
        <v>3.665663098235806</v>
      </c>
      <c r="BF32" s="599">
        <f t="shared" si="76"/>
        <v>1.4992956461542757</v>
      </c>
      <c r="BG32" s="599">
        <f t="shared" si="76"/>
        <v>1.2811405104809317</v>
      </c>
      <c r="BH32" s="599">
        <f t="shared" si="76"/>
        <v>2.2323046625422345</v>
      </c>
      <c r="BI32" s="599">
        <f t="shared" si="76"/>
        <v>3.9477719079837712</v>
      </c>
      <c r="BJ32" s="599">
        <f t="shared" si="76"/>
        <v>1.6564392461823056</v>
      </c>
      <c r="BK32" s="599">
        <f t="shared" si="76"/>
        <v>1.419993866271948</v>
      </c>
      <c r="BL32" s="599">
        <f t="shared" si="76"/>
        <v>2.0572588594394801</v>
      </c>
      <c r="BM32" s="599">
        <f t="shared" si="76"/>
        <v>4.052443728751987</v>
      </c>
      <c r="BN32" s="599">
        <f t="shared" ref="BN32" si="77">BN30/BN33</f>
        <v>1.7900291587372767</v>
      </c>
      <c r="BO32" s="630"/>
      <c r="BP32" s="630">
        <f t="shared" ref="BP32:CF32" si="78">BP30/BP33</f>
        <v>-1.0145593869731802</v>
      </c>
      <c r="BQ32" s="630">
        <f t="shared" si="78"/>
        <v>0.6996996996996997</v>
      </c>
      <c r="BR32" s="630">
        <f t="shared" si="78"/>
        <v>0.8490284005979073</v>
      </c>
      <c r="BS32" s="630">
        <f t="shared" si="78"/>
        <v>0.8448</v>
      </c>
      <c r="BT32" s="630">
        <f t="shared" si="78"/>
        <v>1.7019920318725099</v>
      </c>
      <c r="BU32" s="630">
        <f t="shared" si="78"/>
        <v>2.5115468823070928</v>
      </c>
      <c r="BV32" s="630">
        <f t="shared" si="78"/>
        <v>3.1423944007609994</v>
      </c>
      <c r="BW32" s="630">
        <f t="shared" si="78"/>
        <v>3.9218530351437697</v>
      </c>
      <c r="BX32" s="630">
        <f t="shared" si="78"/>
        <v>4.3869016817533772</v>
      </c>
      <c r="BY32" s="631">
        <f t="shared" si="78"/>
        <v>4.2570212765957445</v>
      </c>
      <c r="BZ32" s="631">
        <f t="shared" si="78"/>
        <v>5.249110922946655</v>
      </c>
      <c r="CA32" s="631">
        <f t="shared" si="78"/>
        <v>5.7632274678111584</v>
      </c>
      <c r="CB32" s="631">
        <f t="shared" si="78"/>
        <v>6.9720619743642507</v>
      </c>
      <c r="CC32" s="631">
        <f t="shared" si="78"/>
        <v>7.4926680035848205</v>
      </c>
      <c r="CD32" s="631">
        <f t="shared" si="78"/>
        <v>8.1134337280697437</v>
      </c>
      <c r="CE32" s="631">
        <f t="shared" si="78"/>
        <v>9.1228420305272167</v>
      </c>
      <c r="CF32" s="631">
        <f t="shared" si="78"/>
        <v>9.3245434187670622</v>
      </c>
      <c r="CG32" s="632"/>
    </row>
    <row r="33" spans="1:85">
      <c r="A33" s="8" t="s">
        <v>5</v>
      </c>
      <c r="B33" s="269">
        <f>Drivers!B$304</f>
        <v>330</v>
      </c>
      <c r="C33" s="269">
        <f>Drivers!C$304</f>
        <v>328</v>
      </c>
      <c r="D33" s="269">
        <f>Drivers!D$304</f>
        <v>333</v>
      </c>
      <c r="E33" s="269">
        <f>Drivers!E$304</f>
        <v>335</v>
      </c>
      <c r="F33" s="269">
        <f>Drivers!F$304</f>
        <v>336</v>
      </c>
      <c r="G33" s="269">
        <f>Drivers!G$304</f>
        <v>331</v>
      </c>
      <c r="H33" s="269">
        <f>Drivers!H$304</f>
        <v>337</v>
      </c>
      <c r="I33" s="269">
        <f>Drivers!I$304</f>
        <v>338</v>
      </c>
      <c r="J33" s="269">
        <f>Drivers!J$304</f>
        <v>332</v>
      </c>
      <c r="K33" s="269">
        <f>Drivers!K$304</f>
        <v>317</v>
      </c>
      <c r="L33" s="269">
        <f>Drivers!L$304</f>
        <v>318</v>
      </c>
      <c r="M33" s="269">
        <f>Drivers!M$304</f>
        <v>308</v>
      </c>
      <c r="N33" s="269">
        <f>Drivers!N$304</f>
        <v>307</v>
      </c>
      <c r="O33" s="269">
        <f>Drivers!O$304</f>
        <v>304</v>
      </c>
      <c r="P33" s="269">
        <f>Drivers!P$304</f>
        <v>316</v>
      </c>
      <c r="Q33" s="269">
        <f>Drivers!Q$304</f>
        <v>316</v>
      </c>
      <c r="R33" s="269">
        <f>Drivers!R$304</f>
        <v>319</v>
      </c>
      <c r="S33" s="269">
        <f>Drivers!S$304</f>
        <v>321</v>
      </c>
      <c r="T33" s="269">
        <f>Drivers!T$304</f>
        <v>319</v>
      </c>
      <c r="U33" s="269">
        <f>Drivers!U$304</f>
        <v>319</v>
      </c>
      <c r="V33" s="269">
        <f>Drivers!V$304</f>
        <v>324</v>
      </c>
      <c r="W33" s="269">
        <f>Drivers!W$304</f>
        <v>325</v>
      </c>
      <c r="X33" s="269">
        <f>Drivers!X$304</f>
        <v>326.37142768957426</v>
      </c>
      <c r="Y33" s="269">
        <f>Drivers!Y$304</f>
        <v>325</v>
      </c>
      <c r="Z33" s="269">
        <f>Drivers!Z$304</f>
        <v>319</v>
      </c>
      <c r="AA33" s="269">
        <f>Drivers!AA$304</f>
        <v>313</v>
      </c>
      <c r="AB33" s="269">
        <f>Drivers!AB$304</f>
        <v>314</v>
      </c>
      <c r="AC33" s="269">
        <f>Drivers!AC$304</f>
        <v>313</v>
      </c>
      <c r="AD33" s="269">
        <f>Drivers!AD$304</f>
        <v>312</v>
      </c>
      <c r="AE33" s="269">
        <f>Drivers!AE$304</f>
        <v>313</v>
      </c>
      <c r="AF33" s="269">
        <f>Drivers!AF$304</f>
        <v>312</v>
      </c>
      <c r="AG33" s="269">
        <f>Drivers!AG$304</f>
        <v>311</v>
      </c>
      <c r="AH33" s="269">
        <f>Drivers!AH$304</f>
        <v>311</v>
      </c>
      <c r="AI33" s="269">
        <f>Drivers!AI$304</f>
        <v>310</v>
      </c>
      <c r="AJ33" s="269">
        <f>Drivers!AJ$304</f>
        <v>307</v>
      </c>
      <c r="AK33" s="269">
        <f>Drivers!AK$304</f>
        <v>304</v>
      </c>
      <c r="AL33" s="269">
        <f>Drivers!AL$304</f>
        <v>301</v>
      </c>
      <c r="AM33" s="269">
        <f>Drivers!AM$304</f>
        <v>299</v>
      </c>
      <c r="AN33" s="269">
        <f>Drivers!AN$304</f>
        <v>296</v>
      </c>
      <c r="AO33" s="269">
        <f>Drivers!AO$304</f>
        <v>294</v>
      </c>
      <c r="AP33" s="269">
        <f>Drivers!AP$304</f>
        <v>292</v>
      </c>
      <c r="AQ33" s="269">
        <f>Drivers!AQ$304</f>
        <v>292</v>
      </c>
      <c r="AR33" s="269">
        <f>Drivers!AR$304</f>
        <v>293</v>
      </c>
      <c r="AS33" s="269">
        <f>Drivers!AS$304</f>
        <v>292</v>
      </c>
      <c r="AT33" s="269">
        <f>Drivers!AT$304</f>
        <v>288</v>
      </c>
      <c r="AU33" s="269">
        <f>Drivers!AU$304</f>
        <v>289</v>
      </c>
      <c r="AV33" s="269">
        <f>Drivers!AV$304</f>
        <v>287</v>
      </c>
      <c r="AW33" s="269">
        <f>Drivers!AW$304</f>
        <v>287.17395906154815</v>
      </c>
      <c r="AX33" s="269">
        <f>Drivers!AX$304</f>
        <v>285.7227450214657</v>
      </c>
      <c r="AY33" s="269">
        <f>Drivers!AY$304</f>
        <v>281.24921845846598</v>
      </c>
      <c r="AZ33" s="269">
        <f>Drivers!AZ$304</f>
        <v>279.74413759605022</v>
      </c>
      <c r="BA33" s="269">
        <f>Drivers!BA$304</f>
        <v>278.29003472142301</v>
      </c>
      <c r="BB33" s="269">
        <f>Drivers!BB$304</f>
        <v>278.06211773208264</v>
      </c>
      <c r="BC33" s="269">
        <f>Drivers!BC$304</f>
        <v>278.99116078627571</v>
      </c>
      <c r="BD33" s="269">
        <f>Drivers!BD$304</f>
        <v>279.92178146482638</v>
      </c>
      <c r="BE33" s="269">
        <f>Drivers!BE$304</f>
        <v>280.91055033949601</v>
      </c>
      <c r="BF33" s="269">
        <f>Drivers!BF$304</f>
        <v>281.86990043360186</v>
      </c>
      <c r="BG33" s="269">
        <f>Drivers!BG$304</f>
        <v>282.75066775406265</v>
      </c>
      <c r="BH33" s="269">
        <f>Drivers!BH$304</f>
        <v>283.72159120832487</v>
      </c>
      <c r="BI33" s="269">
        <f>Drivers!BI$304</f>
        <v>284.7669220636659</v>
      </c>
      <c r="BJ33" s="269">
        <f>Drivers!BJ$304</f>
        <v>285.7108557284937</v>
      </c>
      <c r="BK33" s="269">
        <f>Drivers!BK$304</f>
        <v>286.56755968296198</v>
      </c>
      <c r="BL33" s="269">
        <f>Drivers!BL$304</f>
        <v>287.42723594574989</v>
      </c>
      <c r="BM33" s="269">
        <f>Drivers!BM$304</f>
        <v>288.34886544663448</v>
      </c>
      <c r="BN33" s="269">
        <f>Drivers!BN$304</f>
        <v>289.24744391288357</v>
      </c>
      <c r="BO33" s="269"/>
      <c r="BP33" s="269">
        <v>326.25</v>
      </c>
      <c r="BQ33" s="269">
        <f>AVERAGE(C33:F33)</f>
        <v>333</v>
      </c>
      <c r="BR33" s="269">
        <f>AVERAGE(G33:J33)</f>
        <v>334.5</v>
      </c>
      <c r="BS33" s="269">
        <f>AVERAGE(K33:N33)</f>
        <v>312.5</v>
      </c>
      <c r="BT33" s="269">
        <f>AVERAGE(O33:R33)</f>
        <v>313.75</v>
      </c>
      <c r="BU33" s="269">
        <f>AVERAGE(S33:V33)</f>
        <v>320.75</v>
      </c>
      <c r="BV33" s="269">
        <f>AVERAGE(W33:Z33)</f>
        <v>323.84285692239359</v>
      </c>
      <c r="BW33" s="269">
        <f>AVERAGE(AA33:AD33)</f>
        <v>313</v>
      </c>
      <c r="BX33" s="269">
        <f>AVERAGE(AE33:AH33)</f>
        <v>311.75</v>
      </c>
      <c r="BY33" s="210">
        <f>AVERAGE(AI33:AL33)</f>
        <v>305.5</v>
      </c>
      <c r="BZ33" s="210">
        <f>AVERAGE(AM33:AP33)</f>
        <v>295.25</v>
      </c>
      <c r="CA33" s="210">
        <f>AVERAGE(AQ33:AT33)</f>
        <v>291.25</v>
      </c>
      <c r="CB33" s="210">
        <f>AVERAGE(AU33:AX33)</f>
        <v>287.22417602075348</v>
      </c>
      <c r="CC33" s="210">
        <f>AVERAGE(AY33:BB33)</f>
        <v>279.33637712700545</v>
      </c>
      <c r="CD33" s="210">
        <f>AVERAGE(BC33:BF33)</f>
        <v>280.42334825604996</v>
      </c>
      <c r="CE33" s="210">
        <f>AVERAGE(BG33:BJ33)</f>
        <v>284.23750918863675</v>
      </c>
      <c r="CF33" s="210">
        <f>AVERAGE(BK33:BN33)</f>
        <v>287.89777624705749</v>
      </c>
    </row>
    <row r="34" spans="1:85" s="12" customFormat="1">
      <c r="BY34" s="304"/>
      <c r="BZ34" s="304"/>
      <c r="CA34" s="304"/>
      <c r="CB34" s="305"/>
      <c r="CC34" s="305"/>
      <c r="CD34" s="305"/>
      <c r="CE34" s="305"/>
      <c r="CF34" s="305"/>
    </row>
    <row r="35" spans="1:85" s="12" customFormat="1">
      <c r="A35" s="634" t="s">
        <v>290</v>
      </c>
      <c r="BY35" s="304"/>
      <c r="BZ35" s="304"/>
      <c r="CA35" s="304"/>
      <c r="CB35" s="305"/>
      <c r="CC35" s="305"/>
      <c r="CD35" s="305"/>
      <c r="CE35" s="305"/>
      <c r="CF35" s="305"/>
    </row>
    <row r="36" spans="1:85" s="307" customFormat="1">
      <c r="A36" s="42" t="s">
        <v>202</v>
      </c>
      <c r="B36" s="34" t="s">
        <v>17</v>
      </c>
      <c r="C36" s="34" t="s">
        <v>17</v>
      </c>
      <c r="D36" s="34" t="s">
        <v>17</v>
      </c>
      <c r="E36" s="34" t="s">
        <v>17</v>
      </c>
      <c r="F36" s="34" t="e">
        <f t="shared" ref="F36" si="79">F7/B7-1</f>
        <v>#DIV/0!</v>
      </c>
      <c r="G36" s="34" t="e">
        <f t="shared" ref="G36" si="80">G7/C7-1</f>
        <v>#DIV/0!</v>
      </c>
      <c r="H36" s="34" t="e">
        <f t="shared" ref="H36" si="81">H7/D7-1</f>
        <v>#DIV/0!</v>
      </c>
      <c r="I36" s="34" t="e">
        <f t="shared" ref="I36" si="82">I7/E7-1</f>
        <v>#DIV/0!</v>
      </c>
      <c r="J36" s="34" t="e">
        <f t="shared" ref="J36" si="83">J7/F7-1</f>
        <v>#DIV/0!</v>
      </c>
      <c r="K36" s="34" t="e">
        <f t="shared" ref="K36" si="84">K7/G7-1</f>
        <v>#DIV/0!</v>
      </c>
      <c r="L36" s="34" t="e">
        <f t="shared" ref="L36" si="85">L7/H7-1</f>
        <v>#DIV/0!</v>
      </c>
      <c r="M36" s="34" t="e">
        <f t="shared" ref="M36" si="86">M7/I7-1</f>
        <v>#DIV/0!</v>
      </c>
      <c r="N36" s="34" t="e">
        <f t="shared" ref="N36" si="87">N7/J7-1</f>
        <v>#DIV/0!</v>
      </c>
      <c r="O36" s="34" t="e">
        <f t="shared" ref="O36" si="88">O7/K7-1</f>
        <v>#DIV/0!</v>
      </c>
      <c r="P36" s="34" t="e">
        <f t="shared" ref="P36" si="89">P7/L7-1</f>
        <v>#DIV/0!</v>
      </c>
      <c r="Q36" s="34" t="e">
        <f t="shared" ref="Q36" si="90">Q7/M7-1</f>
        <v>#DIV/0!</v>
      </c>
      <c r="R36" s="34" t="e">
        <f t="shared" ref="R36" si="91">R7/N7-1</f>
        <v>#DIV/0!</v>
      </c>
      <c r="S36" s="34" t="e">
        <f t="shared" ref="S36" si="92">S7/O7-1</f>
        <v>#DIV/0!</v>
      </c>
      <c r="T36" s="34">
        <f t="shared" ref="T36" si="93">T7/P7-1</f>
        <v>0.18014184397163113</v>
      </c>
      <c r="U36" s="34">
        <f t="shared" ref="U36" si="94">U7/Q7-1</f>
        <v>-0.26264418811002666</v>
      </c>
      <c r="V36" s="34">
        <f t="shared" ref="V36" si="95">V7/R7-1</f>
        <v>-0.15812917594654785</v>
      </c>
      <c r="W36" s="34">
        <f t="shared" ref="W36" si="96">W7/S7-1</f>
        <v>-0.36103151862464178</v>
      </c>
      <c r="X36" s="34">
        <f t="shared" ref="X36" si="97">X7/T7-1</f>
        <v>-0.11057692307692313</v>
      </c>
      <c r="Y36" s="34">
        <f t="shared" ref="Y36" si="98">Y7/U7-1</f>
        <v>0.39590854392298436</v>
      </c>
      <c r="Z36" s="34">
        <f t="shared" ref="Z36" si="99">Z7/V7-1</f>
        <v>-0.1428571428571429</v>
      </c>
      <c r="AA36" s="34">
        <f t="shared" ref="AA36" si="100">AA7/W7-1</f>
        <v>-0.179372197309417</v>
      </c>
      <c r="AB36" s="34">
        <f t="shared" ref="AB36" si="101">AB7/X7-1</f>
        <v>-6.4864864864864868E-2</v>
      </c>
      <c r="AC36" s="34">
        <f t="shared" ref="AC36" si="102">AC7/Y7-1</f>
        <v>0.1293103448275863</v>
      </c>
      <c r="AD36" s="34">
        <f t="shared" ref="AD36" si="103">AD7/Z7-1</f>
        <v>0.20679012345679015</v>
      </c>
      <c r="AE36" s="34">
        <f t="shared" ref="AE36" si="104">AE7/AA7-1</f>
        <v>0.11475409836065564</v>
      </c>
      <c r="AF36" s="34">
        <f t="shared" ref="AF36" si="105">AF7/AB7-1</f>
        <v>3.1791907514450823E-2</v>
      </c>
      <c r="AG36" s="34">
        <f t="shared" ref="AG36" si="106">AG7/AC7-1</f>
        <v>-0.23587786259541987</v>
      </c>
      <c r="AH36" s="34">
        <f t="shared" ref="AH36" si="107">AH7/AD7-1</f>
        <v>1.2787723785166349E-2</v>
      </c>
      <c r="AI36" s="34">
        <f t="shared" ref="AI36" si="108">AI7/AE7-1</f>
        <v>-0.26470588235294112</v>
      </c>
      <c r="AJ36" s="34">
        <f t="shared" ref="AJ36" si="109">AJ7/AF7-1</f>
        <v>3.9215686274509887E-2</v>
      </c>
      <c r="AK36" s="34">
        <f t="shared" ref="AK36" si="110">AK7/AG7-1</f>
        <v>-0.32467532467532467</v>
      </c>
      <c r="AL36" s="34">
        <f t="shared" ref="AL36" si="111">AL7/AH7-1</f>
        <v>-4.2929292929292928E-2</v>
      </c>
      <c r="AM36" s="34">
        <f t="shared" ref="AM36:AM37" si="112">AM7/AI7-1</f>
        <v>-0.3666666666666667</v>
      </c>
      <c r="AN36" s="34">
        <f t="shared" ref="AN36:AN37" si="113">AN7/AJ7-1</f>
        <v>-0.14150943396226412</v>
      </c>
      <c r="AO36" s="34">
        <f t="shared" ref="AO36:AO37" si="114">AO7/AK7-1</f>
        <v>0.15384615384615374</v>
      </c>
      <c r="AP36" s="34">
        <f t="shared" ref="AP36:AP37" si="115">AP7/AL7-1</f>
        <v>-0.29287598944591031</v>
      </c>
      <c r="AQ36" s="34">
        <f t="shared" ref="AQ36:AQ37" si="116">AQ7/AM7-1</f>
        <v>2.0210526315789474</v>
      </c>
      <c r="AR36" s="34">
        <f t="shared" ref="AR36:AR37" si="117">AR7/AN7-1</f>
        <v>-0.58241758241758235</v>
      </c>
      <c r="AS36" s="34">
        <f t="shared" ref="AS36:AS37" si="118">AS7/AO7-1</f>
        <v>0.10000000000000009</v>
      </c>
      <c r="AT36" s="34">
        <f t="shared" ref="AT36:AT37" si="119">AT7/AP7-1</f>
        <v>-0.30223880597014929</v>
      </c>
      <c r="AU36" s="34">
        <f t="shared" ref="AU36:AU37" si="120">AU7/AQ7-1</f>
        <v>-1.7421602787456414E-2</v>
      </c>
      <c r="AV36" s="34">
        <f t="shared" ref="AV36:AV37" si="121">AV7/AR7-1</f>
        <v>1.6165413533834587</v>
      </c>
      <c r="AW36" s="34">
        <f t="shared" ref="AW36:AW37" si="122">AW7/AS7-1</f>
        <v>0.18767846736596727</v>
      </c>
      <c r="AX36" s="34">
        <f t="shared" ref="AX36:AX37" si="123">AX7/AT7-1</f>
        <v>0.72493315508021383</v>
      </c>
      <c r="AY36" s="34">
        <f t="shared" ref="AY36:AY37" si="124">AY7/AU7-1</f>
        <v>0.30237300704486447</v>
      </c>
      <c r="AZ36" s="34">
        <f t="shared" ref="AZ36:AZ37" si="125">AZ7/AV7-1</f>
        <v>-4.1189140859952955E-2</v>
      </c>
      <c r="BA36" s="34">
        <f t="shared" ref="BA36:BA37" si="126">BA7/AW7-1</f>
        <v>9.0627354290802264E-2</v>
      </c>
      <c r="BB36" s="34">
        <f t="shared" ref="BB36:BB37" si="127">BB7/AX7-1</f>
        <v>-0.6475489246270103</v>
      </c>
      <c r="BC36" s="34">
        <f t="shared" ref="BC36:BC37" si="128">BC7/AY7-1</f>
        <v>-0.22370502174772622</v>
      </c>
      <c r="BD36" s="34">
        <f t="shared" ref="BD36:BD37" si="129">BD7/AZ7-1</f>
        <v>-3.3912613471795416E-2</v>
      </c>
      <c r="BE36" s="34">
        <f t="shared" ref="BE36:BE37" si="130">BE7/BA7-1</f>
        <v>-2.536409354705349E-2</v>
      </c>
      <c r="BF36" s="34">
        <f t="shared" ref="BF36:BF37" si="131">BF7/BB7-1</f>
        <v>-0.22860729338464358</v>
      </c>
      <c r="BG36" s="34">
        <f t="shared" ref="BG36:BG37" si="132">BG7/BC7-1</f>
        <v>-5.0367163292142081E-4</v>
      </c>
      <c r="BH36" s="34">
        <f t="shared" ref="BH36:BH37" si="133">BH7/BD7-1</f>
        <v>0.55981184043913235</v>
      </c>
      <c r="BI36" s="34">
        <f t="shared" ref="BI36:BI37" si="134">BI7/BE7-1</f>
        <v>0.11395089098547961</v>
      </c>
      <c r="BJ36" s="34">
        <f t="shared" ref="BJ36:BJ37" si="135">BJ7/BF7-1</f>
        <v>0.28105167926122498</v>
      </c>
      <c r="BK36" s="34">
        <f t="shared" ref="BK36:BK37" si="136">BK7/BG7-1</f>
        <v>6.9154454493980611E-2</v>
      </c>
      <c r="BL36" s="34">
        <f t="shared" ref="BL36:BL37" si="137">BL7/BH7-1</f>
        <v>-0.3182913464294731</v>
      </c>
      <c r="BM36" s="34">
        <f t="shared" ref="BM36:BM37" si="138">BM7/BI7-1</f>
        <v>-2.0928210279266279E-2</v>
      </c>
      <c r="BN36" s="34">
        <f t="shared" ref="BN36:BN37" si="139">BN7/BJ7-1</f>
        <v>-0.11432097545266173</v>
      </c>
      <c r="BO36" s="35"/>
      <c r="BP36" s="35" t="str">
        <f t="shared" ref="BP36:BP37" si="140">IF(OR(AND(BO7&lt;0,BP7&gt;0),BO7=0),"n/a",BP7/BO7-1)</f>
        <v>n/a</v>
      </c>
      <c r="BQ36" s="35" t="str">
        <f t="shared" ref="BQ36:BQ37" si="141">IF(OR(AND(BP7&lt;0,BQ7&gt;0),BP7=0),"n/a",BQ7/BP7-1)</f>
        <v>n/a</v>
      </c>
      <c r="BR36" s="35" t="str">
        <f t="shared" ref="BR36:BR37" si="142">IF(OR(AND(BQ7&lt;0,BR7&gt;0),BQ7=0),"n/a",BR7/BQ7-1)</f>
        <v>n/a</v>
      </c>
      <c r="BS36" s="35" t="str">
        <f t="shared" ref="BS36:BS37" si="143">IF(OR(AND(BR7&lt;0,BS7&gt;0),BR7=0),"n/a",BS7/BR7-1)</f>
        <v>n/a</v>
      </c>
      <c r="BT36" s="35" t="str">
        <f t="shared" ref="BT36:BT37" si="144">IF(OR(AND(BS7&lt;0,BT7&gt;0),BS7=0),"n/a",BT7/BS7-1)</f>
        <v>n/a</v>
      </c>
      <c r="BU36" s="35">
        <f t="shared" ref="BU36:BU37" si="145">IF(OR(AND(BT7&lt;0,BU7&gt;0),BT7=0),"n/a",BU7/BT7-1)</f>
        <v>4.778605874616404E-2</v>
      </c>
      <c r="BV36" s="35">
        <f t="shared" ref="BV36:BV37" si="146">IF(OR(AND(BU7&lt;0,BV7&gt;0),BU7=0),"n/a",BV7/BU7-1)</f>
        <v>2.384937238493734E-2</v>
      </c>
      <c r="BW36" s="35">
        <f t="shared" ref="BW36:BW37" si="147">IF(OR(AND(BV7&lt;0,BW7&gt;0),BV7=0),"n/a",BW7/BV7-1)</f>
        <v>5.2717613404168473E-2</v>
      </c>
      <c r="BX36" s="35">
        <f t="shared" ref="BX36:BX37" si="148">IF(OR(AND(BW7&lt;0,BX7&gt;0),BW7=0),"n/a",BX7/BW7-1)</f>
        <v>-0.10131987577639756</v>
      </c>
      <c r="BY36" s="35">
        <f t="shared" ref="BY36:BY37" si="149">IF(OR(AND(BX7&lt;0,BY7&gt;0),BX7=0),"n/a",BY7/BX7-1)</f>
        <v>-0.15896328293736506</v>
      </c>
      <c r="BZ36" s="35">
        <f t="shared" ref="BZ36:BZ37" si="150">IF(OR(AND(BY7&lt;0,BZ7&gt;0),BY7=0),"n/a",BZ7/BY7-1)</f>
        <v>-8.577298407806877E-2</v>
      </c>
      <c r="CA36" s="35">
        <f t="shared" ref="CA36:CA37" si="151">IF(OR(AND(BZ7&lt;0,CA7&gt;0),BZ7=0),"n/a",CA7/BZ7-1)</f>
        <v>-0.10224719101123592</v>
      </c>
      <c r="CB36" s="35">
        <f t="shared" ref="CB36:CB37" si="152">IF(OR(AND(CA7&lt;0,CB7&gt;0),CA7=0),"n/a",CB7/CA7-1)</f>
        <v>0.45155858886107625</v>
      </c>
      <c r="CC36" s="35">
        <f t="shared" ref="CC36:CC37" si="153">IF(OR(AND(CB7&lt;0,CC7&gt;0),CB7=0),"n/a",CC7/CB7-1)</f>
        <v>-2.5832847610861687E-2</v>
      </c>
      <c r="CD36" s="35">
        <f t="shared" ref="CD36:CD37" si="154">IF(OR(AND(CC7&lt;0,CD7&gt;0),CC7=0),"n/a",CD7/CC7-1)</f>
        <v>-7.0350959836221749E-2</v>
      </c>
      <c r="CE36" s="35">
        <f t="shared" ref="CE36:CE37" si="155">IF(OR(AND(CD7&lt;0,CE7&gt;0),CD7=0),"n/a",CE7/CD7-1)</f>
        <v>0.24222698227610939</v>
      </c>
      <c r="CF36" s="35">
        <f t="shared" ref="CF36:CF37" si="156">IF(OR(AND(CE7&lt;0,CF7&gt;0),CE7=0),"n/a",CF7/CE7-1)</f>
        <v>-0.12970347530079163</v>
      </c>
    </row>
    <row r="37" spans="1:85" s="307" customFormat="1">
      <c r="A37" s="42" t="s">
        <v>203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 t="s">
        <v>17</v>
      </c>
      <c r="AJ37" s="34" t="s">
        <v>17</v>
      </c>
      <c r="AK37" s="34" t="s">
        <v>17</v>
      </c>
      <c r="AL37" s="34" t="s">
        <v>17</v>
      </c>
      <c r="AM37" s="34">
        <f t="shared" si="112"/>
        <v>0.14691151919866452</v>
      </c>
      <c r="AN37" s="34">
        <f t="shared" si="113"/>
        <v>0.40833333333333344</v>
      </c>
      <c r="AO37" s="34">
        <f t="shared" si="114"/>
        <v>0.33011789924973201</v>
      </c>
      <c r="AP37" s="34">
        <f t="shared" si="115"/>
        <v>3.0456852791878042E-3</v>
      </c>
      <c r="AQ37" s="34">
        <f t="shared" si="116"/>
        <v>0.6055312954876273</v>
      </c>
      <c r="AR37" s="34">
        <f t="shared" si="117"/>
        <v>-4.7337278106508895E-2</v>
      </c>
      <c r="AS37" s="34">
        <f t="shared" si="118"/>
        <v>0.24254633360193401</v>
      </c>
      <c r="AT37" s="34">
        <f t="shared" si="119"/>
        <v>0.31882591093117418</v>
      </c>
      <c r="AU37" s="34">
        <f t="shared" si="120"/>
        <v>-4.4424297370806887E-2</v>
      </c>
      <c r="AV37" s="34">
        <f t="shared" si="121"/>
        <v>0.79347826086956519</v>
      </c>
      <c r="AW37" s="34">
        <f t="shared" si="122"/>
        <v>5.0000000000000044E-2</v>
      </c>
      <c r="AX37" s="34">
        <f t="shared" si="123"/>
        <v>0.12999999999999989</v>
      </c>
      <c r="AY37" s="34">
        <f t="shared" si="124"/>
        <v>9.000000000000008E-2</v>
      </c>
      <c r="AZ37" s="34">
        <f t="shared" si="125"/>
        <v>0.1080000000000001</v>
      </c>
      <c r="BA37" s="34">
        <f t="shared" si="126"/>
        <v>8.8000000000000078E-2</v>
      </c>
      <c r="BB37" s="34">
        <f t="shared" si="127"/>
        <v>8.6999999999999966E-2</v>
      </c>
      <c r="BC37" s="34">
        <f t="shared" si="128"/>
        <v>8.0714707619610193E-2</v>
      </c>
      <c r="BD37" s="34">
        <f t="shared" si="129"/>
        <v>8.2880917459592141E-2</v>
      </c>
      <c r="BE37" s="34">
        <f t="shared" si="130"/>
        <v>7.1593795458142706E-2</v>
      </c>
      <c r="BF37" s="34">
        <f t="shared" si="131"/>
        <v>7.4175272770451439E-2</v>
      </c>
      <c r="BG37" s="34">
        <f t="shared" si="132"/>
        <v>6.6341923318667728E-2</v>
      </c>
      <c r="BH37" s="34">
        <f t="shared" si="133"/>
        <v>6.7459470597764026E-2</v>
      </c>
      <c r="BI37" s="34">
        <f t="shared" si="134"/>
        <v>6.1586883426404837E-2</v>
      </c>
      <c r="BJ37" s="34">
        <f t="shared" si="135"/>
        <v>6.2940887949466173E-2</v>
      </c>
      <c r="BK37" s="34">
        <f t="shared" si="136"/>
        <v>6.6857740709086233E-2</v>
      </c>
      <c r="BL37" s="34">
        <f t="shared" si="137"/>
        <v>6.7991706651668649E-2</v>
      </c>
      <c r="BM37" s="34">
        <f t="shared" si="138"/>
        <v>6.2006150384891212E-2</v>
      </c>
      <c r="BN37" s="34">
        <f t="shared" si="139"/>
        <v>6.3392068087505304E-2</v>
      </c>
      <c r="BO37" s="35"/>
      <c r="BP37" s="35" t="str">
        <f t="shared" si="140"/>
        <v>n/a</v>
      </c>
      <c r="BQ37" s="35" t="str">
        <f t="shared" si="141"/>
        <v>n/a</v>
      </c>
      <c r="BR37" s="35" t="str">
        <f t="shared" si="142"/>
        <v>n/a</v>
      </c>
      <c r="BS37" s="35" t="str">
        <f t="shared" si="143"/>
        <v>n/a</v>
      </c>
      <c r="BT37" s="35" t="str">
        <f t="shared" si="144"/>
        <v>n/a</v>
      </c>
      <c r="BU37" s="35" t="str">
        <f t="shared" si="145"/>
        <v>n/a</v>
      </c>
      <c r="BV37" s="35" t="str">
        <f t="shared" si="146"/>
        <v>n/a</v>
      </c>
      <c r="BW37" s="35" t="str">
        <f t="shared" si="147"/>
        <v>n/a</v>
      </c>
      <c r="BX37" s="35" t="str">
        <f t="shared" si="148"/>
        <v>n/a</v>
      </c>
      <c r="BY37" s="35" t="str">
        <f t="shared" si="149"/>
        <v>n/a</v>
      </c>
      <c r="BZ37" s="35" t="str">
        <f t="shared" si="150"/>
        <v>n/a</v>
      </c>
      <c r="CA37" s="35">
        <f t="shared" si="151"/>
        <v>0.27839643652561241</v>
      </c>
      <c r="CB37" s="35">
        <f t="shared" si="152"/>
        <v>0.15428789198606263</v>
      </c>
      <c r="CC37" s="35">
        <f t="shared" si="153"/>
        <v>9.2478002977083085E-2</v>
      </c>
      <c r="CD37" s="35">
        <f t="shared" si="154"/>
        <v>7.6611325779874395E-2</v>
      </c>
      <c r="CE37" s="35">
        <f t="shared" si="155"/>
        <v>6.4212661484258193E-2</v>
      </c>
      <c r="CF37" s="35">
        <f t="shared" si="156"/>
        <v>6.4690604799682916E-2</v>
      </c>
    </row>
    <row r="38" spans="1:85" s="307" customFormat="1">
      <c r="A38" s="266" t="s">
        <v>289</v>
      </c>
      <c r="B38" s="34" t="s">
        <v>17</v>
      </c>
      <c r="C38" s="34" t="s">
        <v>17</v>
      </c>
      <c r="D38" s="34" t="s">
        <v>17</v>
      </c>
      <c r="E38" s="34" t="s">
        <v>17</v>
      </c>
      <c r="F38" s="34">
        <f t="shared" ref="F38:AK38" si="157">F9/B9-1</f>
        <v>0.17058823529411771</v>
      </c>
      <c r="G38" s="34">
        <f t="shared" si="157"/>
        <v>-2.7829313543599299E-2</v>
      </c>
      <c r="H38" s="34">
        <f t="shared" si="157"/>
        <v>0.1696832579185521</v>
      </c>
      <c r="I38" s="34">
        <f t="shared" si="157"/>
        <v>0.17092198581560281</v>
      </c>
      <c r="J38" s="34">
        <f t="shared" si="157"/>
        <v>-1.8090452261306567E-2</v>
      </c>
      <c r="K38" s="34">
        <f t="shared" si="157"/>
        <v>-6.2977099236641187E-2</v>
      </c>
      <c r="L38" s="34">
        <f t="shared" si="157"/>
        <v>4.4487427466150864E-2</v>
      </c>
      <c r="M38" s="34">
        <f t="shared" si="157"/>
        <v>-0.28407026044821315</v>
      </c>
      <c r="N38" s="34">
        <f t="shared" si="157"/>
        <v>6.4483111566018492E-2</v>
      </c>
      <c r="O38" s="34">
        <f t="shared" si="157"/>
        <v>8.1466395112015366E-3</v>
      </c>
      <c r="P38" s="34">
        <f t="shared" si="157"/>
        <v>-3.703703703703709E-2</v>
      </c>
      <c r="Q38" s="34">
        <f t="shared" si="157"/>
        <v>0.32994923857868019</v>
      </c>
      <c r="R38" s="34">
        <f t="shared" si="157"/>
        <v>-0.12115384615384617</v>
      </c>
      <c r="S38" s="34">
        <f t="shared" si="157"/>
        <v>0.56565656565656575</v>
      </c>
      <c r="T38" s="34">
        <f t="shared" si="157"/>
        <v>0.17307692307692313</v>
      </c>
      <c r="U38" s="34">
        <f t="shared" si="157"/>
        <v>-9.1603053435114545E-2</v>
      </c>
      <c r="V38" s="34">
        <f t="shared" si="157"/>
        <v>-1.969365426695846E-2</v>
      </c>
      <c r="W38" s="34">
        <f t="shared" si="157"/>
        <v>-0.10580645161290325</v>
      </c>
      <c r="X38" s="34">
        <f t="shared" si="157"/>
        <v>-6.0655737704918056E-2</v>
      </c>
      <c r="Y38" s="34">
        <f t="shared" si="157"/>
        <v>0.26260504201680668</v>
      </c>
      <c r="Z38" s="34">
        <f t="shared" si="157"/>
        <v>3.125E-2</v>
      </c>
      <c r="AA38" s="34">
        <f t="shared" si="157"/>
        <v>-1.5873015873015928E-2</v>
      </c>
      <c r="AB38" s="34">
        <f t="shared" si="157"/>
        <v>-4.1884816753926746E-2</v>
      </c>
      <c r="AC38" s="34">
        <f t="shared" si="157"/>
        <v>0.14808652246256249</v>
      </c>
      <c r="AD38" s="34">
        <f t="shared" si="157"/>
        <v>0.18181818181818188</v>
      </c>
      <c r="AE38" s="34">
        <f t="shared" si="157"/>
        <v>0.13636363636363646</v>
      </c>
      <c r="AF38" s="34">
        <f t="shared" si="157"/>
        <v>7.3770491803278659E-2</v>
      </c>
      <c r="AG38" s="34">
        <f t="shared" si="157"/>
        <v>-4.7826086956521685E-2</v>
      </c>
      <c r="AH38" s="34">
        <f t="shared" si="157"/>
        <v>0.14926739926739918</v>
      </c>
      <c r="AI38" s="34">
        <f t="shared" si="157"/>
        <v>-3.3548387096774213E-2</v>
      </c>
      <c r="AJ38" s="34">
        <f t="shared" si="157"/>
        <v>3.6471586089906749E-2</v>
      </c>
      <c r="AK38" s="34">
        <f t="shared" si="157"/>
        <v>-0.18366311516996447</v>
      </c>
      <c r="AL38" s="34">
        <f t="shared" ref="AL38:BN38" si="158">AL9/AH9-1</f>
        <v>8.6852589641434275E-2</v>
      </c>
      <c r="AM38" s="34">
        <f t="shared" si="158"/>
        <v>4.4058744993324517E-2</v>
      </c>
      <c r="AN38" s="34">
        <f t="shared" si="158"/>
        <v>7.4468085106383031E-2</v>
      </c>
      <c r="AO38" s="34">
        <f t="shared" si="158"/>
        <v>0.25605966438781858</v>
      </c>
      <c r="AP38" s="34">
        <f t="shared" si="158"/>
        <v>-7.9178885630498574E-2</v>
      </c>
      <c r="AQ38" s="34">
        <f t="shared" si="158"/>
        <v>0.77749360613810747</v>
      </c>
      <c r="AR38" s="34">
        <f t="shared" si="158"/>
        <v>-0.30693069306930698</v>
      </c>
      <c r="AS38" s="34">
        <f t="shared" si="158"/>
        <v>0.18753092528451254</v>
      </c>
      <c r="AT38" s="34">
        <f t="shared" si="158"/>
        <v>0.18630573248407645</v>
      </c>
      <c r="AU38" s="34">
        <f t="shared" si="158"/>
        <v>-3.8848920863309377E-2</v>
      </c>
      <c r="AV38" s="34">
        <f t="shared" si="158"/>
        <v>1.0340659340659339</v>
      </c>
      <c r="AW38" s="34">
        <f t="shared" si="158"/>
        <v>9.922005208333351E-2</v>
      </c>
      <c r="AX38" s="34">
        <f t="shared" si="158"/>
        <v>0.2046661073825502</v>
      </c>
      <c r="AY38" s="34">
        <f t="shared" si="158"/>
        <v>0.13482723651695494</v>
      </c>
      <c r="AZ38" s="34">
        <f t="shared" si="158"/>
        <v>5.1902948655576875E-2</v>
      </c>
      <c r="BA38" s="34">
        <f t="shared" si="158"/>
        <v>8.9014866522704184E-2</v>
      </c>
      <c r="BB38" s="34">
        <f t="shared" si="158"/>
        <v>-4.500234407317194E-2</v>
      </c>
      <c r="BC38" s="34">
        <f t="shared" si="158"/>
        <v>6.9716600628724201E-3</v>
      </c>
      <c r="BD38" s="34">
        <f t="shared" si="158"/>
        <v>4.2851535874261604E-2</v>
      </c>
      <c r="BE38" s="34">
        <f t="shared" si="158"/>
        <v>3.4086477019892092E-2</v>
      </c>
      <c r="BF38" s="34">
        <f t="shared" si="158"/>
        <v>5.4094134989963294E-2</v>
      </c>
      <c r="BG38" s="34">
        <f t="shared" si="158"/>
        <v>5.385858882107164E-2</v>
      </c>
      <c r="BH38" s="34">
        <f t="shared" si="158"/>
        <v>0.22378505174006702</v>
      </c>
      <c r="BI38" s="34">
        <f t="shared" si="158"/>
        <v>8.0678877440497843E-2</v>
      </c>
      <c r="BJ38" s="34">
        <f t="shared" si="158"/>
        <v>7.3526859813587642E-2</v>
      </c>
      <c r="BK38" s="34">
        <f t="shared" si="158"/>
        <v>6.7264524421604577E-2</v>
      </c>
      <c r="BL38" s="34">
        <f t="shared" si="158"/>
        <v>-8.8332683513174137E-2</v>
      </c>
      <c r="BM38" s="34">
        <f t="shared" si="158"/>
        <v>3.0837191511926321E-2</v>
      </c>
      <c r="BN38" s="34">
        <f t="shared" si="158"/>
        <v>5.3099431907517092E-2</v>
      </c>
      <c r="BO38" s="35"/>
      <c r="BP38" s="35" t="str">
        <f t="shared" ref="BP38:CF38" si="159">IF(OR(AND(BO9&lt;0,BP9&gt;0),BO9=0),"n/a",BP9/BO9-1)</f>
        <v>n/a</v>
      </c>
      <c r="BQ38" s="35">
        <f t="shared" si="159"/>
        <v>3.937007874015741E-2</v>
      </c>
      <c r="BR38" s="35">
        <f t="shared" si="159"/>
        <v>9.3521421107628067E-2</v>
      </c>
      <c r="BS38" s="35">
        <f t="shared" si="159"/>
        <v>-9.388437649307213E-2</v>
      </c>
      <c r="BT38" s="35">
        <f t="shared" si="159"/>
        <v>6.0110730292644243E-2</v>
      </c>
      <c r="BU38" s="35">
        <f t="shared" si="159"/>
        <v>7.4110917682168598E-2</v>
      </c>
      <c r="BV38" s="35">
        <f t="shared" si="159"/>
        <v>5.7189164158369943E-2</v>
      </c>
      <c r="BW38" s="35">
        <f t="shared" si="159"/>
        <v>8.2347787998247934E-2</v>
      </c>
      <c r="BX38" s="35">
        <f t="shared" si="159"/>
        <v>4.8158640226628968E-2</v>
      </c>
      <c r="BY38" s="35">
        <f t="shared" si="159"/>
        <v>-4.5559845559845602E-2</v>
      </c>
      <c r="BZ38" s="35">
        <f t="shared" si="159"/>
        <v>8.6569579288025889E-2</v>
      </c>
      <c r="CA38" s="35">
        <f t="shared" si="159"/>
        <v>0.15227103499627703</v>
      </c>
      <c r="CB38" s="35">
        <f t="shared" si="159"/>
        <v>0.2310307956381259</v>
      </c>
      <c r="CC38" s="35">
        <f t="shared" si="159"/>
        <v>5.6463588777945661E-2</v>
      </c>
      <c r="CD38" s="35">
        <f t="shared" si="159"/>
        <v>3.5360122232258817E-2</v>
      </c>
      <c r="CE38" s="35">
        <f t="shared" si="159"/>
        <v>0.10907823869509081</v>
      </c>
      <c r="CF38" s="35">
        <f t="shared" si="159"/>
        <v>9.8148979634842259E-3</v>
      </c>
    </row>
    <row r="39" spans="1:85" s="636" customFormat="1">
      <c r="A39" s="8" t="s">
        <v>121</v>
      </c>
      <c r="B39" s="34" t="s">
        <v>17</v>
      </c>
      <c r="C39" s="34" t="s">
        <v>17</v>
      </c>
      <c r="D39" s="34" t="s">
        <v>17</v>
      </c>
      <c r="E39" s="34" t="s">
        <v>17</v>
      </c>
      <c r="F39" s="34">
        <f t="shared" ref="F39:O40" si="160">IF(AND(B11&lt;0,F11&gt;0),"n/a",F11/B11-1)</f>
        <v>9.7972972972973027E-2</v>
      </c>
      <c r="G39" s="34">
        <f t="shared" si="160"/>
        <v>8.256880733944949E-2</v>
      </c>
      <c r="H39" s="34">
        <f t="shared" si="160"/>
        <v>0.17451523545706382</v>
      </c>
      <c r="I39" s="34">
        <f t="shared" si="160"/>
        <v>-7.5601374570446689E-2</v>
      </c>
      <c r="J39" s="34">
        <f t="shared" si="160"/>
        <v>6.4615384615384519E-2</v>
      </c>
      <c r="K39" s="34">
        <f t="shared" si="160"/>
        <v>-0.19915254237288138</v>
      </c>
      <c r="L39" s="34">
        <f t="shared" si="160"/>
        <v>1.6509433962264231E-2</v>
      </c>
      <c r="M39" s="34">
        <f t="shared" si="160"/>
        <v>-0.24535315985130113</v>
      </c>
      <c r="N39" s="34">
        <f t="shared" si="160"/>
        <v>-0.22832369942196529</v>
      </c>
      <c r="O39" s="34">
        <f t="shared" si="160"/>
        <v>-5.2910052910052907E-2</v>
      </c>
      <c r="P39" s="34">
        <f t="shared" ref="P39:Y40" si="161">IF(AND(L11&lt;0,P11&gt;0),"n/a",P11/L11-1)</f>
        <v>-7.6566125290023157E-2</v>
      </c>
      <c r="Q39" s="34">
        <f t="shared" si="161"/>
        <v>0.23399014778325133</v>
      </c>
      <c r="R39" s="34">
        <f t="shared" si="161"/>
        <v>-0.2247191011235955</v>
      </c>
      <c r="S39" s="34">
        <f t="shared" si="161"/>
        <v>0.2905027932960893</v>
      </c>
      <c r="T39" s="34">
        <f t="shared" si="161"/>
        <v>4.020100502512558E-2</v>
      </c>
      <c r="U39" s="34">
        <f t="shared" si="161"/>
        <v>-0.22554890219560875</v>
      </c>
      <c r="V39" s="34">
        <f t="shared" si="161"/>
        <v>6.2801932367149815E-2</v>
      </c>
      <c r="W39" s="34">
        <f t="shared" si="161"/>
        <v>-0.30303030303030298</v>
      </c>
      <c r="X39" s="34">
        <f t="shared" si="161"/>
        <v>-4.106280193236711E-2</v>
      </c>
      <c r="Y39" s="34">
        <f t="shared" si="161"/>
        <v>0.37628865979381443</v>
      </c>
      <c r="Z39" s="34">
        <f t="shared" ref="Z39:AI40" si="162">IF(AND(V11&lt;0,Z11&gt;0),"n/a",Z11/V11-1)</f>
        <v>-3.1818181818181857E-2</v>
      </c>
      <c r="AA39" s="34">
        <f t="shared" si="162"/>
        <v>2.4844720496894457E-2</v>
      </c>
      <c r="AB39" s="34">
        <f t="shared" si="162"/>
        <v>-2.267002518891692E-2</v>
      </c>
      <c r="AC39" s="34">
        <f t="shared" si="162"/>
        <v>-6.7415730337078705E-2</v>
      </c>
      <c r="AD39" s="34">
        <f t="shared" si="162"/>
        <v>-5.633802816901412E-2</v>
      </c>
      <c r="AE39" s="34">
        <f t="shared" si="162"/>
        <v>-7.2727272727272751E-2</v>
      </c>
      <c r="AF39" s="34">
        <f t="shared" si="162"/>
        <v>0</v>
      </c>
      <c r="AG39" s="34">
        <f t="shared" si="162"/>
        <v>6.0240963855422436E-3</v>
      </c>
      <c r="AH39" s="34">
        <f t="shared" si="162"/>
        <v>0.1484564564102564</v>
      </c>
      <c r="AI39" s="34">
        <f t="shared" si="162"/>
        <v>7.1895424836601274E-2</v>
      </c>
      <c r="AJ39" s="34">
        <f t="shared" ref="AJ39:AS40" si="163">IF(AND(AF11&lt;0,AJ11&gt;0),"n/a",AJ11/AF11-1)</f>
        <v>-4.123711340206182E-2</v>
      </c>
      <c r="AK39" s="34">
        <f t="shared" si="163"/>
        <v>-0.27544910179640714</v>
      </c>
      <c r="AL39" s="34">
        <f t="shared" si="163"/>
        <v>-1.663382401029101E-2</v>
      </c>
      <c r="AM39" s="34">
        <f t="shared" si="163"/>
        <v>-0.11585365853658536</v>
      </c>
      <c r="AN39" s="34">
        <f t="shared" si="163"/>
        <v>-1.6129032258064502E-2</v>
      </c>
      <c r="AO39" s="34">
        <f t="shared" si="163"/>
        <v>0.26446280991735538</v>
      </c>
      <c r="AP39" s="34">
        <f t="shared" si="163"/>
        <v>-2.2026431718061623E-2</v>
      </c>
      <c r="AQ39" s="34">
        <f t="shared" si="163"/>
        <v>0.97931034482758617</v>
      </c>
      <c r="AR39" s="34">
        <f t="shared" si="163"/>
        <v>-0.22404371584699456</v>
      </c>
      <c r="AS39" s="34">
        <f t="shared" si="163"/>
        <v>0.30718954248366015</v>
      </c>
      <c r="AT39" s="34">
        <f t="shared" ref="AT39:BC40" si="164">IF(AND(AP11&lt;0,AT11&gt;0),"n/a",AT11/AP11-1)</f>
        <v>0.4144144144144144</v>
      </c>
      <c r="AU39" s="34">
        <f t="shared" si="164"/>
        <v>1.7421602787456525E-2</v>
      </c>
      <c r="AV39" s="34">
        <f t="shared" si="164"/>
        <v>0.65492957746478875</v>
      </c>
      <c r="AW39" s="34">
        <f t="shared" si="164"/>
        <v>-3.268635416666632E-2</v>
      </c>
      <c r="AX39" s="34">
        <f t="shared" si="164"/>
        <v>0.20466610738254998</v>
      </c>
      <c r="AY39" s="34">
        <f t="shared" si="164"/>
        <v>0.14001945976348495</v>
      </c>
      <c r="AZ39" s="34">
        <f t="shared" si="164"/>
        <v>5.6045655800176064E-2</v>
      </c>
      <c r="BA39" s="34">
        <f t="shared" si="164"/>
        <v>9.3964934097807262E-2</v>
      </c>
      <c r="BB39" s="34">
        <f t="shared" si="164"/>
        <v>-4.0470667298232343E-2</v>
      </c>
      <c r="BC39" s="34">
        <f t="shared" si="164"/>
        <v>-2.200852945037246E-3</v>
      </c>
      <c r="BD39" s="34">
        <f t="shared" ref="BD39:BM40" si="165">IF(AND(AZ11&lt;0,BD11&gt;0),"n/a",BD11/AZ11-1)</f>
        <v>3.4669638652879087E-2</v>
      </c>
      <c r="BE39" s="34">
        <f t="shared" si="165"/>
        <v>2.4728228359078619E-2</v>
      </c>
      <c r="BF39" s="34">
        <f t="shared" si="165"/>
        <v>4.4137557848785924E-2</v>
      </c>
      <c r="BG39" s="34">
        <f t="shared" si="165"/>
        <v>4.9014662243770157E-2</v>
      </c>
      <c r="BH39" s="34">
        <f t="shared" si="165"/>
        <v>0.21894636548682089</v>
      </c>
      <c r="BI39" s="34">
        <f t="shared" si="165"/>
        <v>7.5744270694193983E-2</v>
      </c>
      <c r="BJ39" s="34">
        <f t="shared" si="165"/>
        <v>6.8408447535189376E-2</v>
      </c>
      <c r="BK39" s="34">
        <f t="shared" si="165"/>
        <v>6.4800425881837986E-2</v>
      </c>
      <c r="BL39" s="34">
        <f t="shared" si="165"/>
        <v>-9.0142144633334476E-2</v>
      </c>
      <c r="BM39" s="34">
        <f t="shared" si="165"/>
        <v>2.8472886026807309E-2</v>
      </c>
      <c r="BN39" s="34">
        <f t="shared" ref="BN39:BN40" si="166">IF(AND(BJ11&lt;0,BN11&gt;0),"n/a",BN11/BJ11-1)</f>
        <v>5.0576896132419336E-2</v>
      </c>
      <c r="BO39" s="35"/>
      <c r="BP39" s="35" t="s">
        <v>17</v>
      </c>
      <c r="BQ39" s="35">
        <f t="shared" ref="BQ39:CF39" si="167">IF(AND(BP11&lt;0,BQ11&gt;0),"n/a",BQ11/BP11-1)</f>
        <v>-0.19978459881529353</v>
      </c>
      <c r="BR39" s="35">
        <f t="shared" si="167"/>
        <v>3.9030955585464433E-2</v>
      </c>
      <c r="BS39" s="35">
        <f t="shared" si="167"/>
        <v>-0.16256476683937826</v>
      </c>
      <c r="BT39" s="35">
        <f t="shared" si="167"/>
        <v>-6.1871616395978712E-3</v>
      </c>
      <c r="BU39" s="35">
        <f t="shared" si="167"/>
        <v>-2.4902723735408583E-2</v>
      </c>
      <c r="BV39" s="35">
        <f t="shared" si="167"/>
        <v>4.1500399042298408E-2</v>
      </c>
      <c r="BW39" s="35">
        <f t="shared" si="167"/>
        <v>-4.0613026819923403E-2</v>
      </c>
      <c r="BX39" s="35">
        <f t="shared" si="167"/>
        <v>1.6645165925288641E-2</v>
      </c>
      <c r="BY39" s="35">
        <f t="shared" si="167"/>
        <v>-0.1153638924297905</v>
      </c>
      <c r="BZ39" s="35">
        <f t="shared" si="167"/>
        <v>5.861456483126104E-2</v>
      </c>
      <c r="CA39" s="35">
        <f t="shared" si="167"/>
        <v>0.24580536912751683</v>
      </c>
      <c r="CB39" s="35">
        <f t="shared" si="167"/>
        <v>0.15868912135900404</v>
      </c>
      <c r="CC39" s="35">
        <f t="shared" si="167"/>
        <v>6.1868728651200522E-2</v>
      </c>
      <c r="CD39" s="35">
        <f t="shared" si="167"/>
        <v>2.6378251833524713E-2</v>
      </c>
      <c r="CE39" s="35">
        <f t="shared" si="167"/>
        <v>0.10874315136022594</v>
      </c>
      <c r="CF39" s="35">
        <f t="shared" si="167"/>
        <v>3.153878062908122E-3</v>
      </c>
      <c r="CG39" s="635"/>
    </row>
    <row r="40" spans="1:85" s="637" customFormat="1">
      <c r="A40" s="8" t="s">
        <v>371</v>
      </c>
      <c r="B40" s="34" t="s">
        <v>17</v>
      </c>
      <c r="C40" s="34" t="s">
        <v>17</v>
      </c>
      <c r="D40" s="34" t="s">
        <v>17</v>
      </c>
      <c r="E40" s="34" t="s">
        <v>17</v>
      </c>
      <c r="F40" s="34">
        <f t="shared" si="160"/>
        <v>0.20938628158844774</v>
      </c>
      <c r="G40" s="34">
        <f t="shared" si="160"/>
        <v>-0.10280373831775702</v>
      </c>
      <c r="H40" s="34">
        <f t="shared" si="160"/>
        <v>0.16634799235181652</v>
      </c>
      <c r="I40" s="34">
        <f t="shared" si="160"/>
        <v>0.34420289855072461</v>
      </c>
      <c r="J40" s="34">
        <f t="shared" si="160"/>
        <v>-5.8208955223880587E-2</v>
      </c>
      <c r="K40" s="34">
        <f t="shared" si="160"/>
        <v>4.861111111111116E-2</v>
      </c>
      <c r="L40" s="34">
        <f t="shared" si="160"/>
        <v>6.393442622950829E-2</v>
      </c>
      <c r="M40" s="34">
        <f t="shared" si="160"/>
        <v>-0.30278526504941594</v>
      </c>
      <c r="N40" s="34">
        <f t="shared" si="160"/>
        <v>0.22503961965134711</v>
      </c>
      <c r="O40" s="34">
        <f t="shared" si="160"/>
        <v>4.635761589403975E-2</v>
      </c>
      <c r="P40" s="34">
        <f t="shared" si="161"/>
        <v>-1.0785824345146411E-2</v>
      </c>
      <c r="Q40" s="34">
        <f t="shared" si="161"/>
        <v>0.38015463917525771</v>
      </c>
      <c r="R40" s="34">
        <f t="shared" si="161"/>
        <v>-8.5381630012936638E-2</v>
      </c>
      <c r="S40" s="34">
        <f t="shared" si="161"/>
        <v>0.72151898734177222</v>
      </c>
      <c r="T40" s="34">
        <f t="shared" si="161"/>
        <v>0.25545171339563866</v>
      </c>
      <c r="U40" s="34">
        <f t="shared" si="161"/>
        <v>-2.8944911297852483E-2</v>
      </c>
      <c r="V40" s="34">
        <f t="shared" si="161"/>
        <v>-4.3847241867043807E-2</v>
      </c>
      <c r="W40" s="34">
        <f t="shared" si="161"/>
        <v>-2.2058823529411797E-2</v>
      </c>
      <c r="X40" s="34">
        <f t="shared" si="161"/>
        <v>-7.071960297766744E-2</v>
      </c>
      <c r="Y40" s="34">
        <f t="shared" si="161"/>
        <v>0.2201923076923078</v>
      </c>
      <c r="Z40" s="34">
        <f t="shared" si="162"/>
        <v>5.177514792899407E-2</v>
      </c>
      <c r="AA40" s="34">
        <f t="shared" si="162"/>
        <v>-2.8195488721804551E-2</v>
      </c>
      <c r="AB40" s="34">
        <f t="shared" si="162"/>
        <v>-5.206942590120156E-2</v>
      </c>
      <c r="AC40" s="34">
        <f t="shared" si="162"/>
        <v>0.23877068557919623</v>
      </c>
      <c r="AD40" s="34">
        <f t="shared" si="162"/>
        <v>0.25316455696202533</v>
      </c>
      <c r="AE40" s="34">
        <f t="shared" si="162"/>
        <v>0.20309477756286265</v>
      </c>
      <c r="AF40" s="34">
        <f t="shared" si="162"/>
        <v>0.11408450704225359</v>
      </c>
      <c r="AG40" s="34">
        <f t="shared" si="162"/>
        <v>-6.4885496183206159E-2</v>
      </c>
      <c r="AH40" s="34">
        <f t="shared" si="162"/>
        <v>0.14945033923853934</v>
      </c>
      <c r="AI40" s="34">
        <f t="shared" si="162"/>
        <v>-5.9485530546623755E-2</v>
      </c>
      <c r="AJ40" s="34">
        <f t="shared" si="163"/>
        <v>7.4589127686472745E-2</v>
      </c>
      <c r="AK40" s="34">
        <f t="shared" si="163"/>
        <v>-0.15238095238095239</v>
      </c>
      <c r="AL40" s="34">
        <f t="shared" si="163"/>
        <v>0.11017782372367035</v>
      </c>
      <c r="AM40" s="34">
        <f t="shared" si="163"/>
        <v>8.8888888888888795E-2</v>
      </c>
      <c r="AN40" s="34">
        <f t="shared" si="163"/>
        <v>0.11411764705882343</v>
      </c>
      <c r="AO40" s="34">
        <f t="shared" si="163"/>
        <v>0.25361155698234339</v>
      </c>
      <c r="AP40" s="34">
        <f t="shared" si="163"/>
        <v>-9.058927000879502E-2</v>
      </c>
      <c r="AQ40" s="34">
        <f t="shared" si="163"/>
        <v>0.7315541601255886</v>
      </c>
      <c r="AR40" s="34">
        <f t="shared" si="163"/>
        <v>-0.33896515311510034</v>
      </c>
      <c r="AS40" s="34">
        <f t="shared" si="163"/>
        <v>0.15236875800256078</v>
      </c>
      <c r="AT40" s="34">
        <f t="shared" si="164"/>
        <v>0.13733075435203101</v>
      </c>
      <c r="AU40" s="34">
        <f t="shared" si="164"/>
        <v>-5.3490480507706217E-2</v>
      </c>
      <c r="AV40" s="34">
        <f t="shared" si="164"/>
        <v>1.2060702875399363</v>
      </c>
      <c r="AW40" s="34">
        <f t="shared" si="164"/>
        <v>0.1431888541666666</v>
      </c>
      <c r="AX40" s="34">
        <f t="shared" si="164"/>
        <v>0.20466610738255042</v>
      </c>
      <c r="AY40" s="34">
        <f t="shared" si="164"/>
        <v>0.13337500549397929</v>
      </c>
      <c r="AZ40" s="34">
        <f t="shared" si="164"/>
        <v>5.0493048323960954E-2</v>
      </c>
      <c r="BA40" s="34">
        <f t="shared" si="164"/>
        <v>8.7618693616905885E-2</v>
      </c>
      <c r="BB40" s="34">
        <f t="shared" si="164"/>
        <v>-4.6212332599813943E-2</v>
      </c>
      <c r="BC40" s="34">
        <f t="shared" si="164"/>
        <v>9.5521925025541243E-3</v>
      </c>
      <c r="BD40" s="34">
        <f t="shared" si="165"/>
        <v>4.5650824700781856E-2</v>
      </c>
      <c r="BE40" s="34">
        <f t="shared" si="165"/>
        <v>3.6741384534705768E-2</v>
      </c>
      <c r="BF40" s="34">
        <f t="shared" si="165"/>
        <v>5.6768612450581069E-2</v>
      </c>
      <c r="BG40" s="34">
        <f t="shared" si="165"/>
        <v>5.5205481183589367E-2</v>
      </c>
      <c r="BH40" s="34">
        <f t="shared" si="165"/>
        <v>0.2254231357641383</v>
      </c>
      <c r="BI40" s="34">
        <f t="shared" si="165"/>
        <v>8.2062589191381985E-2</v>
      </c>
      <c r="BJ40" s="34">
        <f t="shared" si="165"/>
        <v>7.4885304489230142E-2</v>
      </c>
      <c r="BK40" s="34">
        <f t="shared" si="165"/>
        <v>6.7945666844745345E-2</v>
      </c>
      <c r="BL40" s="34">
        <f t="shared" si="165"/>
        <v>-8.7723348001700563E-2</v>
      </c>
      <c r="BM40" s="34">
        <f t="shared" si="165"/>
        <v>3.1496294575552808E-2</v>
      </c>
      <c r="BN40" s="34">
        <f t="shared" si="166"/>
        <v>5.3764887705555209E-2</v>
      </c>
      <c r="BO40" s="35"/>
      <c r="BP40" s="35" t="s">
        <v>17</v>
      </c>
      <c r="BQ40" s="35">
        <f t="shared" ref="BQ40:CF40" si="168">IF(AND(BP12&lt;0,BQ12&gt;0),"n/a",BQ12/BP12-1)</f>
        <v>0.28258488499452361</v>
      </c>
      <c r="BR40" s="35">
        <f t="shared" si="168"/>
        <v>0.12809564474807855</v>
      </c>
      <c r="BS40" s="35">
        <f t="shared" si="168"/>
        <v>-5.374716124148371E-2</v>
      </c>
      <c r="BT40" s="35">
        <f t="shared" si="168"/>
        <v>9.4400000000000039E-2</v>
      </c>
      <c r="BU40" s="35">
        <f t="shared" si="168"/>
        <v>0.1206140350877194</v>
      </c>
      <c r="BV40" s="35">
        <f t="shared" si="168"/>
        <v>6.3600782778864939E-2</v>
      </c>
      <c r="BW40" s="35">
        <f t="shared" si="168"/>
        <v>0.13155473781048754</v>
      </c>
      <c r="BX40" s="35">
        <f t="shared" si="168"/>
        <v>5.8851016873045614E-2</v>
      </c>
      <c r="BY40" s="35">
        <f t="shared" si="168"/>
        <v>-2.2819707026332181E-2</v>
      </c>
      <c r="BZ40" s="35">
        <f t="shared" si="168"/>
        <v>9.4814038763750608E-2</v>
      </c>
      <c r="CA40" s="35">
        <f t="shared" si="168"/>
        <v>0.12559808612440193</v>
      </c>
      <c r="CB40" s="35">
        <f t="shared" si="168"/>
        <v>0.25386339634046307</v>
      </c>
      <c r="CC40" s="35">
        <f t="shared" si="168"/>
        <v>5.4887101508382941E-2</v>
      </c>
      <c r="CD40" s="35">
        <f t="shared" si="168"/>
        <v>3.7997152802858425E-2</v>
      </c>
      <c r="CE40" s="35">
        <f t="shared" si="168"/>
        <v>0.10917551737588016</v>
      </c>
      <c r="CF40" s="35">
        <f t="shared" si="168"/>
        <v>1.1747894454283703E-2</v>
      </c>
    </row>
    <row r="41" spans="1:85" s="637" customFormat="1">
      <c r="A41" s="8" t="s">
        <v>375</v>
      </c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>
        <f>IF(AND(AE19&lt;0,AI19&gt;0),"n/a",AI19/AE19-1)</f>
        <v>-0.48993288590604023</v>
      </c>
      <c r="AJ41" s="34">
        <f t="shared" ref="AJ41:BB41" si="169">IF(AND(AF19&lt;0,AJ19&gt;0),"n/a",AJ19/AF19-1)</f>
        <v>0.26909090909090905</v>
      </c>
      <c r="AK41" s="34">
        <f t="shared" si="169"/>
        <v>-0.18130630630630629</v>
      </c>
      <c r="AL41" s="34">
        <f t="shared" si="169"/>
        <v>-8.1753983334850622E-2</v>
      </c>
      <c r="AM41" s="34">
        <f t="shared" si="169"/>
        <v>0.90789473684210531</v>
      </c>
      <c r="AN41" s="34">
        <f t="shared" si="169"/>
        <v>0.16332378223495692</v>
      </c>
      <c r="AO41" s="34">
        <f t="shared" si="169"/>
        <v>0.33975240715268229</v>
      </c>
      <c r="AP41" s="34">
        <f t="shared" si="169"/>
        <v>-8.8709677419354871E-2</v>
      </c>
      <c r="AQ41" s="34">
        <f t="shared" si="169"/>
        <v>2.7655172413793103</v>
      </c>
      <c r="AR41" s="34">
        <f t="shared" si="169"/>
        <v>-0.83497536945812811</v>
      </c>
      <c r="AS41" s="34">
        <f t="shared" si="169"/>
        <v>0.17043121149897322</v>
      </c>
      <c r="AT41" s="34">
        <f t="shared" si="169"/>
        <v>0.11504424778761058</v>
      </c>
      <c r="AU41" s="34">
        <f t="shared" si="169"/>
        <v>-0.26923076923076927</v>
      </c>
      <c r="AV41" s="34">
        <f t="shared" si="169"/>
        <v>8.8507462686567155</v>
      </c>
      <c r="AW41" s="34">
        <f t="shared" si="169"/>
        <v>8.3150525686759735E-2</v>
      </c>
      <c r="AX41" s="34">
        <f t="shared" si="169"/>
        <v>0.21169719457682978</v>
      </c>
      <c r="AY41" s="34">
        <f t="shared" si="169"/>
        <v>0.19589081132200281</v>
      </c>
      <c r="AZ41" s="34">
        <f t="shared" si="169"/>
        <v>2.9833706321874764E-2</v>
      </c>
      <c r="BA41" s="34">
        <f t="shared" si="169"/>
        <v>3.8527335208518698E-2</v>
      </c>
      <c r="BB41" s="34">
        <f t="shared" si="169"/>
        <v>-8.1780582465262874E-2</v>
      </c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5"/>
      <c r="BP41" s="35"/>
      <c r="BQ41" s="35"/>
      <c r="BR41" s="35"/>
      <c r="BS41" s="35"/>
      <c r="BT41" s="35"/>
      <c r="BU41" s="35"/>
      <c r="BV41" s="35"/>
      <c r="BW41" s="35"/>
      <c r="BX41" s="35"/>
      <c r="BY41" s="35">
        <f>BY19/BX19-1</f>
        <v>-0.11022817923678752</v>
      </c>
      <c r="BZ41" s="35">
        <f t="shared" ref="BZ41:CF41" si="170">BZ19/BY19-1</f>
        <v>0.19963592233009719</v>
      </c>
      <c r="CA41" s="35">
        <f t="shared" si="170"/>
        <v>0.14162873039959534</v>
      </c>
      <c r="CB41" s="35">
        <f t="shared" si="170"/>
        <v>0.28687947955233839</v>
      </c>
      <c r="CC41" s="35">
        <f t="shared" si="170"/>
        <v>3.2873580032679373E-2</v>
      </c>
      <c r="CD41" s="35">
        <f t="shared" si="170"/>
        <v>5.9045673983226576E-2</v>
      </c>
      <c r="CE41" s="35">
        <f t="shared" si="170"/>
        <v>0.11238146061931009</v>
      </c>
      <c r="CF41" s="35">
        <f t="shared" si="170"/>
        <v>2.6221721436778811E-2</v>
      </c>
    </row>
    <row r="42" spans="1:85" s="637" customFormat="1">
      <c r="A42" s="8" t="s">
        <v>377</v>
      </c>
      <c r="B42" s="34" t="s">
        <v>17</v>
      </c>
      <c r="C42" s="34" t="s">
        <v>17</v>
      </c>
      <c r="D42" s="34" t="s">
        <v>17</v>
      </c>
      <c r="E42" s="34" t="s">
        <v>17</v>
      </c>
      <c r="F42" s="34">
        <f t="shared" ref="F42:AK42" si="171">IF(AND(B21&lt;0,F21&gt;0),"n/a",F21/B21-1)</f>
        <v>2.2647058823529411</v>
      </c>
      <c r="G42" s="34">
        <f t="shared" si="171"/>
        <v>0.59633027522935778</v>
      </c>
      <c r="H42" s="34">
        <f t="shared" si="171"/>
        <v>-0.35897435897435892</v>
      </c>
      <c r="I42" s="34">
        <f t="shared" si="171"/>
        <v>0.72426470588235303</v>
      </c>
      <c r="J42" s="34">
        <f t="shared" si="171"/>
        <v>-0.30630630630630629</v>
      </c>
      <c r="K42" s="34">
        <f t="shared" si="171"/>
        <v>4.022988505747116E-2</v>
      </c>
      <c r="L42" s="34">
        <f t="shared" si="171"/>
        <v>1.7200000000000002</v>
      </c>
      <c r="M42" s="34">
        <f t="shared" si="171"/>
        <v>-0.4733475479744137</v>
      </c>
      <c r="N42" s="34">
        <f t="shared" si="171"/>
        <v>2.0259740259740258</v>
      </c>
      <c r="O42" s="34">
        <f t="shared" si="171"/>
        <v>-0.11049723756906082</v>
      </c>
      <c r="P42" s="34">
        <f t="shared" si="171"/>
        <v>1.1029411764705883</v>
      </c>
      <c r="Q42" s="34">
        <f t="shared" si="171"/>
        <v>1.1497975708502026</v>
      </c>
      <c r="R42" s="34">
        <f t="shared" si="171"/>
        <v>-0.12446351931330468</v>
      </c>
      <c r="S42" s="34" t="str">
        <f t="shared" si="171"/>
        <v>n/a</v>
      </c>
      <c r="T42" s="34">
        <f t="shared" si="171"/>
        <v>1.1608391608391608</v>
      </c>
      <c r="U42" s="34">
        <f t="shared" si="171"/>
        <v>-2.2598870056497189E-2</v>
      </c>
      <c r="V42" s="34">
        <f t="shared" si="171"/>
        <v>-0.2009803921568627</v>
      </c>
      <c r="W42" s="34">
        <f t="shared" si="171"/>
        <v>-0.29411764705882348</v>
      </c>
      <c r="X42" s="34">
        <f t="shared" si="171"/>
        <v>-0.12621359223300976</v>
      </c>
      <c r="Y42" s="34">
        <f t="shared" si="171"/>
        <v>0.46050096339113678</v>
      </c>
      <c r="Z42" s="34">
        <f t="shared" si="171"/>
        <v>0.30061349693251538</v>
      </c>
      <c r="AA42" s="34">
        <f t="shared" si="171"/>
        <v>-0.43333333333333335</v>
      </c>
      <c r="AB42" s="34">
        <f t="shared" si="171"/>
        <v>-0.21481481481481479</v>
      </c>
      <c r="AC42" s="34">
        <f t="shared" si="171"/>
        <v>0.29947229551451193</v>
      </c>
      <c r="AD42" s="34">
        <f t="shared" si="171"/>
        <v>0.58018867924528306</v>
      </c>
      <c r="AE42" s="34">
        <f t="shared" si="171"/>
        <v>2.4705882352941178</v>
      </c>
      <c r="AF42" s="34">
        <f t="shared" si="171"/>
        <v>0.14622641509433953</v>
      </c>
      <c r="AG42" s="34">
        <f t="shared" si="171"/>
        <v>-0.13299492385786804</v>
      </c>
      <c r="AH42" s="34">
        <f t="shared" si="171"/>
        <v>0.49600075301951807</v>
      </c>
      <c r="AI42" s="34">
        <f t="shared" si="171"/>
        <v>-0.67796610169491522</v>
      </c>
      <c r="AJ42" s="34">
        <f t="shared" si="171"/>
        <v>0.2880658436213992</v>
      </c>
      <c r="AK42" s="34">
        <f t="shared" si="171"/>
        <v>-0.18852459016393441</v>
      </c>
      <c r="AL42" s="34">
        <f t="shared" ref="AL42:BN42" si="172">IF(AND(AH21&lt;0,AL21&gt;0),"n/a",AL21/AH21-1)</f>
        <v>-8.4125291403869151E-2</v>
      </c>
      <c r="AM42" s="34">
        <f t="shared" si="172"/>
        <v>1.8421052631578947</v>
      </c>
      <c r="AN42" s="34">
        <f t="shared" si="172"/>
        <v>0.18530351437699677</v>
      </c>
      <c r="AO42" s="34">
        <f t="shared" si="172"/>
        <v>0.3492063492063493</v>
      </c>
      <c r="AP42" s="34">
        <f t="shared" si="172"/>
        <v>-0.10021786492374729</v>
      </c>
      <c r="AQ42" s="34">
        <f t="shared" si="172"/>
        <v>3.7129629629629628</v>
      </c>
      <c r="AR42" s="34">
        <f t="shared" si="172"/>
        <v>-0.92722371967654982</v>
      </c>
      <c r="AS42" s="34">
        <f t="shared" si="172"/>
        <v>0.17005347593582898</v>
      </c>
      <c r="AT42" s="34">
        <f t="shared" si="172"/>
        <v>7.9903147699757815E-2</v>
      </c>
      <c r="AU42" s="34">
        <f t="shared" si="172"/>
        <v>-0.42239685658153237</v>
      </c>
      <c r="AV42" s="34">
        <f t="shared" si="172"/>
        <v>19.962962962962962</v>
      </c>
      <c r="AW42" s="34">
        <f t="shared" si="172"/>
        <v>3.6924217321754993E-2</v>
      </c>
      <c r="AX42" s="34">
        <f t="shared" si="172"/>
        <v>0.15010499668943944</v>
      </c>
      <c r="AY42" s="34">
        <f t="shared" si="172"/>
        <v>0.28437739451563826</v>
      </c>
      <c r="AZ42" s="34">
        <f t="shared" si="172"/>
        <v>3.1262605638317398E-2</v>
      </c>
      <c r="BA42" s="34">
        <f t="shared" si="172"/>
        <v>4.84933831172083E-2</v>
      </c>
      <c r="BB42" s="34">
        <f t="shared" si="172"/>
        <v>-8.1762352482379952E-2</v>
      </c>
      <c r="BC42" s="34">
        <f t="shared" si="172"/>
        <v>8.5811926718193154E-2</v>
      </c>
      <c r="BD42" s="34">
        <f t="shared" si="172"/>
        <v>7.5899330286493649E-2</v>
      </c>
      <c r="BE42" s="34">
        <f t="shared" si="172"/>
        <v>7.0304481649815731E-2</v>
      </c>
      <c r="BF42" s="34">
        <f t="shared" si="172"/>
        <v>0.12890106469889417</v>
      </c>
      <c r="BG42" s="34">
        <f t="shared" si="172"/>
        <v>0.11664435341889101</v>
      </c>
      <c r="BH42" s="34">
        <f t="shared" si="172"/>
        <v>0.25544005545840198</v>
      </c>
      <c r="BI42" s="34">
        <f t="shared" si="172"/>
        <v>8.9505892775484597E-2</v>
      </c>
      <c r="BJ42" s="34">
        <f t="shared" si="172"/>
        <v>0.11365573037872889</v>
      </c>
      <c r="BK42" s="34">
        <f t="shared" si="172"/>
        <v>0.11602206116853586</v>
      </c>
      <c r="BL42" s="34">
        <f t="shared" si="172"/>
        <v>-6.6782347312481005E-2</v>
      </c>
      <c r="BM42" s="34">
        <f t="shared" si="172"/>
        <v>3.7995783119647797E-2</v>
      </c>
      <c r="BN42" s="34">
        <f t="shared" si="172"/>
        <v>8.9321394098089923E-2</v>
      </c>
      <c r="BO42" s="35"/>
      <c r="BP42" s="35" t="s">
        <v>17</v>
      </c>
      <c r="BQ42" s="35" t="str">
        <f t="shared" ref="BQ42:CF42" si="173">IF(AND(BP21&lt;0,BQ21&gt;0),"n/a",BQ21/BP21-1)</f>
        <v>n/a</v>
      </c>
      <c r="BR42" s="35">
        <f t="shared" si="173"/>
        <v>0.26837060702875393</v>
      </c>
      <c r="BS42" s="35">
        <f t="shared" si="173"/>
        <v>-7.5566750629722956E-2</v>
      </c>
      <c r="BT42" s="35">
        <f t="shared" si="173"/>
        <v>0.95367847411444151</v>
      </c>
      <c r="BU42" s="35">
        <f t="shared" si="173"/>
        <v>0.50069735006973493</v>
      </c>
      <c r="BV42" s="35">
        <f t="shared" si="173"/>
        <v>0.20817843866171004</v>
      </c>
      <c r="BW42" s="35">
        <f t="shared" si="173"/>
        <v>0.20461538461538464</v>
      </c>
      <c r="BX42" s="35">
        <f t="shared" si="173"/>
        <v>9.5887772836231511E-2</v>
      </c>
      <c r="BY42" s="35">
        <f t="shared" si="173"/>
        <v>-0.12420766183148579</v>
      </c>
      <c r="BZ42" s="35">
        <f t="shared" si="173"/>
        <v>0.21556886227544902</v>
      </c>
      <c r="CA42" s="35">
        <f t="shared" si="173"/>
        <v>0.13628899835796382</v>
      </c>
      <c r="CB42" s="35">
        <f t="shared" si="173"/>
        <v>0.20777549242460935</v>
      </c>
      <c r="CC42" s="35">
        <f t="shared" si="173"/>
        <v>4.5615041272162538E-2</v>
      </c>
      <c r="CD42" s="35">
        <f t="shared" si="173"/>
        <v>8.4310892057052556E-2</v>
      </c>
      <c r="CE42" s="35">
        <f t="shared" si="173"/>
        <v>0.13459390548000205</v>
      </c>
      <c r="CF42" s="35">
        <f t="shared" si="173"/>
        <v>3.2882413173147995E-2</v>
      </c>
    </row>
    <row r="43" spans="1:85" s="637" customFormat="1">
      <c r="A43" s="8" t="s">
        <v>220</v>
      </c>
      <c r="B43" s="34" t="s">
        <v>17</v>
      </c>
      <c r="C43" s="34" t="s">
        <v>17</v>
      </c>
      <c r="D43" s="34" t="s">
        <v>17</v>
      </c>
      <c r="E43" s="34" t="s">
        <v>17</v>
      </c>
      <c r="F43" s="34">
        <f t="shared" ref="F43:AK43" si="174">IF(AND(B30&lt;0,F30&gt;0),"n/a",F30/B30-1)</f>
        <v>2.6086956521739131</v>
      </c>
      <c r="G43" s="34">
        <f t="shared" si="174"/>
        <v>0.57692307692307687</v>
      </c>
      <c r="H43" s="34">
        <f t="shared" si="174"/>
        <v>-0.46875</v>
      </c>
      <c r="I43" s="34">
        <f t="shared" si="174"/>
        <v>0.70408163265306123</v>
      </c>
      <c r="J43" s="34">
        <f t="shared" si="174"/>
        <v>-0.32530120481927716</v>
      </c>
      <c r="K43" s="34">
        <f t="shared" si="174"/>
        <v>5.6910569105691033E-2</v>
      </c>
      <c r="L43" s="34">
        <f t="shared" si="174"/>
        <v>1.8823529411764706</v>
      </c>
      <c r="M43" s="34">
        <f t="shared" si="174"/>
        <v>-0.47305389221556882</v>
      </c>
      <c r="N43" s="34">
        <f t="shared" si="174"/>
        <v>2.0178571428571428</v>
      </c>
      <c r="O43" s="34">
        <f t="shared" si="174"/>
        <v>-6.9230769230769207E-2</v>
      </c>
      <c r="P43" s="34">
        <f t="shared" si="174"/>
        <v>1.1428571428571428</v>
      </c>
      <c r="Q43" s="34">
        <f t="shared" si="174"/>
        <v>1.2613636363636362</v>
      </c>
      <c r="R43" s="34">
        <f t="shared" si="174"/>
        <v>-0.10059171597633132</v>
      </c>
      <c r="S43" s="34" t="str">
        <f t="shared" si="174"/>
        <v>n/a</v>
      </c>
      <c r="T43" s="34">
        <f t="shared" si="174"/>
        <v>1.2095238095238097</v>
      </c>
      <c r="U43" s="34">
        <f t="shared" si="174"/>
        <v>-2.5125628140703515E-2</v>
      </c>
      <c r="V43" s="34">
        <f t="shared" si="174"/>
        <v>-0.18040353618421046</v>
      </c>
      <c r="W43" s="34">
        <f t="shared" si="174"/>
        <v>-0.20259048656762291</v>
      </c>
      <c r="X43" s="34">
        <f t="shared" si="174"/>
        <v>-8.6206896551724088E-2</v>
      </c>
      <c r="Y43" s="34">
        <f t="shared" si="174"/>
        <v>0.53608247422680422</v>
      </c>
      <c r="Z43" s="34">
        <f t="shared" si="174"/>
        <v>0.29235614485747097</v>
      </c>
      <c r="AA43" s="34">
        <f t="shared" si="174"/>
        <v>-0.54771578263155152</v>
      </c>
      <c r="AB43" s="34">
        <f t="shared" si="174"/>
        <v>-0.2211792452830188</v>
      </c>
      <c r="AC43" s="34">
        <f t="shared" si="174"/>
        <v>0.30296979865771823</v>
      </c>
      <c r="AD43" s="34">
        <f t="shared" si="174"/>
        <v>0.63888198757763992</v>
      </c>
      <c r="AE43" s="34">
        <f t="shared" si="174"/>
        <v>3.4527272727272731</v>
      </c>
      <c r="AF43" s="34">
        <f t="shared" si="174"/>
        <v>0.17703349282296643</v>
      </c>
      <c r="AG43" s="34">
        <f t="shared" si="174"/>
        <v>-0.12614445574771116</v>
      </c>
      <c r="AH43" s="34">
        <f t="shared" si="174"/>
        <v>0.50347380916628293</v>
      </c>
      <c r="AI43" s="34">
        <f t="shared" si="174"/>
        <v>-0.5228664761126991</v>
      </c>
      <c r="AJ43" s="34">
        <f t="shared" si="174"/>
        <v>0.3966244725738397</v>
      </c>
      <c r="AK43" s="34">
        <f t="shared" si="174"/>
        <v>-0.13481970498519036</v>
      </c>
      <c r="AL43" s="34">
        <f t="shared" ref="AL43:BN43" si="175">IF(AND(AH30&lt;0,AL30&gt;0),"n/a",AL30/AH30-1)</f>
        <v>-3.6969369535387875E-3</v>
      </c>
      <c r="AM43" s="34">
        <f t="shared" si="175"/>
        <v>1.263157894736842</v>
      </c>
      <c r="AN43" s="34">
        <f t="shared" si="175"/>
        <v>0.16918429003021163</v>
      </c>
      <c r="AO43" s="34">
        <f t="shared" si="175"/>
        <v>0.32402234636871508</v>
      </c>
      <c r="AP43" s="34">
        <f t="shared" si="175"/>
        <v>-0.11618257261410792</v>
      </c>
      <c r="AQ43" s="34">
        <f t="shared" si="175"/>
        <v>2.9224806201550391</v>
      </c>
      <c r="AR43" s="34">
        <f t="shared" si="175"/>
        <v>-0.95607235142118863</v>
      </c>
      <c r="AS43" s="34">
        <f t="shared" si="175"/>
        <v>0.14767932489451474</v>
      </c>
      <c r="AT43" s="34">
        <f t="shared" si="175"/>
        <v>2.3474178403755763E-2</v>
      </c>
      <c r="AU43" s="34">
        <f t="shared" si="175"/>
        <v>-0.44664031620553368</v>
      </c>
      <c r="AV43" s="34">
        <f t="shared" si="175"/>
        <v>31.470588235294116</v>
      </c>
      <c r="AW43" s="34">
        <f t="shared" si="175"/>
        <v>2.4758631926871999E-2</v>
      </c>
      <c r="AX43" s="34">
        <f t="shared" si="175"/>
        <v>0.13575770500257978</v>
      </c>
      <c r="AY43" s="34">
        <f t="shared" si="175"/>
        <v>0.28836939539230921</v>
      </c>
      <c r="AZ43" s="34">
        <f t="shared" si="175"/>
        <v>2.9421513641014529E-2</v>
      </c>
      <c r="BA43" s="34">
        <f t="shared" si="175"/>
        <v>4.9335271809534342E-2</v>
      </c>
      <c r="BB43" s="34">
        <f t="shared" si="175"/>
        <v>-8.4228987999592775E-2</v>
      </c>
      <c r="BC43" s="34">
        <f t="shared" si="175"/>
        <v>8.873087091748455E-2</v>
      </c>
      <c r="BD43" s="34">
        <f t="shared" si="175"/>
        <v>7.4796732100061769E-2</v>
      </c>
      <c r="BE43" s="34">
        <f t="shared" si="175"/>
        <v>7.335156516018615E-2</v>
      </c>
      <c r="BF43" s="34">
        <f t="shared" si="175"/>
        <v>0.13648329462299125</v>
      </c>
      <c r="BG43" s="34">
        <f t="shared" si="175"/>
        <v>0.12477999183159505</v>
      </c>
      <c r="BH43" s="34">
        <f t="shared" si="175"/>
        <v>0.26465872781000566</v>
      </c>
      <c r="BI43" s="34">
        <f t="shared" si="175"/>
        <v>9.1744456277231157E-2</v>
      </c>
      <c r="BJ43" s="34">
        <f t="shared" si="175"/>
        <v>0.11986654777427552</v>
      </c>
      <c r="BK43" s="34">
        <f t="shared" si="175"/>
        <v>0.12334482901835875</v>
      </c>
      <c r="BL43" s="34">
        <f t="shared" si="175"/>
        <v>-6.6378151319017586E-2</v>
      </c>
      <c r="BM43" s="34">
        <f t="shared" si="175"/>
        <v>3.9426168888064828E-2</v>
      </c>
      <c r="BN43" s="34">
        <f t="shared" si="175"/>
        <v>9.4025340691245685E-2</v>
      </c>
      <c r="BO43" s="35"/>
      <c r="BP43" s="35" t="s">
        <v>17</v>
      </c>
      <c r="BQ43" s="35" t="str">
        <f t="shared" ref="BQ43:CF43" si="176">IF(AND(BP30&lt;0,BQ30&gt;0),"n/a",BQ30/BP30-1)</f>
        <v>n/a</v>
      </c>
      <c r="BR43" s="35">
        <f t="shared" si="176"/>
        <v>0.2188841201716738</v>
      </c>
      <c r="BS43" s="35">
        <f t="shared" si="176"/>
        <v>-7.0422535211267623E-2</v>
      </c>
      <c r="BT43" s="35">
        <f t="shared" si="176"/>
        <v>1.0227272727272729</v>
      </c>
      <c r="BU43" s="35">
        <f t="shared" si="176"/>
        <v>0.50857427434456937</v>
      </c>
      <c r="BV43" s="35">
        <f t="shared" si="176"/>
        <v>0.26324346422144096</v>
      </c>
      <c r="BW43" s="35">
        <f t="shared" si="176"/>
        <v>0.20625919895202327</v>
      </c>
      <c r="BX43" s="35">
        <f t="shared" si="176"/>
        <v>0.11411163732881646</v>
      </c>
      <c r="BY43" s="35">
        <f t="shared" si="176"/>
        <v>-4.9060971709187218E-2</v>
      </c>
      <c r="BZ43" s="35">
        <f t="shared" si="176"/>
        <v>0.19167717528373274</v>
      </c>
      <c r="CA43" s="35">
        <f t="shared" si="176"/>
        <v>8.306878306878307E-2</v>
      </c>
      <c r="CB43" s="35">
        <f t="shared" si="176"/>
        <v>0.19302772394604806</v>
      </c>
      <c r="CC43" s="35">
        <f t="shared" si="176"/>
        <v>4.515753224723329E-2</v>
      </c>
      <c r="CD43" s="35">
        <f t="shared" si="176"/>
        <v>8.7063409645102841E-2</v>
      </c>
      <c r="CE43" s="35">
        <f t="shared" si="176"/>
        <v>0.13970559389638915</v>
      </c>
      <c r="CF43" s="35">
        <f t="shared" si="176"/>
        <v>3.5271700084287705E-2</v>
      </c>
    </row>
    <row r="44" spans="1:85" s="637" customFormat="1">
      <c r="A44" s="8" t="s">
        <v>379</v>
      </c>
      <c r="B44" s="34" t="s">
        <v>17</v>
      </c>
      <c r="C44" s="34" t="s">
        <v>17</v>
      </c>
      <c r="D44" s="34" t="s">
        <v>17</v>
      </c>
      <c r="E44" s="34" t="s">
        <v>17</v>
      </c>
      <c r="F44" s="34">
        <f t="shared" ref="F44:AK44" si="177">IF(AND(B32&lt;0,F32&gt;0),"n/a",F32/B32-1)</f>
        <v>2.5442546583850931</v>
      </c>
      <c r="G44" s="34">
        <f t="shared" si="177"/>
        <v>0.56263072275156878</v>
      </c>
      <c r="H44" s="34">
        <f t="shared" si="177"/>
        <v>-0.47505563798219586</v>
      </c>
      <c r="I44" s="34">
        <f t="shared" si="177"/>
        <v>0.68895664774785659</v>
      </c>
      <c r="J44" s="34">
        <f t="shared" si="177"/>
        <v>-0.31717230367252147</v>
      </c>
      <c r="K44" s="34">
        <f t="shared" si="177"/>
        <v>0.10358800748890773</v>
      </c>
      <c r="L44" s="34">
        <f t="shared" si="177"/>
        <v>2.0545689974102848</v>
      </c>
      <c r="M44" s="34">
        <f t="shared" si="177"/>
        <v>-0.42172797262617623</v>
      </c>
      <c r="N44" s="34">
        <f t="shared" si="177"/>
        <v>2.2636109818520245</v>
      </c>
      <c r="O44" s="34">
        <f t="shared" si="177"/>
        <v>-2.9428137651821951E-2</v>
      </c>
      <c r="P44" s="34">
        <f t="shared" si="177"/>
        <v>1.1564195298372515</v>
      </c>
      <c r="Q44" s="34">
        <f t="shared" si="177"/>
        <v>1.2041139240506333</v>
      </c>
      <c r="R44" s="34">
        <f t="shared" si="177"/>
        <v>-0.13442525644117165</v>
      </c>
      <c r="S44" s="34" t="str">
        <f t="shared" si="177"/>
        <v>n/a</v>
      </c>
      <c r="T44" s="34">
        <f t="shared" si="177"/>
        <v>1.1887445887445889</v>
      </c>
      <c r="U44" s="34">
        <f t="shared" si="177"/>
        <v>-3.4293725681700193E-2</v>
      </c>
      <c r="V44" s="34">
        <f t="shared" si="177"/>
        <v>-0.19305162976161461</v>
      </c>
      <c r="W44" s="34">
        <f t="shared" si="177"/>
        <v>-0.21240475750217525</v>
      </c>
      <c r="X44" s="34">
        <f t="shared" si="177"/>
        <v>-0.10684583493240696</v>
      </c>
      <c r="Y44" s="34">
        <f t="shared" si="177"/>
        <v>0.50772402854877097</v>
      </c>
      <c r="Z44" s="34">
        <f t="shared" si="177"/>
        <v>0.31261251076432783</v>
      </c>
      <c r="AA44" s="34">
        <f t="shared" si="177"/>
        <v>-0.53037581263659495</v>
      </c>
      <c r="AB44" s="34">
        <f t="shared" si="177"/>
        <v>-0.19049413493231571</v>
      </c>
      <c r="AC44" s="34">
        <f t="shared" si="177"/>
        <v>0.352923912344276</v>
      </c>
      <c r="AD44" s="34">
        <f t="shared" si="177"/>
        <v>0.67565177576047164</v>
      </c>
      <c r="AE44" s="34">
        <f t="shared" si="177"/>
        <v>3.4527272727272731</v>
      </c>
      <c r="AF44" s="34">
        <f t="shared" si="177"/>
        <v>0.18457857931542132</v>
      </c>
      <c r="AG44" s="34">
        <f t="shared" si="177"/>
        <v>-0.12052480594544568</v>
      </c>
      <c r="AH44" s="34">
        <f t="shared" si="177"/>
        <v>0.50830813009607811</v>
      </c>
      <c r="AI44" s="34">
        <f t="shared" si="177"/>
        <v>-0.5182490549137897</v>
      </c>
      <c r="AJ44" s="34">
        <f t="shared" si="177"/>
        <v>0.41937079948872324</v>
      </c>
      <c r="AK44" s="34">
        <f t="shared" si="177"/>
        <v>-0.11489779029734926</v>
      </c>
      <c r="AL44" s="34">
        <f t="shared" ref="AL44:BN44" si="178">IF(AND(AH32&lt;0,AL32&gt;0),"n/a",AL32/AH32-1)</f>
        <v>2.9402832582888561E-2</v>
      </c>
      <c r="AM44" s="34">
        <f t="shared" si="178"/>
        <v>1.3464178841753212</v>
      </c>
      <c r="AN44" s="34">
        <f t="shared" si="178"/>
        <v>0.21263370621376665</v>
      </c>
      <c r="AO44" s="34">
        <f t="shared" si="178"/>
        <v>0.36905712005472591</v>
      </c>
      <c r="AP44" s="34">
        <f t="shared" si="178"/>
        <v>-8.8941624509748296E-2</v>
      </c>
      <c r="AQ44" s="34">
        <f t="shared" si="178"/>
        <v>3.0165126898162899</v>
      </c>
      <c r="AR44" s="34">
        <f t="shared" si="178"/>
        <v>-0.95562258027533054</v>
      </c>
      <c r="AS44" s="34">
        <f t="shared" si="178"/>
        <v>0.15554014218831269</v>
      </c>
      <c r="AT44" s="34">
        <f t="shared" si="178"/>
        <v>3.7689097548252448E-2</v>
      </c>
      <c r="AU44" s="34">
        <f t="shared" si="178"/>
        <v>-0.4408960980346569</v>
      </c>
      <c r="AV44" s="34">
        <f t="shared" si="178"/>
        <v>32.14941586390654</v>
      </c>
      <c r="AW44" s="34">
        <f t="shared" si="178"/>
        <v>4.1979995332775522E-2</v>
      </c>
      <c r="AX44" s="34">
        <f t="shared" si="178"/>
        <v>0.14480987159831749</v>
      </c>
      <c r="AY44" s="34">
        <f t="shared" si="178"/>
        <v>0.32387480864542662</v>
      </c>
      <c r="AZ44" s="34">
        <f t="shared" si="178"/>
        <v>5.6122129864224268E-2</v>
      </c>
      <c r="BA44" s="34">
        <f t="shared" si="178"/>
        <v>8.2833471525928681E-2</v>
      </c>
      <c r="BB44" s="34">
        <f t="shared" si="178"/>
        <v>-5.899944410280189E-2</v>
      </c>
      <c r="BC44" s="34">
        <f t="shared" si="178"/>
        <v>9.7542680901345991E-2</v>
      </c>
      <c r="BD44" s="34">
        <f t="shared" si="178"/>
        <v>7.4114644951862374E-2</v>
      </c>
      <c r="BE44" s="34">
        <f t="shared" si="178"/>
        <v>6.333864632610875E-2</v>
      </c>
      <c r="BF44" s="34">
        <f t="shared" si="178"/>
        <v>0.12113053285887943</v>
      </c>
      <c r="BG44" s="34">
        <f t="shared" si="178"/>
        <v>0.10982470189326587</v>
      </c>
      <c r="BH44" s="34">
        <f t="shared" si="178"/>
        <v>0.24772148120967752</v>
      </c>
      <c r="BI44" s="34">
        <f t="shared" si="178"/>
        <v>7.6959830237464333E-2</v>
      </c>
      <c r="BJ44" s="34">
        <f t="shared" si="178"/>
        <v>0.10481161632871183</v>
      </c>
      <c r="BK44" s="34">
        <f t="shared" si="178"/>
        <v>0.10838261272285554</v>
      </c>
      <c r="BL44" s="34">
        <f t="shared" si="178"/>
        <v>-7.8414835591216092E-2</v>
      </c>
      <c r="BM44" s="34">
        <f t="shared" si="178"/>
        <v>2.651415107254107E-2</v>
      </c>
      <c r="BN44" s="34">
        <f t="shared" si="178"/>
        <v>8.0648845324610363E-2</v>
      </c>
      <c r="BO44" s="35"/>
      <c r="BP44" s="35" t="s">
        <v>17</v>
      </c>
      <c r="BQ44" s="35" t="str">
        <f t="shared" ref="BQ44:CF44" si="179">IF(AND(BP32&lt;0,BQ32&gt;0),"n/a",BQ32/BP32-1)</f>
        <v>n/a</v>
      </c>
      <c r="BR44" s="35">
        <f t="shared" si="179"/>
        <v>0.21341827209915509</v>
      </c>
      <c r="BS44" s="35">
        <f t="shared" si="179"/>
        <v>-4.9802816901408642E-3</v>
      </c>
      <c r="BT44" s="35">
        <f t="shared" si="179"/>
        <v>1.014668598333937</v>
      </c>
      <c r="BU44" s="35">
        <f t="shared" si="179"/>
        <v>0.47565137513829669</v>
      </c>
      <c r="BV44" s="35">
        <f t="shared" si="179"/>
        <v>0.25117887422209439</v>
      </c>
      <c r="BW44" s="35">
        <f t="shared" si="179"/>
        <v>0.24804608682920493</v>
      </c>
      <c r="BX44" s="35">
        <f t="shared" si="179"/>
        <v>0.11857880508073637</v>
      </c>
      <c r="BY44" s="35">
        <f t="shared" si="179"/>
        <v>-2.9606408937280171E-2</v>
      </c>
      <c r="BZ44" s="35">
        <f t="shared" si="179"/>
        <v>0.23304784775336262</v>
      </c>
      <c r="CA44" s="35">
        <f t="shared" si="179"/>
        <v>9.7943547471444514E-2</v>
      </c>
      <c r="CB44" s="35">
        <f t="shared" si="179"/>
        <v>0.20974957405458805</v>
      </c>
      <c r="CC44" s="35">
        <f t="shared" si="179"/>
        <v>7.4670310036657694E-2</v>
      </c>
      <c r="CD44" s="35">
        <f t="shared" si="179"/>
        <v>8.2849757147643865E-2</v>
      </c>
      <c r="CE44" s="35">
        <f t="shared" si="179"/>
        <v>0.124411973560006</v>
      </c>
      <c r="CF44" s="35">
        <f t="shared" si="179"/>
        <v>2.2109490393991793E-2</v>
      </c>
    </row>
    <row r="45" spans="1:85" s="637" customFormat="1">
      <c r="A45" s="8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5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</row>
    <row r="46" spans="1:85" s="12" customFormat="1">
      <c r="A46" s="634" t="s">
        <v>368</v>
      </c>
      <c r="BY46" s="304"/>
      <c r="BZ46" s="304"/>
      <c r="CA46" s="304"/>
      <c r="CB46" s="305"/>
      <c r="CC46" s="305"/>
      <c r="CD46" s="305"/>
      <c r="CE46" s="305"/>
      <c r="CF46" s="305"/>
    </row>
    <row r="47" spans="1:85" s="307" customFormat="1">
      <c r="A47" s="266" t="s">
        <v>289</v>
      </c>
      <c r="B47" s="34" t="s">
        <v>17</v>
      </c>
      <c r="C47" s="34">
        <f t="shared" ref="C47:AH47" si="180">C9/B9-1</f>
        <v>-0.36588235294117644</v>
      </c>
      <c r="D47" s="34">
        <f t="shared" si="180"/>
        <v>0.64007421150278287</v>
      </c>
      <c r="E47" s="34">
        <f t="shared" si="180"/>
        <v>0.59502262443438925</v>
      </c>
      <c r="F47" s="34">
        <f t="shared" si="180"/>
        <v>-0.29432624113475181</v>
      </c>
      <c r="G47" s="34">
        <f t="shared" si="180"/>
        <v>-0.47336683417085423</v>
      </c>
      <c r="H47" s="34">
        <f t="shared" si="180"/>
        <v>0.9732824427480915</v>
      </c>
      <c r="I47" s="34">
        <f t="shared" si="180"/>
        <v>0.59671179883945835</v>
      </c>
      <c r="J47" s="34">
        <f t="shared" si="180"/>
        <v>-0.40823743185947914</v>
      </c>
      <c r="K47" s="34">
        <f t="shared" si="180"/>
        <v>-0.49744114636642789</v>
      </c>
      <c r="L47" s="34">
        <f t="shared" si="180"/>
        <v>1.1995926680244398</v>
      </c>
      <c r="M47" s="34">
        <f t="shared" si="180"/>
        <v>9.4444444444444553E-2</v>
      </c>
      <c r="N47" s="34">
        <f t="shared" si="180"/>
        <v>-0.12013536379018608</v>
      </c>
      <c r="O47" s="34">
        <f t="shared" si="180"/>
        <v>-0.52403846153846156</v>
      </c>
      <c r="P47" s="34">
        <f t="shared" si="180"/>
        <v>1.1010101010101012</v>
      </c>
      <c r="Q47" s="34">
        <f t="shared" si="180"/>
        <v>0.5115384615384615</v>
      </c>
      <c r="R47" s="34">
        <f t="shared" si="180"/>
        <v>-0.4185750636132316</v>
      </c>
      <c r="S47" s="34">
        <f t="shared" si="180"/>
        <v>-0.15207877461706787</v>
      </c>
      <c r="T47" s="34">
        <f t="shared" si="180"/>
        <v>0.5741935483870968</v>
      </c>
      <c r="U47" s="34">
        <f t="shared" si="180"/>
        <v>0.17049180327868863</v>
      </c>
      <c r="V47" s="34">
        <f t="shared" si="180"/>
        <v>-0.37254901960784315</v>
      </c>
      <c r="W47" s="34">
        <f t="shared" si="180"/>
        <v>-0.2265625</v>
      </c>
      <c r="X47" s="34">
        <f t="shared" si="180"/>
        <v>0.65367965367965364</v>
      </c>
      <c r="Y47" s="34">
        <f t="shared" si="180"/>
        <v>0.57329842931937169</v>
      </c>
      <c r="Z47" s="34">
        <f t="shared" si="180"/>
        <v>-0.4875207986688852</v>
      </c>
      <c r="AA47" s="34">
        <f t="shared" si="180"/>
        <v>-0.26190476190476186</v>
      </c>
      <c r="AB47" s="34">
        <f t="shared" si="180"/>
        <v>0.60997067448680342</v>
      </c>
      <c r="AC47" s="34">
        <f t="shared" si="180"/>
        <v>0.88524590163934436</v>
      </c>
      <c r="AD47" s="34">
        <f t="shared" si="180"/>
        <v>-0.47246376811594204</v>
      </c>
      <c r="AE47" s="34">
        <f t="shared" si="180"/>
        <v>-0.29029304029304026</v>
      </c>
      <c r="AF47" s="34">
        <f t="shared" si="180"/>
        <v>0.52129032258064512</v>
      </c>
      <c r="AG47" s="34">
        <f t="shared" si="180"/>
        <v>0.6717557251908397</v>
      </c>
      <c r="AH47" s="34">
        <f t="shared" si="180"/>
        <v>-0.36326737696600708</v>
      </c>
      <c r="AI47" s="34">
        <f t="shared" ref="AI47:BN47" si="181">AI9/AH9-1</f>
        <v>-0.40318725099601593</v>
      </c>
      <c r="AJ47" s="34">
        <f t="shared" si="181"/>
        <v>0.63150867823765022</v>
      </c>
      <c r="AK47" s="34">
        <f t="shared" si="181"/>
        <v>0.31669394435351883</v>
      </c>
      <c r="AL47" s="34">
        <f t="shared" si="181"/>
        <v>-0.15226848974518337</v>
      </c>
      <c r="AM47" s="34">
        <f t="shared" si="181"/>
        <v>-0.42668621700879761</v>
      </c>
      <c r="AN47" s="34">
        <f t="shared" si="181"/>
        <v>0.67902813299232734</v>
      </c>
      <c r="AO47" s="34">
        <f t="shared" si="181"/>
        <v>0.53922315308453928</v>
      </c>
      <c r="AP47" s="34">
        <f t="shared" si="181"/>
        <v>-0.3785254824344384</v>
      </c>
      <c r="AQ47" s="34">
        <f t="shared" si="181"/>
        <v>0.1066878980891719</v>
      </c>
      <c r="AR47" s="34">
        <f t="shared" si="181"/>
        <v>-0.34532374100719421</v>
      </c>
      <c r="AS47" s="34">
        <f t="shared" si="181"/>
        <v>1.6373626373626373</v>
      </c>
      <c r="AT47" s="34">
        <f t="shared" si="181"/>
        <v>-0.37916666666666665</v>
      </c>
      <c r="AU47" s="34">
        <f t="shared" si="181"/>
        <v>-0.10335570469798661</v>
      </c>
      <c r="AV47" s="34">
        <f t="shared" si="181"/>
        <v>0.38547904191616778</v>
      </c>
      <c r="AW47" s="34">
        <f t="shared" si="181"/>
        <v>0.42524480010804977</v>
      </c>
      <c r="AX47" s="34">
        <f t="shared" si="181"/>
        <v>-0.31961132479113397</v>
      </c>
      <c r="AY47" s="34">
        <f t="shared" si="181"/>
        <v>-0.15533743205647388</v>
      </c>
      <c r="AZ47" s="34">
        <f t="shared" si="181"/>
        <v>0.28423908291554834</v>
      </c>
      <c r="BA47" s="34">
        <f t="shared" si="181"/>
        <v>0.4755284959849011</v>
      </c>
      <c r="BB47" s="34">
        <f t="shared" si="181"/>
        <v>-0.4033418551774377</v>
      </c>
      <c r="BC47" s="34">
        <f t="shared" si="181"/>
        <v>-0.10936821367420146</v>
      </c>
      <c r="BD47" s="34">
        <f t="shared" si="181"/>
        <v>0.32999840329628793</v>
      </c>
      <c r="BE47" s="34">
        <f t="shared" si="181"/>
        <v>0.46312683221618012</v>
      </c>
      <c r="BF47" s="34">
        <f t="shared" si="181"/>
        <v>-0.39179762521992956</v>
      </c>
      <c r="BG47" s="34">
        <f t="shared" si="181"/>
        <v>-0.1095672328112961</v>
      </c>
      <c r="BH47" s="34">
        <f t="shared" si="181"/>
        <v>0.54445025362743449</v>
      </c>
      <c r="BI47" s="34">
        <f t="shared" si="181"/>
        <v>0.29203266565826214</v>
      </c>
      <c r="BJ47" s="34">
        <f t="shared" si="181"/>
        <v>-0.39582275627038366</v>
      </c>
      <c r="BK47" s="34">
        <f t="shared" si="181"/>
        <v>-0.11476150306282529</v>
      </c>
      <c r="BL47" s="34">
        <f t="shared" si="181"/>
        <v>0.31928381947763929</v>
      </c>
      <c r="BM47" s="34">
        <f t="shared" si="181"/>
        <v>0.46092253207157396</v>
      </c>
      <c r="BN47" s="34">
        <f t="shared" si="181"/>
        <v>-0.38277478016687627</v>
      </c>
      <c r="BO47" s="35"/>
      <c r="BP47" s="35" t="s">
        <v>17</v>
      </c>
      <c r="BQ47" s="35" t="s">
        <v>17</v>
      </c>
      <c r="BR47" s="35" t="s">
        <v>17</v>
      </c>
      <c r="BS47" s="35" t="s">
        <v>17</v>
      </c>
      <c r="BT47" s="35" t="s">
        <v>17</v>
      </c>
      <c r="BU47" s="35" t="s">
        <v>17</v>
      </c>
      <c r="BV47" s="35" t="s">
        <v>17</v>
      </c>
      <c r="BW47" s="35" t="s">
        <v>17</v>
      </c>
      <c r="BX47" s="35" t="s">
        <v>17</v>
      </c>
      <c r="BY47" s="35" t="s">
        <v>17</v>
      </c>
      <c r="BZ47" s="35" t="s">
        <v>17</v>
      </c>
      <c r="CA47" s="35" t="s">
        <v>17</v>
      </c>
      <c r="CB47" s="35" t="s">
        <v>17</v>
      </c>
      <c r="CC47" s="35" t="s">
        <v>17</v>
      </c>
      <c r="CD47" s="35" t="s">
        <v>17</v>
      </c>
      <c r="CE47" s="35" t="s">
        <v>17</v>
      </c>
      <c r="CF47" s="35" t="s">
        <v>17</v>
      </c>
    </row>
    <row r="48" spans="1:85" s="636" customFormat="1">
      <c r="A48" s="8" t="s">
        <v>121</v>
      </c>
      <c r="B48" s="34" t="s">
        <v>17</v>
      </c>
      <c r="C48" s="34">
        <f t="shared" ref="C48:AH48" si="182">IF(AND(B11&lt;0,C11&gt;0),"n/a",C11/B11-1)</f>
        <v>-0.26351351351351349</v>
      </c>
      <c r="D48" s="34">
        <f t="shared" si="182"/>
        <v>0.65596330275229353</v>
      </c>
      <c r="E48" s="34">
        <f t="shared" si="182"/>
        <v>0.61218836565096946</v>
      </c>
      <c r="F48" s="34">
        <f t="shared" si="182"/>
        <v>-0.44158075601374569</v>
      </c>
      <c r="G48" s="34">
        <f t="shared" si="182"/>
        <v>-0.27384615384615385</v>
      </c>
      <c r="H48" s="34">
        <f t="shared" si="182"/>
        <v>0.79661016949152552</v>
      </c>
      <c r="I48" s="34">
        <f t="shared" si="182"/>
        <v>0.26886792452830188</v>
      </c>
      <c r="J48" s="34">
        <f t="shared" si="182"/>
        <v>-0.35687732342007439</v>
      </c>
      <c r="K48" s="34">
        <f t="shared" si="182"/>
        <v>-0.45375722543352603</v>
      </c>
      <c r="L48" s="34">
        <f t="shared" si="182"/>
        <v>1.2804232804232805</v>
      </c>
      <c r="M48" s="34">
        <f t="shared" si="182"/>
        <v>-5.8004640371229654E-2</v>
      </c>
      <c r="N48" s="34">
        <f t="shared" si="182"/>
        <v>-0.3423645320197044</v>
      </c>
      <c r="O48" s="34">
        <f t="shared" si="182"/>
        <v>-0.32958801498127344</v>
      </c>
      <c r="P48" s="34">
        <f t="shared" si="182"/>
        <v>1.2234636871508382</v>
      </c>
      <c r="Q48" s="34">
        <f t="shared" si="182"/>
        <v>0.2587939698492463</v>
      </c>
      <c r="R48" s="34">
        <f t="shared" si="182"/>
        <v>-0.58682634730538918</v>
      </c>
      <c r="S48" s="34">
        <f t="shared" si="182"/>
        <v>0.11594202898550732</v>
      </c>
      <c r="T48" s="34">
        <f t="shared" si="182"/>
        <v>0.79220779220779214</v>
      </c>
      <c r="U48" s="34">
        <f t="shared" si="182"/>
        <v>-6.2801932367149704E-2</v>
      </c>
      <c r="V48" s="34">
        <f t="shared" si="182"/>
        <v>-0.4329896907216495</v>
      </c>
      <c r="W48" s="34">
        <f t="shared" si="182"/>
        <v>-0.26818181818181819</v>
      </c>
      <c r="X48" s="34">
        <f t="shared" si="182"/>
        <v>1.4658385093167703</v>
      </c>
      <c r="Y48" s="34">
        <f t="shared" si="182"/>
        <v>0.34508816120906793</v>
      </c>
      <c r="Z48" s="34">
        <f t="shared" si="182"/>
        <v>-0.601123595505618</v>
      </c>
      <c r="AA48" s="34">
        <f t="shared" si="182"/>
        <v>-0.22535211267605637</v>
      </c>
      <c r="AB48" s="34">
        <f t="shared" si="182"/>
        <v>1.3515151515151516</v>
      </c>
      <c r="AC48" s="34">
        <f t="shared" si="182"/>
        <v>0.28350515463917536</v>
      </c>
      <c r="AD48" s="34">
        <f t="shared" si="182"/>
        <v>-0.59638554216867468</v>
      </c>
      <c r="AE48" s="34">
        <f t="shared" si="182"/>
        <v>-0.23880597014925375</v>
      </c>
      <c r="AF48" s="34">
        <f t="shared" si="182"/>
        <v>1.5359477124183005</v>
      </c>
      <c r="AG48" s="34">
        <f t="shared" si="182"/>
        <v>0.29123711340206193</v>
      </c>
      <c r="AH48" s="34">
        <f t="shared" si="182"/>
        <v>-0.53924202048211267</v>
      </c>
      <c r="AI48" s="34">
        <f t="shared" ref="AI48:BN48" si="183">IF(AND(AH11&lt;0,AI11&gt;0),"n/a",AI11/AH11-1)</f>
        <v>-0.28955042791932917</v>
      </c>
      <c r="AJ48" s="34">
        <f t="shared" si="183"/>
        <v>1.2682926829268291</v>
      </c>
      <c r="AK48" s="34">
        <f t="shared" si="183"/>
        <v>-2.4193548387096753E-2</v>
      </c>
      <c r="AL48" s="34">
        <f t="shared" si="183"/>
        <v>-0.37465564738292012</v>
      </c>
      <c r="AM48" s="34">
        <f t="shared" si="183"/>
        <v>-0.36123348017621149</v>
      </c>
      <c r="AN48" s="34">
        <f t="shared" si="183"/>
        <v>1.5241379310344829</v>
      </c>
      <c r="AO48" s="34">
        <f t="shared" si="183"/>
        <v>0.25409836065573765</v>
      </c>
      <c r="AP48" s="34">
        <f t="shared" si="183"/>
        <v>-0.51633986928104569</v>
      </c>
      <c r="AQ48" s="34">
        <f t="shared" si="183"/>
        <v>0.29279279279279269</v>
      </c>
      <c r="AR48" s="34">
        <f t="shared" si="183"/>
        <v>-1.0452961672473893E-2</v>
      </c>
      <c r="AS48" s="34">
        <f t="shared" si="183"/>
        <v>1.112676056338028</v>
      </c>
      <c r="AT48" s="34">
        <f t="shared" si="183"/>
        <v>-0.47666666666666668</v>
      </c>
      <c r="AU48" s="34">
        <f t="shared" si="183"/>
        <v>-7.0063694267515908E-2</v>
      </c>
      <c r="AV48" s="34">
        <f t="shared" si="183"/>
        <v>0.6095890410958904</v>
      </c>
      <c r="AW48" s="34">
        <f t="shared" si="183"/>
        <v>0.23486848404255367</v>
      </c>
      <c r="AX48" s="34">
        <f t="shared" si="183"/>
        <v>-0.34825489928131836</v>
      </c>
      <c r="AY48" s="34">
        <f t="shared" si="183"/>
        <v>-0.11996736823696397</v>
      </c>
      <c r="AZ48" s="34">
        <f t="shared" si="183"/>
        <v>0.49102675389903983</v>
      </c>
      <c r="BA48" s="34">
        <f t="shared" si="183"/>
        <v>0.27920872771497662</v>
      </c>
      <c r="BB48" s="34">
        <f t="shared" si="183"/>
        <v>-0.42834681250548101</v>
      </c>
      <c r="BC48" s="34">
        <f t="shared" si="183"/>
        <v>-8.486819586721972E-2</v>
      </c>
      <c r="BD48" s="34">
        <f t="shared" si="183"/>
        <v>0.54612290182035572</v>
      </c>
      <c r="BE48" s="34">
        <f t="shared" si="183"/>
        <v>0.2669177139086929</v>
      </c>
      <c r="BF48" s="34">
        <f t="shared" si="183"/>
        <v>-0.41751915619343627</v>
      </c>
      <c r="BG48" s="34">
        <f t="shared" si="183"/>
        <v>-8.0593669670574575E-2</v>
      </c>
      <c r="BH48" s="34">
        <f t="shared" si="183"/>
        <v>0.79658203035860553</v>
      </c>
      <c r="BI48" s="34">
        <f t="shared" si="183"/>
        <v>0.11807993425039487</v>
      </c>
      <c r="BJ48" s="34">
        <f t="shared" si="183"/>
        <v>-0.42149126794906333</v>
      </c>
      <c r="BK48" s="34">
        <f t="shared" si="183"/>
        <v>-8.3698510291883355E-2</v>
      </c>
      <c r="BL48" s="34">
        <f t="shared" si="183"/>
        <v>0.53515554032448098</v>
      </c>
      <c r="BM48" s="34">
        <f t="shared" si="183"/>
        <v>0.26384015921229786</v>
      </c>
      <c r="BN48" s="34">
        <f t="shared" si="183"/>
        <v>-0.40905791843331796</v>
      </c>
      <c r="BO48" s="35"/>
      <c r="BP48" s="35" t="s">
        <v>17</v>
      </c>
      <c r="BQ48" s="35" t="s">
        <v>17</v>
      </c>
      <c r="BR48" s="35" t="s">
        <v>17</v>
      </c>
      <c r="BS48" s="35" t="s">
        <v>17</v>
      </c>
      <c r="BT48" s="35" t="s">
        <v>17</v>
      </c>
      <c r="BU48" s="35" t="s">
        <v>17</v>
      </c>
      <c r="BV48" s="35" t="s">
        <v>17</v>
      </c>
      <c r="BW48" s="35" t="s">
        <v>17</v>
      </c>
      <c r="BX48" s="35" t="s">
        <v>17</v>
      </c>
      <c r="BY48" s="35" t="s">
        <v>17</v>
      </c>
      <c r="BZ48" s="35" t="s">
        <v>17</v>
      </c>
      <c r="CA48" s="35" t="s">
        <v>17</v>
      </c>
      <c r="CB48" s="35" t="s">
        <v>17</v>
      </c>
      <c r="CC48" s="35" t="s">
        <v>17</v>
      </c>
      <c r="CD48" s="35" t="s">
        <v>17</v>
      </c>
      <c r="CE48" s="35" t="s">
        <v>17</v>
      </c>
      <c r="CF48" s="35" t="s">
        <v>17</v>
      </c>
      <c r="CG48" s="635"/>
    </row>
    <row r="49" spans="1:87" s="637" customFormat="1">
      <c r="A49" s="8" t="s">
        <v>371</v>
      </c>
      <c r="B49" s="34" t="s">
        <v>17</v>
      </c>
      <c r="C49" s="34">
        <f t="shared" ref="C49:AH49" si="184">IF(AND(B12&lt;0,C12&gt;0),"n/a",C12/B12-1)</f>
        <v>-0.42057761732851984</v>
      </c>
      <c r="D49" s="34">
        <f t="shared" si="184"/>
        <v>0.62928348909657328</v>
      </c>
      <c r="E49" s="34">
        <f t="shared" si="184"/>
        <v>0.58317399617590815</v>
      </c>
      <c r="F49" s="34">
        <f t="shared" si="184"/>
        <v>-0.1908212560386473</v>
      </c>
      <c r="G49" s="34">
        <f t="shared" si="184"/>
        <v>-0.57014925373134329</v>
      </c>
      <c r="H49" s="34">
        <f t="shared" si="184"/>
        <v>1.1180555555555554</v>
      </c>
      <c r="I49" s="34">
        <f t="shared" si="184"/>
        <v>0.82459016393442619</v>
      </c>
      <c r="J49" s="34">
        <f t="shared" si="184"/>
        <v>-0.43306379155435759</v>
      </c>
      <c r="K49" s="34">
        <f t="shared" si="184"/>
        <v>-0.52139461172741686</v>
      </c>
      <c r="L49" s="34">
        <f t="shared" si="184"/>
        <v>1.1490066225165565</v>
      </c>
      <c r="M49" s="34">
        <f t="shared" si="184"/>
        <v>0.19568567026194139</v>
      </c>
      <c r="N49" s="34">
        <f t="shared" si="184"/>
        <v>-3.8659793814432852E-3</v>
      </c>
      <c r="O49" s="34">
        <f t="shared" si="184"/>
        <v>-0.59120310478654592</v>
      </c>
      <c r="P49" s="34">
        <f t="shared" si="184"/>
        <v>1.0316455696202533</v>
      </c>
      <c r="Q49" s="34">
        <f t="shared" si="184"/>
        <v>0.66822429906542058</v>
      </c>
      <c r="R49" s="34">
        <f t="shared" si="184"/>
        <v>-0.33986928104575165</v>
      </c>
      <c r="S49" s="34">
        <f t="shared" si="184"/>
        <v>-0.23055162659123052</v>
      </c>
      <c r="T49" s="34">
        <f t="shared" si="184"/>
        <v>0.48161764705882359</v>
      </c>
      <c r="U49" s="34">
        <f t="shared" si="184"/>
        <v>0.29032258064516125</v>
      </c>
      <c r="V49" s="34">
        <f t="shared" si="184"/>
        <v>-0.35</v>
      </c>
      <c r="W49" s="34">
        <f t="shared" si="184"/>
        <v>-0.21301775147928992</v>
      </c>
      <c r="X49" s="34">
        <f t="shared" si="184"/>
        <v>0.40789473684210531</v>
      </c>
      <c r="Y49" s="34">
        <f t="shared" si="184"/>
        <v>0.69425901201602147</v>
      </c>
      <c r="Z49" s="34">
        <f t="shared" si="184"/>
        <v>-0.43971631205673756</v>
      </c>
      <c r="AA49" s="34">
        <f t="shared" si="184"/>
        <v>-0.27285513361462732</v>
      </c>
      <c r="AB49" s="34">
        <f t="shared" si="184"/>
        <v>0.37330754352030948</v>
      </c>
      <c r="AC49" s="34">
        <f t="shared" si="184"/>
        <v>1.2140845070422537</v>
      </c>
      <c r="AD49" s="34">
        <f t="shared" si="184"/>
        <v>-0.43320610687022898</v>
      </c>
      <c r="AE49" s="34">
        <f t="shared" si="184"/>
        <v>-0.3019079685746352</v>
      </c>
      <c r="AF49" s="34">
        <f t="shared" si="184"/>
        <v>0.27170418006430874</v>
      </c>
      <c r="AG49" s="34">
        <f t="shared" si="184"/>
        <v>0.8584070796460177</v>
      </c>
      <c r="AH49" s="34">
        <f t="shared" si="184"/>
        <v>-0.30329234540031391</v>
      </c>
      <c r="AI49" s="34">
        <f t="shared" ref="AI49:BN49" si="185">IF(AND(AH12&lt;0,AI12&gt;0),"n/a",AI12/AH12-1)</f>
        <v>-0.42880032816328306</v>
      </c>
      <c r="AJ49" s="34">
        <f t="shared" si="185"/>
        <v>0.45299145299145294</v>
      </c>
      <c r="AK49" s="34">
        <f t="shared" si="185"/>
        <v>0.46588235294117641</v>
      </c>
      <c r="AL49" s="34">
        <f t="shared" si="185"/>
        <v>-8.7479935794542496E-2</v>
      </c>
      <c r="AM49" s="34">
        <f t="shared" si="185"/>
        <v>-0.43975373790677219</v>
      </c>
      <c r="AN49" s="34">
        <f t="shared" si="185"/>
        <v>0.48665620094191531</v>
      </c>
      <c r="AO49" s="34">
        <f t="shared" si="185"/>
        <v>0.64941921858500518</v>
      </c>
      <c r="AP49" s="34">
        <f t="shared" si="185"/>
        <v>-0.3380281690140845</v>
      </c>
      <c r="AQ49" s="34">
        <f t="shared" si="185"/>
        <v>6.6731141199226407E-2</v>
      </c>
      <c r="AR49" s="34">
        <f t="shared" si="185"/>
        <v>-0.43245693563009968</v>
      </c>
      <c r="AS49" s="34">
        <f t="shared" si="185"/>
        <v>1.8753993610223643</v>
      </c>
      <c r="AT49" s="34">
        <f t="shared" si="185"/>
        <v>-0.34666666666666668</v>
      </c>
      <c r="AU49" s="34">
        <f t="shared" si="185"/>
        <v>-0.11224489795918369</v>
      </c>
      <c r="AV49" s="34">
        <f t="shared" si="185"/>
        <v>0.32279693486590033</v>
      </c>
      <c r="AW49" s="34">
        <f t="shared" si="185"/>
        <v>0.49003616039102105</v>
      </c>
      <c r="AX49" s="34">
        <f t="shared" si="185"/>
        <v>-0.31153236788364602</v>
      </c>
      <c r="AY49" s="34">
        <f t="shared" si="185"/>
        <v>-0.16478147970896206</v>
      </c>
      <c r="AZ49" s="34">
        <f t="shared" si="185"/>
        <v>0.22606284564676993</v>
      </c>
      <c r="BA49" s="34">
        <f t="shared" si="185"/>
        <v>0.54269577013579573</v>
      </c>
      <c r="BB49" s="34">
        <f t="shared" si="185"/>
        <v>-0.39624802261068848</v>
      </c>
      <c r="BC49" s="34">
        <f t="shared" si="185"/>
        <v>-0.11594926502150771</v>
      </c>
      <c r="BD49" s="34">
        <f t="shared" si="185"/>
        <v>0.26990326523637265</v>
      </c>
      <c r="BE49" s="34">
        <f t="shared" si="185"/>
        <v>0.52955127167244243</v>
      </c>
      <c r="BF49" s="34">
        <f t="shared" si="185"/>
        <v>-0.38458505763580919</v>
      </c>
      <c r="BG49" s="34">
        <f t="shared" si="185"/>
        <v>-0.11725691868302912</v>
      </c>
      <c r="BH49" s="34">
        <f t="shared" si="185"/>
        <v>0.47475431956396852</v>
      </c>
      <c r="BI49" s="34">
        <f t="shared" si="185"/>
        <v>0.35061119789843054</v>
      </c>
      <c r="BJ49" s="34">
        <f t="shared" si="185"/>
        <v>-0.38866708421673646</v>
      </c>
      <c r="BK49" s="34">
        <f t="shared" si="185"/>
        <v>-0.12295605429492285</v>
      </c>
      <c r="BL49" s="34">
        <f t="shared" si="185"/>
        <v>0.25978687393975353</v>
      </c>
      <c r="BM49" s="34">
        <f t="shared" si="185"/>
        <v>0.52711399879943066</v>
      </c>
      <c r="BN49" s="34">
        <f t="shared" si="185"/>
        <v>-0.37546924333243403</v>
      </c>
      <c r="BO49" s="35"/>
      <c r="BP49" s="35" t="s">
        <v>17</v>
      </c>
      <c r="BQ49" s="35" t="s">
        <v>17</v>
      </c>
      <c r="BR49" s="35" t="s">
        <v>17</v>
      </c>
      <c r="BS49" s="35" t="s">
        <v>17</v>
      </c>
      <c r="BT49" s="35" t="s">
        <v>17</v>
      </c>
      <c r="BU49" s="35" t="s">
        <v>17</v>
      </c>
      <c r="BV49" s="35" t="s">
        <v>17</v>
      </c>
      <c r="BW49" s="35" t="s">
        <v>17</v>
      </c>
      <c r="BX49" s="35" t="s">
        <v>17</v>
      </c>
      <c r="BY49" s="35" t="s">
        <v>17</v>
      </c>
      <c r="BZ49" s="35" t="s">
        <v>17</v>
      </c>
      <c r="CA49" s="35" t="s">
        <v>17</v>
      </c>
      <c r="CB49" s="35" t="s">
        <v>17</v>
      </c>
      <c r="CC49" s="35" t="s">
        <v>17</v>
      </c>
      <c r="CD49" s="35" t="s">
        <v>17</v>
      </c>
      <c r="CE49" s="35" t="s">
        <v>17</v>
      </c>
      <c r="CF49" s="35" t="s">
        <v>17</v>
      </c>
    </row>
    <row r="50" spans="1:87" s="637" customFormat="1">
      <c r="A50" s="8" t="s">
        <v>377</v>
      </c>
      <c r="B50" s="34" t="s">
        <v>17</v>
      </c>
      <c r="C50" s="34">
        <f t="shared" ref="C50:AH50" si="186">IF(AND(B21&lt;0,C21&gt;0),"n/a",C21/B21-1)</f>
        <v>-4.2058823529411766</v>
      </c>
      <c r="D50" s="34" t="str">
        <f t="shared" si="186"/>
        <v>n/a</v>
      </c>
      <c r="E50" s="34">
        <f t="shared" si="186"/>
        <v>5.9743589743589745</v>
      </c>
      <c r="F50" s="34">
        <f t="shared" si="186"/>
        <v>-0.59191176470588236</v>
      </c>
      <c r="G50" s="34">
        <f t="shared" si="186"/>
        <v>-2.5675675675675675</v>
      </c>
      <c r="H50" s="34" t="str">
        <f t="shared" si="186"/>
        <v>n/a</v>
      </c>
      <c r="I50" s="34">
        <f t="shared" si="186"/>
        <v>17.760000000000002</v>
      </c>
      <c r="J50" s="34">
        <f t="shared" si="186"/>
        <v>-0.83582089552238803</v>
      </c>
      <c r="K50" s="34">
        <f t="shared" si="186"/>
        <v>-3.3506493506493507</v>
      </c>
      <c r="L50" s="34" t="str">
        <f t="shared" si="186"/>
        <v>n/a</v>
      </c>
      <c r="M50" s="34">
        <f t="shared" si="186"/>
        <v>2.6323529411764706</v>
      </c>
      <c r="N50" s="34">
        <f t="shared" si="186"/>
        <v>-5.6680161943319818E-2</v>
      </c>
      <c r="O50" s="34">
        <f t="shared" si="186"/>
        <v>-1.6909871244635193</v>
      </c>
      <c r="P50" s="34" t="str">
        <f t="shared" si="186"/>
        <v>n/a</v>
      </c>
      <c r="Q50" s="34">
        <f t="shared" si="186"/>
        <v>2.7132867132867133</v>
      </c>
      <c r="R50" s="34">
        <f t="shared" si="186"/>
        <v>-0.61581920903954801</v>
      </c>
      <c r="S50" s="34">
        <f t="shared" si="186"/>
        <v>-0.58333333333333326</v>
      </c>
      <c r="T50" s="34">
        <f t="shared" si="186"/>
        <v>2.6352941176470588</v>
      </c>
      <c r="U50" s="34">
        <f t="shared" si="186"/>
        <v>0.67961165048543681</v>
      </c>
      <c r="V50" s="34">
        <f t="shared" si="186"/>
        <v>-0.68593448940269752</v>
      </c>
      <c r="W50" s="34">
        <f t="shared" si="186"/>
        <v>-0.63190184049079756</v>
      </c>
      <c r="X50" s="34">
        <f t="shared" si="186"/>
        <v>3.5</v>
      </c>
      <c r="Y50" s="34">
        <f t="shared" si="186"/>
        <v>1.8074074074074074</v>
      </c>
      <c r="Z50" s="34">
        <f t="shared" si="186"/>
        <v>-0.72031662269129293</v>
      </c>
      <c r="AA50" s="34">
        <f t="shared" si="186"/>
        <v>-0.839622641509434</v>
      </c>
      <c r="AB50" s="34">
        <f t="shared" si="186"/>
        <v>5.2352941176470589</v>
      </c>
      <c r="AC50" s="34">
        <f t="shared" si="186"/>
        <v>3.6462264150943398</v>
      </c>
      <c r="AD50" s="34">
        <f t="shared" si="186"/>
        <v>-0.65989847715736039</v>
      </c>
      <c r="AE50" s="34">
        <f t="shared" si="186"/>
        <v>-0.64776119402985077</v>
      </c>
      <c r="AF50" s="34">
        <f t="shared" si="186"/>
        <v>1.0593220338983049</v>
      </c>
      <c r="AG50" s="34">
        <f t="shared" si="186"/>
        <v>2.5144032921810702</v>
      </c>
      <c r="AH50" s="34">
        <f t="shared" si="186"/>
        <v>-0.41316129711763638</v>
      </c>
      <c r="AI50" s="34">
        <f t="shared" ref="AI50:BN50" si="187">IF(AND(AH21&lt;0,AI21&gt;0),"n/a",AI21/AH21-1)</f>
        <v>-0.92417595005086495</v>
      </c>
      <c r="AJ50" s="34">
        <f t="shared" si="187"/>
        <v>7.2368421052631575</v>
      </c>
      <c r="AK50" s="34">
        <f t="shared" si="187"/>
        <v>1.2140575079872202</v>
      </c>
      <c r="AL50" s="34">
        <f t="shared" si="187"/>
        <v>-0.33766233766233766</v>
      </c>
      <c r="AM50" s="34">
        <f t="shared" si="187"/>
        <v>-0.76470588235294112</v>
      </c>
      <c r="AN50" s="34">
        <f t="shared" si="187"/>
        <v>2.4351851851851851</v>
      </c>
      <c r="AO50" s="34">
        <f t="shared" si="187"/>
        <v>1.5202156334231804</v>
      </c>
      <c r="AP50" s="34">
        <f t="shared" si="187"/>
        <v>-0.55828877005347599</v>
      </c>
      <c r="AQ50" s="34">
        <f t="shared" si="187"/>
        <v>0.23244552058111378</v>
      </c>
      <c r="AR50" s="34">
        <f t="shared" si="187"/>
        <v>-0.94695481335952847</v>
      </c>
      <c r="AS50" s="34">
        <f t="shared" si="187"/>
        <v>39.518518518518519</v>
      </c>
      <c r="AT50" s="34">
        <f t="shared" si="187"/>
        <v>-0.59232175502742224</v>
      </c>
      <c r="AU50" s="34">
        <f t="shared" si="187"/>
        <v>-0.34080717488789236</v>
      </c>
      <c r="AV50" s="34">
        <f t="shared" si="187"/>
        <v>0.9251700680272108</v>
      </c>
      <c r="AW50" s="34">
        <f t="shared" si="187"/>
        <v>1.0042316143992931</v>
      </c>
      <c r="AX50" s="34">
        <f t="shared" si="187"/>
        <v>-0.54782347759647998</v>
      </c>
      <c r="AY50" s="34">
        <f t="shared" si="187"/>
        <v>-0.26384776551882816</v>
      </c>
      <c r="AZ50" s="34">
        <f t="shared" si="187"/>
        <v>0.54577300186706523</v>
      </c>
      <c r="BA50" s="34">
        <f t="shared" si="187"/>
        <v>1.0377191749634589</v>
      </c>
      <c r="BB50" s="34">
        <f t="shared" si="187"/>
        <v>-0.60399797187075621</v>
      </c>
      <c r="BC50" s="34">
        <f t="shared" si="187"/>
        <v>-0.12950326286358671</v>
      </c>
      <c r="BD50" s="34">
        <f t="shared" si="187"/>
        <v>0.53166132786028153</v>
      </c>
      <c r="BE50" s="34">
        <f t="shared" si="187"/>
        <v>1.0271227092653712</v>
      </c>
      <c r="BF50" s="34">
        <f t="shared" si="187"/>
        <v>-0.58231781811384553</v>
      </c>
      <c r="BG50" s="34">
        <f t="shared" si="187"/>
        <v>-0.13895442515840817</v>
      </c>
      <c r="BH50" s="34">
        <f t="shared" si="187"/>
        <v>0.72204245380807808</v>
      </c>
      <c r="BI50" s="34">
        <f t="shared" si="187"/>
        <v>0.75919362101061005</v>
      </c>
      <c r="BJ50" s="34">
        <f t="shared" si="187"/>
        <v>-0.57305953238156437</v>
      </c>
      <c r="BK50" s="34">
        <f t="shared" si="187"/>
        <v>-0.13712484838742367</v>
      </c>
      <c r="BL50" s="34">
        <f t="shared" si="187"/>
        <v>0.43997190780294337</v>
      </c>
      <c r="BM50" s="34">
        <f t="shared" si="187"/>
        <v>0.95670919323193671</v>
      </c>
      <c r="BN50" s="34">
        <f t="shared" si="187"/>
        <v>-0.55194867556663629</v>
      </c>
      <c r="BO50" s="35"/>
      <c r="BP50" s="35" t="s">
        <v>17</v>
      </c>
      <c r="BQ50" s="35" t="s">
        <v>17</v>
      </c>
      <c r="BR50" s="35" t="s">
        <v>17</v>
      </c>
      <c r="BS50" s="35" t="s">
        <v>17</v>
      </c>
      <c r="BT50" s="35" t="s">
        <v>17</v>
      </c>
      <c r="BU50" s="35" t="s">
        <v>17</v>
      </c>
      <c r="BV50" s="35" t="s">
        <v>17</v>
      </c>
      <c r="BW50" s="35" t="s">
        <v>17</v>
      </c>
      <c r="BX50" s="35" t="s">
        <v>17</v>
      </c>
      <c r="BY50" s="35" t="s">
        <v>17</v>
      </c>
      <c r="BZ50" s="35" t="s">
        <v>17</v>
      </c>
      <c r="CA50" s="35" t="s">
        <v>17</v>
      </c>
      <c r="CB50" s="35" t="s">
        <v>17</v>
      </c>
      <c r="CC50" s="35" t="s">
        <v>17</v>
      </c>
      <c r="CD50" s="35" t="s">
        <v>17</v>
      </c>
      <c r="CE50" s="35" t="s">
        <v>17</v>
      </c>
      <c r="CF50" s="35" t="s">
        <v>17</v>
      </c>
    </row>
    <row r="51" spans="1:87" s="637" customFormat="1">
      <c r="A51" s="8" t="s">
        <v>220</v>
      </c>
      <c r="B51" s="34" t="s">
        <v>17</v>
      </c>
      <c r="C51" s="34">
        <f t="shared" ref="C51:AH51" si="188">IF(AND(B30&lt;0,C30&gt;0),"n/a",C30/B30-1)</f>
        <v>-4.3913043478260869</v>
      </c>
      <c r="D51" s="34" t="str">
        <f t="shared" si="188"/>
        <v>n/a</v>
      </c>
      <c r="E51" s="34">
        <f t="shared" si="188"/>
        <v>5.125</v>
      </c>
      <c r="F51" s="34">
        <f t="shared" si="188"/>
        <v>-0.57653061224489788</v>
      </c>
      <c r="G51" s="34">
        <f t="shared" si="188"/>
        <v>-2.4819277108433733</v>
      </c>
      <c r="H51" s="34" t="str">
        <f t="shared" si="188"/>
        <v>n/a</v>
      </c>
      <c r="I51" s="34">
        <f t="shared" si="188"/>
        <v>18.647058823529413</v>
      </c>
      <c r="J51" s="34">
        <f t="shared" si="188"/>
        <v>-0.83233532934131738</v>
      </c>
      <c r="K51" s="34">
        <f t="shared" si="188"/>
        <v>-3.3214285714285716</v>
      </c>
      <c r="L51" s="34" t="str">
        <f t="shared" si="188"/>
        <v>n/a</v>
      </c>
      <c r="M51" s="34">
        <f t="shared" si="188"/>
        <v>2.5918367346938775</v>
      </c>
      <c r="N51" s="34">
        <f t="shared" si="188"/>
        <v>-3.9772727272727293E-2</v>
      </c>
      <c r="O51" s="34">
        <f t="shared" si="188"/>
        <v>-1.7159763313609466</v>
      </c>
      <c r="P51" s="34" t="str">
        <f t="shared" si="188"/>
        <v>n/a</v>
      </c>
      <c r="Q51" s="34">
        <f t="shared" si="188"/>
        <v>2.7904761904761903</v>
      </c>
      <c r="R51" s="34">
        <f t="shared" si="188"/>
        <v>-0.61809045226130654</v>
      </c>
      <c r="S51" s="34">
        <f t="shared" si="188"/>
        <v>-0.59868421052631571</v>
      </c>
      <c r="T51" s="34">
        <f t="shared" si="188"/>
        <v>2.8032786885245899</v>
      </c>
      <c r="U51" s="34">
        <f t="shared" si="188"/>
        <v>0.67241379310344818</v>
      </c>
      <c r="V51" s="34">
        <f t="shared" si="188"/>
        <v>-0.67892097293814424</v>
      </c>
      <c r="W51" s="34">
        <f t="shared" si="188"/>
        <v>-0.60954806109453141</v>
      </c>
      <c r="X51" s="34">
        <f t="shared" si="188"/>
        <v>3.3583751855505044</v>
      </c>
      <c r="Y51" s="34">
        <f t="shared" si="188"/>
        <v>1.8113207547169812</v>
      </c>
      <c r="Z51" s="34">
        <f t="shared" si="188"/>
        <v>-0.72986577181208045</v>
      </c>
      <c r="AA51" s="34">
        <f t="shared" si="188"/>
        <v>-0.86335403726708071</v>
      </c>
      <c r="AB51" s="34">
        <f t="shared" si="188"/>
        <v>6.5050000000000008</v>
      </c>
      <c r="AC51" s="34">
        <f t="shared" si="188"/>
        <v>3.7033492822966503</v>
      </c>
      <c r="AD51" s="34">
        <f t="shared" si="188"/>
        <v>-0.66022380467955233</v>
      </c>
      <c r="AE51" s="34">
        <f t="shared" si="188"/>
        <v>-0.62874251497005984</v>
      </c>
      <c r="AF51" s="34">
        <f t="shared" si="188"/>
        <v>0.98387096774193528</v>
      </c>
      <c r="AG51" s="34">
        <f t="shared" si="188"/>
        <v>2.4918699186991868</v>
      </c>
      <c r="AH51" s="34">
        <f t="shared" si="188"/>
        <v>-0.41541297757678874</v>
      </c>
      <c r="AI51" s="34">
        <f t="shared" ref="AI51:BN51" si="189">IF(AND(AH30&lt;0,AI30&gt;0),"n/a",AI30/AH30-1)</f>
        <v>-0.88217992822894542</v>
      </c>
      <c r="AJ51" s="34">
        <f t="shared" si="189"/>
        <v>4.807017543859649</v>
      </c>
      <c r="AK51" s="34">
        <f t="shared" si="189"/>
        <v>1.1631419939577037</v>
      </c>
      <c r="AL51" s="34">
        <f t="shared" si="189"/>
        <v>-0.32681564245810057</v>
      </c>
      <c r="AM51" s="34">
        <f t="shared" si="189"/>
        <v>-0.73236514522821583</v>
      </c>
      <c r="AN51" s="34">
        <f t="shared" si="189"/>
        <v>2.0000000000000004</v>
      </c>
      <c r="AO51" s="34">
        <f t="shared" si="189"/>
        <v>1.4496124031007751</v>
      </c>
      <c r="AP51" s="34">
        <f t="shared" si="189"/>
        <v>-0.55063291139240511</v>
      </c>
      <c r="AQ51" s="34">
        <f t="shared" si="189"/>
        <v>0.18779342723004699</v>
      </c>
      <c r="AR51" s="34">
        <f t="shared" si="189"/>
        <v>-0.96640316205533594</v>
      </c>
      <c r="AS51" s="34">
        <f t="shared" si="189"/>
        <v>63</v>
      </c>
      <c r="AT51" s="34">
        <f t="shared" si="189"/>
        <v>-0.59926470588235292</v>
      </c>
      <c r="AU51" s="34">
        <f t="shared" si="189"/>
        <v>-0.35779816513761464</v>
      </c>
      <c r="AV51" s="34">
        <f t="shared" si="189"/>
        <v>0.97142857142857131</v>
      </c>
      <c r="AW51" s="34">
        <f t="shared" si="189"/>
        <v>1.0198141151022404</v>
      </c>
      <c r="AX51" s="34">
        <f t="shared" si="189"/>
        <v>-0.55585814670837363</v>
      </c>
      <c r="AY51" s="34">
        <f t="shared" si="189"/>
        <v>-0.27150554554274076</v>
      </c>
      <c r="AZ51" s="34">
        <f t="shared" si="189"/>
        <v>0.57519341214805864</v>
      </c>
      <c r="BA51" s="34">
        <f t="shared" si="189"/>
        <v>1.0588866323369399</v>
      </c>
      <c r="BB51" s="34">
        <f t="shared" si="189"/>
        <v>-0.61239058155434289</v>
      </c>
      <c r="BC51" s="34">
        <f t="shared" si="189"/>
        <v>-0.13391623946767051</v>
      </c>
      <c r="BD51" s="34">
        <f t="shared" si="189"/>
        <v>0.55503327500538302</v>
      </c>
      <c r="BE51" s="34">
        <f t="shared" si="189"/>
        <v>1.0561182624627672</v>
      </c>
      <c r="BF51" s="34">
        <f t="shared" si="189"/>
        <v>-0.58959241016592689</v>
      </c>
      <c r="BG51" s="34">
        <f t="shared" si="189"/>
        <v>-0.14283501596018666</v>
      </c>
      <c r="BH51" s="34">
        <f t="shared" si="189"/>
        <v>0.7484187285978825</v>
      </c>
      <c r="BI51" s="34">
        <f t="shared" si="189"/>
        <v>0.77498930354224149</v>
      </c>
      <c r="BJ51" s="34">
        <f t="shared" si="189"/>
        <v>-0.57902077893296333</v>
      </c>
      <c r="BK51" s="34">
        <f t="shared" si="189"/>
        <v>-0.14017268008365202</v>
      </c>
      <c r="BL51" s="34">
        <f t="shared" si="189"/>
        <v>0.45312630947743537</v>
      </c>
      <c r="BM51" s="34">
        <f t="shared" si="189"/>
        <v>0.97614305428345971</v>
      </c>
      <c r="BN51" s="34">
        <f t="shared" si="189"/>
        <v>-0.55690750383503418</v>
      </c>
      <c r="BO51" s="35"/>
      <c r="BP51" s="35" t="s">
        <v>17</v>
      </c>
      <c r="BQ51" s="35" t="s">
        <v>17</v>
      </c>
      <c r="BR51" s="35" t="s">
        <v>17</v>
      </c>
      <c r="BS51" s="35" t="s">
        <v>17</v>
      </c>
      <c r="BT51" s="35" t="s">
        <v>17</v>
      </c>
      <c r="BU51" s="35" t="s">
        <v>17</v>
      </c>
      <c r="BV51" s="35" t="s">
        <v>17</v>
      </c>
      <c r="BW51" s="35" t="s">
        <v>17</v>
      </c>
      <c r="BX51" s="35" t="s">
        <v>17</v>
      </c>
      <c r="BY51" s="35" t="s">
        <v>17</v>
      </c>
      <c r="BZ51" s="35" t="s">
        <v>17</v>
      </c>
      <c r="CA51" s="35" t="s">
        <v>17</v>
      </c>
      <c r="CB51" s="35" t="s">
        <v>17</v>
      </c>
      <c r="CC51" s="35" t="s">
        <v>17</v>
      </c>
      <c r="CD51" s="35" t="s">
        <v>17</v>
      </c>
      <c r="CE51" s="35" t="s">
        <v>17</v>
      </c>
      <c r="CF51" s="35" t="s">
        <v>17</v>
      </c>
    </row>
    <row r="52" spans="1:87" s="637" customFormat="1">
      <c r="A52" s="8" t="s">
        <v>379</v>
      </c>
      <c r="B52" s="34" t="s">
        <v>17</v>
      </c>
      <c r="C52" s="34">
        <f t="shared" ref="C52:AH52" si="190">IF(AND(B32&lt;0,C32&gt;0),"n/a",C32/B32-1)</f>
        <v>-4.4119830328738061</v>
      </c>
      <c r="D52" s="34" t="str">
        <f t="shared" si="190"/>
        <v>n/a</v>
      </c>
      <c r="E52" s="34">
        <f t="shared" si="190"/>
        <v>5.0884328358208961</v>
      </c>
      <c r="F52" s="34">
        <f t="shared" si="190"/>
        <v>-0.57779093780369295</v>
      </c>
      <c r="G52" s="34">
        <f t="shared" si="190"/>
        <v>-2.5043133258107959</v>
      </c>
      <c r="H52" s="34" t="str">
        <f t="shared" si="190"/>
        <v>n/a</v>
      </c>
      <c r="I52" s="34">
        <f t="shared" si="190"/>
        <v>18.58893143056039</v>
      </c>
      <c r="J52" s="34">
        <f t="shared" si="190"/>
        <v>-0.82930524493182312</v>
      </c>
      <c r="K52" s="34">
        <f t="shared" si="190"/>
        <v>-3.4312753492564219</v>
      </c>
      <c r="L52" s="34" t="str">
        <f t="shared" si="190"/>
        <v>n/a</v>
      </c>
      <c r="M52" s="34">
        <f t="shared" si="190"/>
        <v>2.7084548104956268</v>
      </c>
      <c r="N52" s="34">
        <f t="shared" si="190"/>
        <v>-3.6644951140065052E-2</v>
      </c>
      <c r="O52" s="34">
        <f t="shared" si="190"/>
        <v>-1.7230418872625348</v>
      </c>
      <c r="P52" s="34" t="str">
        <f t="shared" si="190"/>
        <v>n/a</v>
      </c>
      <c r="Q52" s="34">
        <f t="shared" si="190"/>
        <v>2.7904761904761908</v>
      </c>
      <c r="R52" s="34">
        <f t="shared" si="190"/>
        <v>-0.62168207810210929</v>
      </c>
      <c r="S52" s="34">
        <f t="shared" si="190"/>
        <v>-0.60118462042957854</v>
      </c>
      <c r="T52" s="34">
        <f t="shared" si="190"/>
        <v>2.8271236959761552</v>
      </c>
      <c r="U52" s="34">
        <f t="shared" si="190"/>
        <v>0.67241379310344818</v>
      </c>
      <c r="V52" s="34">
        <f t="shared" si="190"/>
        <v>-0.68387589619527167</v>
      </c>
      <c r="W52" s="34">
        <f t="shared" si="190"/>
        <v>-0.61074945167577899</v>
      </c>
      <c r="X52" s="34">
        <f t="shared" si="190"/>
        <v>3.3400610933723671</v>
      </c>
      <c r="Y52" s="34">
        <f t="shared" si="190"/>
        <v>1.8231839028009618</v>
      </c>
      <c r="Z52" s="34">
        <f t="shared" si="190"/>
        <v>-0.7247848772380131</v>
      </c>
      <c r="AA52" s="34">
        <f t="shared" si="190"/>
        <v>-0.86073462584089055</v>
      </c>
      <c r="AB52" s="34">
        <f t="shared" si="190"/>
        <v>6.4810987261146504</v>
      </c>
      <c r="AC52" s="34">
        <f t="shared" si="190"/>
        <v>3.7183759573199628</v>
      </c>
      <c r="AD52" s="34">
        <f t="shared" si="190"/>
        <v>-0.65913477841249968</v>
      </c>
      <c r="AE52" s="34">
        <f t="shared" si="190"/>
        <v>-0.62992864112031532</v>
      </c>
      <c r="AF52" s="34">
        <f t="shared" si="190"/>
        <v>0.9902295285359799</v>
      </c>
      <c r="AG52" s="34">
        <f t="shared" si="190"/>
        <v>2.5030977962512746</v>
      </c>
      <c r="AH52" s="34">
        <f t="shared" si="190"/>
        <v>-0.41541297757678874</v>
      </c>
      <c r="AI52" s="34">
        <f t="shared" ref="AI52:BN52" si="191">IF(AND(AH32&lt;0,AI32&gt;0),"n/a",AI32/AH32-1)</f>
        <v>-0.88179986348129691</v>
      </c>
      <c r="AJ52" s="34">
        <f t="shared" si="191"/>
        <v>4.863763643636779</v>
      </c>
      <c r="AK52" s="34">
        <f t="shared" si="191"/>
        <v>1.1844887899507075</v>
      </c>
      <c r="AL52" s="34">
        <f t="shared" si="191"/>
        <v>-0.32010616381150359</v>
      </c>
      <c r="AM52" s="34">
        <f t="shared" si="191"/>
        <v>-0.73057494553074565</v>
      </c>
      <c r="AN52" s="34">
        <f t="shared" si="191"/>
        <v>2.0304054054054061</v>
      </c>
      <c r="AO52" s="34">
        <f t="shared" si="191"/>
        <v>1.4662764330538414</v>
      </c>
      <c r="AP52" s="34">
        <f t="shared" si="191"/>
        <v>-0.54755505462112031</v>
      </c>
      <c r="AQ52" s="34">
        <f t="shared" si="191"/>
        <v>0.18779342723004722</v>
      </c>
      <c r="AR52" s="34">
        <f t="shared" si="191"/>
        <v>-0.96651782703125633</v>
      </c>
      <c r="AS52" s="34">
        <f t="shared" si="191"/>
        <v>63.219178082191789</v>
      </c>
      <c r="AT52" s="34">
        <f t="shared" si="191"/>
        <v>-0.5936989379084967</v>
      </c>
      <c r="AU52" s="34">
        <f t="shared" si="191"/>
        <v>-0.36002031681533919</v>
      </c>
      <c r="AV52" s="34">
        <f t="shared" si="191"/>
        <v>0.98516674962668005</v>
      </c>
      <c r="AW52" s="34">
        <f t="shared" si="191"/>
        <v>1.0185905885362763</v>
      </c>
      <c r="AX52" s="34">
        <f t="shared" si="191"/>
        <v>-0.55360230637183816</v>
      </c>
      <c r="AY52" s="34">
        <f t="shared" si="191"/>
        <v>-0.25991817363509651</v>
      </c>
      <c r="AZ52" s="34">
        <f t="shared" si="191"/>
        <v>0.58366827592751269</v>
      </c>
      <c r="BA52" s="34">
        <f t="shared" si="191"/>
        <v>1.0696445920087969</v>
      </c>
      <c r="BB52" s="34">
        <f t="shared" si="191"/>
        <v>-0.61207287279051481</v>
      </c>
      <c r="BC52" s="34">
        <f t="shared" si="191"/>
        <v>-0.13680030611624927</v>
      </c>
      <c r="BD52" s="34">
        <f t="shared" si="191"/>
        <v>0.54986345179983798</v>
      </c>
      <c r="BE52" s="34">
        <f t="shared" si="191"/>
        <v>1.0488809916016124</v>
      </c>
      <c r="BF52" s="34">
        <f t="shared" si="191"/>
        <v>-0.59098924097093097</v>
      </c>
      <c r="BG52" s="34">
        <f t="shared" si="191"/>
        <v>-0.14550508182486654</v>
      </c>
      <c r="BH52" s="34">
        <f t="shared" si="191"/>
        <v>0.74243546611779698</v>
      </c>
      <c r="BI52" s="34">
        <f t="shared" si="191"/>
        <v>0.76847362021270715</v>
      </c>
      <c r="BJ52" s="34">
        <f t="shared" si="191"/>
        <v>-0.5804116132362136</v>
      </c>
      <c r="BK52" s="34">
        <f t="shared" si="191"/>
        <v>-0.14274316456538172</v>
      </c>
      <c r="BL52" s="34">
        <f t="shared" si="191"/>
        <v>0.448780102720167</v>
      </c>
      <c r="BM52" s="34">
        <f t="shared" si="191"/>
        <v>0.96982684515263884</v>
      </c>
      <c r="BN52" s="34">
        <f t="shared" si="191"/>
        <v>-0.55828401859424615</v>
      </c>
      <c r="BO52" s="35"/>
      <c r="BP52" s="35" t="s">
        <v>17</v>
      </c>
      <c r="BQ52" s="35" t="s">
        <v>17</v>
      </c>
      <c r="BR52" s="35" t="s">
        <v>17</v>
      </c>
      <c r="BS52" s="35" t="s">
        <v>17</v>
      </c>
      <c r="BT52" s="35" t="s">
        <v>17</v>
      </c>
      <c r="BU52" s="35" t="s">
        <v>17</v>
      </c>
      <c r="BV52" s="35" t="s">
        <v>17</v>
      </c>
      <c r="BW52" s="35" t="s">
        <v>17</v>
      </c>
      <c r="BX52" s="35" t="s">
        <v>17</v>
      </c>
      <c r="BY52" s="35" t="s">
        <v>17</v>
      </c>
      <c r="BZ52" s="35" t="s">
        <v>17</v>
      </c>
      <c r="CA52" s="35" t="s">
        <v>17</v>
      </c>
      <c r="CB52" s="35" t="s">
        <v>17</v>
      </c>
      <c r="CC52" s="35" t="s">
        <v>17</v>
      </c>
      <c r="CD52" s="35" t="s">
        <v>17</v>
      </c>
      <c r="CE52" s="35" t="s">
        <v>17</v>
      </c>
      <c r="CF52" s="35" t="s">
        <v>17</v>
      </c>
    </row>
    <row r="53" spans="1:87" s="637" customFormat="1">
      <c r="A53" s="8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5"/>
      <c r="BP53" s="35"/>
      <c r="BQ53" s="35"/>
      <c r="BR53" s="35"/>
      <c r="BS53" s="35"/>
      <c r="BT53" s="35"/>
      <c r="BU53" s="35"/>
      <c r="BV53" s="35"/>
      <c r="BW53" s="35"/>
      <c r="BX53" s="35"/>
      <c r="BY53" s="35"/>
      <c r="BZ53" s="35"/>
      <c r="CA53" s="35"/>
      <c r="CB53" s="35"/>
      <c r="CC53" s="35"/>
      <c r="CD53" s="35"/>
      <c r="CE53" s="35"/>
      <c r="CF53" s="35"/>
    </row>
    <row r="54" spans="1:87" s="307" customFormat="1">
      <c r="A54" s="634" t="s">
        <v>370</v>
      </c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5"/>
      <c r="BP54" s="35"/>
      <c r="BQ54" s="35"/>
      <c r="BR54" s="35"/>
      <c r="BS54" s="35"/>
      <c r="BT54" s="35"/>
      <c r="BU54" s="35"/>
      <c r="BV54" s="35"/>
      <c r="BW54" s="35"/>
      <c r="BX54" s="35"/>
      <c r="BY54" s="35"/>
      <c r="BZ54" s="35"/>
      <c r="CA54" s="35"/>
      <c r="CB54" s="35"/>
      <c r="CC54" s="35"/>
      <c r="CD54" s="35"/>
      <c r="CE54" s="35"/>
      <c r="CF54" s="35"/>
    </row>
    <row r="55" spans="1:87" s="637" customFormat="1">
      <c r="A55" s="8" t="s">
        <v>369</v>
      </c>
      <c r="B55" s="623">
        <f t="shared" ref="B55:AU55" si="192">B12/B9</f>
        <v>0.65176470588235291</v>
      </c>
      <c r="C55" s="623">
        <f t="shared" si="192"/>
        <v>0.59554730983302406</v>
      </c>
      <c r="D55" s="623">
        <f t="shared" si="192"/>
        <v>0.59162895927601811</v>
      </c>
      <c r="E55" s="623">
        <f t="shared" si="192"/>
        <v>0.58723404255319145</v>
      </c>
      <c r="F55" s="623">
        <f t="shared" si="192"/>
        <v>0.6733668341708543</v>
      </c>
      <c r="G55" s="623">
        <f t="shared" si="192"/>
        <v>0.54961832061068705</v>
      </c>
      <c r="H55" s="623">
        <f t="shared" si="192"/>
        <v>0.58994197292069628</v>
      </c>
      <c r="I55" s="623">
        <f t="shared" si="192"/>
        <v>0.67413688673531191</v>
      </c>
      <c r="J55" s="623">
        <f t="shared" si="192"/>
        <v>0.64585465711361312</v>
      </c>
      <c r="K55" s="623">
        <f t="shared" si="192"/>
        <v>0.61507128309572301</v>
      </c>
      <c r="L55" s="623">
        <f t="shared" si="192"/>
        <v>0.60092592592592597</v>
      </c>
      <c r="M55" s="623">
        <f t="shared" si="192"/>
        <v>0.65651438240270732</v>
      </c>
      <c r="N55" s="623">
        <f t="shared" si="192"/>
        <v>0.74326923076923079</v>
      </c>
      <c r="O55" s="623">
        <f t="shared" si="192"/>
        <v>0.63838383838383839</v>
      </c>
      <c r="P55" s="623">
        <f t="shared" si="192"/>
        <v>0.61730769230769234</v>
      </c>
      <c r="Q55" s="623">
        <f t="shared" si="192"/>
        <v>0.68129770992366412</v>
      </c>
      <c r="R55" s="623">
        <f t="shared" si="192"/>
        <v>0.7735229759299781</v>
      </c>
      <c r="S55" s="623">
        <f t="shared" si="192"/>
        <v>0.70193548387096771</v>
      </c>
      <c r="T55" s="623">
        <f t="shared" si="192"/>
        <v>0.66065573770491803</v>
      </c>
      <c r="U55" s="623">
        <f t="shared" si="192"/>
        <v>0.72829131652661061</v>
      </c>
      <c r="V55" s="623">
        <f t="shared" si="192"/>
        <v>0.7544642857142857</v>
      </c>
      <c r="W55" s="623">
        <f t="shared" si="192"/>
        <v>0.76767676767676762</v>
      </c>
      <c r="X55" s="623">
        <f t="shared" si="192"/>
        <v>0.65357766143106455</v>
      </c>
      <c r="Y55" s="623">
        <f t="shared" si="192"/>
        <v>0.70382695507487525</v>
      </c>
      <c r="Z55" s="623">
        <f t="shared" si="192"/>
        <v>0.76948051948051943</v>
      </c>
      <c r="AA55" s="623">
        <f t="shared" si="192"/>
        <v>0.75806451612903225</v>
      </c>
      <c r="AB55" s="623">
        <f t="shared" si="192"/>
        <v>0.6466302367941712</v>
      </c>
      <c r="AC55" s="623">
        <f t="shared" si="192"/>
        <v>0.75942028985507248</v>
      </c>
      <c r="AD55" s="623">
        <f t="shared" si="192"/>
        <v>0.81593406593406592</v>
      </c>
      <c r="AE55" s="623">
        <f t="shared" si="192"/>
        <v>0.80258064516129035</v>
      </c>
      <c r="AF55" s="623">
        <f t="shared" si="192"/>
        <v>0.67090754877014414</v>
      </c>
      <c r="AG55" s="623">
        <f t="shared" si="192"/>
        <v>0.74581430745814303</v>
      </c>
      <c r="AH55" s="623">
        <f t="shared" si="192"/>
        <v>0.81606394602513033</v>
      </c>
      <c r="AI55" s="623">
        <f t="shared" si="192"/>
        <v>0.78104138851802407</v>
      </c>
      <c r="AJ55" s="623">
        <f t="shared" si="192"/>
        <v>0.69558101472995093</v>
      </c>
      <c r="AK55" s="623">
        <f t="shared" si="192"/>
        <v>0.77439403356121816</v>
      </c>
      <c r="AL55" s="623">
        <f t="shared" si="192"/>
        <v>0.83357771260997071</v>
      </c>
      <c r="AM55" s="623">
        <f t="shared" si="192"/>
        <v>0.81457800511508949</v>
      </c>
      <c r="AN55" s="623">
        <f t="shared" si="192"/>
        <v>0.72124904798172129</v>
      </c>
      <c r="AO55" s="623">
        <f t="shared" si="192"/>
        <v>0.77288471053933694</v>
      </c>
      <c r="AP55" s="623">
        <f t="shared" si="192"/>
        <v>0.82324840764331209</v>
      </c>
      <c r="AQ55" s="623">
        <f t="shared" si="192"/>
        <v>0.79352517985611515</v>
      </c>
      <c r="AR55" s="623">
        <f t="shared" si="192"/>
        <v>0.68791208791208791</v>
      </c>
      <c r="AS55" s="623">
        <f t="shared" si="192"/>
        <v>0.75</v>
      </c>
      <c r="AT55" s="623">
        <f t="shared" si="192"/>
        <v>0.78926174496644297</v>
      </c>
      <c r="AU55" s="623">
        <f t="shared" si="192"/>
        <v>0.78143712574850299</v>
      </c>
      <c r="AV55" s="623">
        <f t="shared" ref="AV55" si="193">AV12/AV9</f>
        <v>0.74608319827120473</v>
      </c>
      <c r="AW55" s="623">
        <f t="shared" ref="AW55:BN55" si="194">AS55+AW56/10000</f>
        <v>0.78</v>
      </c>
      <c r="AX55" s="623">
        <f t="shared" si="194"/>
        <v>0.78926174496644297</v>
      </c>
      <c r="AY55" s="623">
        <f t="shared" si="194"/>
        <v>0.78043712574850299</v>
      </c>
      <c r="AZ55" s="623">
        <f t="shared" si="194"/>
        <v>0.74508319827120473</v>
      </c>
      <c r="BA55" s="623">
        <f t="shared" si="194"/>
        <v>0.77900000000000003</v>
      </c>
      <c r="BB55" s="623">
        <f t="shared" si="194"/>
        <v>0.78826174496644297</v>
      </c>
      <c r="BC55" s="623">
        <f t="shared" si="194"/>
        <v>0.78243712574850299</v>
      </c>
      <c r="BD55" s="623">
        <f t="shared" si="194"/>
        <v>0.74708319827120473</v>
      </c>
      <c r="BE55" s="623">
        <f t="shared" si="194"/>
        <v>0.78100000000000003</v>
      </c>
      <c r="BF55" s="623">
        <f t="shared" si="194"/>
        <v>0.79026174496644297</v>
      </c>
      <c r="BG55" s="623">
        <f t="shared" si="194"/>
        <v>0.78343712574850299</v>
      </c>
      <c r="BH55" s="623">
        <f t="shared" si="194"/>
        <v>0.74808319827120473</v>
      </c>
      <c r="BI55" s="623">
        <f t="shared" si="194"/>
        <v>0.78200000000000003</v>
      </c>
      <c r="BJ55" s="623">
        <f t="shared" si="194"/>
        <v>0.79126174496644297</v>
      </c>
      <c r="BK55" s="623">
        <f t="shared" si="194"/>
        <v>0.78393712574850294</v>
      </c>
      <c r="BL55" s="623">
        <f t="shared" si="194"/>
        <v>0.74858319827120468</v>
      </c>
      <c r="BM55" s="623">
        <f t="shared" si="194"/>
        <v>0.78249999999999997</v>
      </c>
      <c r="BN55" s="623">
        <f t="shared" si="194"/>
        <v>0.79176174496644292</v>
      </c>
      <c r="BO55" s="415"/>
      <c r="BP55" s="415">
        <f t="shared" ref="BP55:CF55" si="195">BP12/BP9</f>
        <v>0.49579147434156939</v>
      </c>
      <c r="BQ55" s="415">
        <f t="shared" si="195"/>
        <v>0.61180773249738762</v>
      </c>
      <c r="BR55" s="415">
        <f t="shared" si="195"/>
        <v>0.63115145723841382</v>
      </c>
      <c r="BS55" s="415">
        <f t="shared" si="195"/>
        <v>0.65910888478776697</v>
      </c>
      <c r="BT55" s="415">
        <f t="shared" si="195"/>
        <v>0.68042775428997759</v>
      </c>
      <c r="BU55" s="415">
        <f t="shared" si="195"/>
        <v>0.70988654781199356</v>
      </c>
      <c r="BV55" s="415">
        <f t="shared" si="195"/>
        <v>0.71419185282523001</v>
      </c>
      <c r="BW55" s="415">
        <f t="shared" si="195"/>
        <v>0.74666127074059085</v>
      </c>
      <c r="BX55" s="415">
        <f t="shared" si="195"/>
        <v>0.75427804097713103</v>
      </c>
      <c r="BY55" s="35">
        <f t="shared" si="195"/>
        <v>0.7722491909385113</v>
      </c>
      <c r="BZ55" s="35">
        <f t="shared" si="195"/>
        <v>0.77810871183916608</v>
      </c>
      <c r="CA55" s="35">
        <f t="shared" si="195"/>
        <v>0.76009693053311789</v>
      </c>
      <c r="CB55" s="35">
        <f t="shared" si="195"/>
        <v>0.77419486355918687</v>
      </c>
      <c r="CC55" s="35">
        <f t="shared" si="195"/>
        <v>0.77303958631203284</v>
      </c>
      <c r="CD55" s="35">
        <f t="shared" si="195"/>
        <v>0.77500849449925691</v>
      </c>
      <c r="CE55" s="35">
        <f t="shared" si="195"/>
        <v>0.77507647149250691</v>
      </c>
      <c r="CF55" s="35">
        <f t="shared" si="195"/>
        <v>0.7765601296386857</v>
      </c>
    </row>
    <row r="56" spans="1:87" s="200" customFormat="1" ht="12.75" customHeight="1">
      <c r="A56" s="72" t="s">
        <v>89</v>
      </c>
      <c r="B56" s="34" t="str">
        <f>Drivers!B220</f>
        <v>n/a</v>
      </c>
      <c r="C56" s="34" t="str">
        <f>Drivers!C220</f>
        <v>n/a</v>
      </c>
      <c r="D56" s="34" t="str">
        <f>Drivers!D220</f>
        <v>n/a</v>
      </c>
      <c r="E56" s="34" t="str">
        <f>Drivers!E220</f>
        <v>n/a</v>
      </c>
      <c r="F56" s="197">
        <f>Drivers!F220</f>
        <v>216.02128288501387</v>
      </c>
      <c r="G56" s="197">
        <f>Drivers!G220</f>
        <v>-459.28989222337015</v>
      </c>
      <c r="H56" s="197">
        <f>Drivers!H220</f>
        <v>-16.869863553218288</v>
      </c>
      <c r="I56" s="197">
        <f>Drivers!I220</f>
        <v>869.02844182120464</v>
      </c>
      <c r="J56" s="197">
        <f>Drivers!J220</f>
        <v>-275.12177057241183</v>
      </c>
      <c r="K56" s="197">
        <f>Drivers!K220</f>
        <v>654.5296248503596</v>
      </c>
      <c r="L56" s="197">
        <f>Drivers!L220</f>
        <v>109.83953005229696</v>
      </c>
      <c r="M56" s="197">
        <f>Drivers!M220</f>
        <v>-176.22504332604595</v>
      </c>
      <c r="N56" s="197">
        <f>Drivers!N220</f>
        <v>974.14573655617676</v>
      </c>
      <c r="O56" s="197">
        <f>Drivers!O220</f>
        <v>233.12555288115377</v>
      </c>
      <c r="P56" s="197">
        <f>Drivers!P220</f>
        <v>163.8176638176636</v>
      </c>
      <c r="Q56" s="197">
        <f>Drivers!Q220</f>
        <v>247.833275209568</v>
      </c>
      <c r="R56" s="197">
        <f>Drivers!R220</f>
        <v>302.53745160747303</v>
      </c>
      <c r="S56" s="197">
        <f>Drivers!S220</f>
        <v>635.51645487129326</v>
      </c>
      <c r="T56" s="197">
        <f>Drivers!T220</f>
        <v>433.48045397225701</v>
      </c>
      <c r="U56" s="197">
        <f>Drivers!U220</f>
        <v>469.93606602946494</v>
      </c>
      <c r="V56" s="197">
        <f>Drivers!V220</f>
        <v>-190.58690215692397</v>
      </c>
      <c r="W56" s="197">
        <f>Drivers!W220</f>
        <v>657.41283805799912</v>
      </c>
      <c r="X56" s="197">
        <f>Drivers!X220</f>
        <v>-70.780762738534847</v>
      </c>
      <c r="Y56" s="197">
        <f>Drivers!Y220</f>
        <v>-244.64361451735363</v>
      </c>
      <c r="Z56" s="197">
        <f>Drivers!Z220</f>
        <v>150.16233766233734</v>
      </c>
      <c r="AA56" s="197">
        <f>Drivers!AA220</f>
        <v>-96.12251547735373</v>
      </c>
      <c r="AB56" s="197">
        <f>Drivers!AB220</f>
        <v>-69.474246368933507</v>
      </c>
      <c r="AC56" s="197">
        <f>Drivers!AC220</f>
        <v>555.93334780197233</v>
      </c>
      <c r="AD56" s="197">
        <f>Drivers!AD220</f>
        <v>464.53546453546488</v>
      </c>
      <c r="AE56" s="197">
        <f>Drivers!AE220</f>
        <v>445.16129032258101</v>
      </c>
      <c r="AF56" s="197">
        <f>Drivers!AF220</f>
        <v>242.77311975972938</v>
      </c>
      <c r="AG56" s="197">
        <f>Drivers!AG220</f>
        <v>-136.05982396929451</v>
      </c>
      <c r="AH56" s="197">
        <f>Drivers!AH220</f>
        <v>1.298800910644049</v>
      </c>
      <c r="AI56" s="197">
        <f>Drivers!AI220</f>
        <v>-215.39256643266279</v>
      </c>
      <c r="AJ56" s="197">
        <f>Drivers!AJ220</f>
        <v>246.73465959806796</v>
      </c>
      <c r="AK56" s="197">
        <f>Drivers!AK220</f>
        <v>285.79726103075132</v>
      </c>
      <c r="AL56" s="197">
        <f>Drivers!AL220</f>
        <v>175.13766584840386</v>
      </c>
      <c r="AM56" s="197">
        <f>Drivers!AM220</f>
        <v>335.36616597065415</v>
      </c>
      <c r="AN56" s="197">
        <f>Drivers!AN220</f>
        <v>256.68033251770362</v>
      </c>
      <c r="AO56" s="197">
        <f>Drivers!AO220</f>
        <v>-15.093230218812259</v>
      </c>
      <c r="AP56" s="197">
        <f>Drivers!AP220</f>
        <v>-103.29304966658626</v>
      </c>
      <c r="AQ56" s="197">
        <f>Drivers!AQ220</f>
        <v>-210.5282525897434</v>
      </c>
      <c r="AR56" s="197">
        <f>Drivers!AR220</f>
        <v>-333.3696006963338</v>
      </c>
      <c r="AS56" s="197">
        <f>Drivers!AS220</f>
        <v>-228.84710539336939</v>
      </c>
      <c r="AT56" s="197">
        <f>Drivers!AT220</f>
        <v>-339.86662676869116</v>
      </c>
      <c r="AU56" s="197">
        <f>Drivers!AU220</f>
        <v>-120.88054107612156</v>
      </c>
      <c r="AV56" s="197">
        <f>Drivers!AV220</f>
        <v>581.71110359116813</v>
      </c>
      <c r="AW56" s="230">
        <f>Drivers!AW220</f>
        <v>300</v>
      </c>
      <c r="AX56" s="230">
        <f>Drivers!AX220</f>
        <v>0</v>
      </c>
      <c r="AY56" s="230">
        <f>Drivers!AY220</f>
        <v>-10</v>
      </c>
      <c r="AZ56" s="230">
        <f>Drivers!AZ220</f>
        <v>-10</v>
      </c>
      <c r="BA56" s="230">
        <f>Drivers!BA220</f>
        <v>-10</v>
      </c>
      <c r="BB56" s="230">
        <f>Drivers!BB220</f>
        <v>-10</v>
      </c>
      <c r="BC56" s="230">
        <f>Drivers!BC220</f>
        <v>20</v>
      </c>
      <c r="BD56" s="230">
        <f>Drivers!BD220</f>
        <v>20</v>
      </c>
      <c r="BE56" s="230">
        <f>Drivers!BE220</f>
        <v>20</v>
      </c>
      <c r="BF56" s="230">
        <f>Drivers!BF220</f>
        <v>20</v>
      </c>
      <c r="BG56" s="230">
        <f>Drivers!BG220</f>
        <v>10</v>
      </c>
      <c r="BH56" s="230">
        <f>Drivers!BH220</f>
        <v>10</v>
      </c>
      <c r="BI56" s="230">
        <f>Drivers!BI220</f>
        <v>10</v>
      </c>
      <c r="BJ56" s="230">
        <f>Drivers!BJ220</f>
        <v>10</v>
      </c>
      <c r="BK56" s="230">
        <f>Drivers!BK220</f>
        <v>5</v>
      </c>
      <c r="BL56" s="230">
        <f>Drivers!BL220</f>
        <v>5</v>
      </c>
      <c r="BM56" s="230">
        <f>Drivers!BM220</f>
        <v>5</v>
      </c>
      <c r="BN56" s="230">
        <f>Drivers!BN220</f>
        <v>5</v>
      </c>
      <c r="BO56" s="197"/>
      <c r="BP56" s="197" t="str">
        <f>Drivers!BP220</f>
        <v>n/a</v>
      </c>
      <c r="BQ56" s="197" t="str">
        <f>Drivers!BQ220</f>
        <v>n/a</v>
      </c>
      <c r="BR56" s="197">
        <f>Drivers!BR220</f>
        <v>193.4372474102619</v>
      </c>
      <c r="BS56" s="197">
        <f>Drivers!BS220</f>
        <v>279.57427549353156</v>
      </c>
      <c r="BT56" s="197">
        <f>Drivers!BT220</f>
        <v>213.18869502210623</v>
      </c>
      <c r="BU56" s="197">
        <f>Drivers!BU220</f>
        <v>294.58793522015969</v>
      </c>
      <c r="BV56" s="197">
        <f>Drivers!BV220</f>
        <v>43.05305013236449</v>
      </c>
      <c r="BW56" s="197">
        <f>Drivers!BW220</f>
        <v>324.69417915360845</v>
      </c>
      <c r="BX56" s="197">
        <f>Drivers!BX220</f>
        <v>76.167702365401709</v>
      </c>
      <c r="BY56" s="197">
        <f>Drivers!BY220</f>
        <v>179.71149961380272</v>
      </c>
      <c r="BZ56" s="197">
        <f>Drivers!BZ220</f>
        <v>58.595209006547798</v>
      </c>
      <c r="CA56" s="197">
        <f>Drivers!CA220</f>
        <v>-180.11781306048192</v>
      </c>
      <c r="CB56" s="197">
        <f>Drivers!CB220</f>
        <v>140.97933026068986</v>
      </c>
      <c r="CC56" s="197">
        <f>Drivers!CC220</f>
        <v>-11.552772471540296</v>
      </c>
      <c r="CD56" s="197">
        <f>Drivers!CD220</f>
        <v>19.68908187224061</v>
      </c>
      <c r="CE56" s="197">
        <f>Drivers!CE220</f>
        <v>0.67976993250007389</v>
      </c>
      <c r="CF56" s="197">
        <f>Drivers!CF220</f>
        <v>14.836581461787901</v>
      </c>
      <c r="CG56" s="77"/>
      <c r="CH56" s="77"/>
      <c r="CI56" s="77"/>
    </row>
    <row r="57" spans="1:87" s="637" customFormat="1">
      <c r="A57" s="8" t="s">
        <v>3</v>
      </c>
      <c r="B57" s="623">
        <f t="shared" ref="B57:AG57" si="196">B21/B9</f>
        <v>0.04</v>
      </c>
      <c r="C57" s="623">
        <f t="shared" si="196"/>
        <v>-0.20222634508348794</v>
      </c>
      <c r="D57" s="623">
        <f t="shared" si="196"/>
        <v>4.4117647058823532E-2</v>
      </c>
      <c r="E57" s="623">
        <f t="shared" si="196"/>
        <v>0.19290780141843972</v>
      </c>
      <c r="F57" s="623">
        <f t="shared" si="196"/>
        <v>0.11155778894472362</v>
      </c>
      <c r="G57" s="623">
        <f t="shared" si="196"/>
        <v>-0.33206106870229007</v>
      </c>
      <c r="H57" s="623">
        <f t="shared" si="196"/>
        <v>2.4177949709864602E-2</v>
      </c>
      <c r="I57" s="623">
        <f t="shared" si="196"/>
        <v>0.28407026044821321</v>
      </c>
      <c r="J57" s="623">
        <f t="shared" si="196"/>
        <v>7.8812691914022515E-2</v>
      </c>
      <c r="K57" s="623">
        <f t="shared" si="196"/>
        <v>-0.36863543788187375</v>
      </c>
      <c r="L57" s="623">
        <f t="shared" si="196"/>
        <v>6.2962962962962957E-2</v>
      </c>
      <c r="M57" s="623">
        <f t="shared" si="196"/>
        <v>0.20896785109983079</v>
      </c>
      <c r="N57" s="623">
        <f t="shared" si="196"/>
        <v>0.22403846153846155</v>
      </c>
      <c r="O57" s="623">
        <f t="shared" si="196"/>
        <v>-0.32525252525252524</v>
      </c>
      <c r="P57" s="623">
        <f t="shared" si="196"/>
        <v>0.13750000000000001</v>
      </c>
      <c r="Q57" s="623">
        <f t="shared" si="196"/>
        <v>0.33778625954198471</v>
      </c>
      <c r="R57" s="623">
        <f t="shared" si="196"/>
        <v>0.22319474835886213</v>
      </c>
      <c r="S57" s="623">
        <f t="shared" si="196"/>
        <v>0.10967741935483871</v>
      </c>
      <c r="T57" s="623">
        <f t="shared" si="196"/>
        <v>0.25327868852459018</v>
      </c>
      <c r="U57" s="623">
        <f t="shared" si="196"/>
        <v>0.36344537815126049</v>
      </c>
      <c r="V57" s="623">
        <f t="shared" si="196"/>
        <v>0.18191964285714285</v>
      </c>
      <c r="W57" s="623">
        <f t="shared" si="196"/>
        <v>8.6580086580086577E-2</v>
      </c>
      <c r="X57" s="623">
        <f t="shared" si="196"/>
        <v>0.2356020942408377</v>
      </c>
      <c r="Y57" s="623">
        <f t="shared" si="196"/>
        <v>0.42041042706600112</v>
      </c>
      <c r="Z57" s="623">
        <f t="shared" si="196"/>
        <v>0.22943722943722944</v>
      </c>
      <c r="AA57" s="623">
        <f t="shared" si="196"/>
        <v>4.9853372434017593E-2</v>
      </c>
      <c r="AB57" s="623">
        <f t="shared" si="196"/>
        <v>0.19307832422586521</v>
      </c>
      <c r="AC57" s="623">
        <f t="shared" si="196"/>
        <v>0.47584541062801933</v>
      </c>
      <c r="AD57" s="623">
        <f t="shared" si="196"/>
        <v>0.3067765567765568</v>
      </c>
      <c r="AE57" s="623">
        <f t="shared" si="196"/>
        <v>0.15225806451612903</v>
      </c>
      <c r="AF57" s="623">
        <f t="shared" si="196"/>
        <v>0.20610687022900764</v>
      </c>
      <c r="AG57" s="623">
        <f t="shared" si="196"/>
        <v>0.43328259766615929</v>
      </c>
      <c r="AH57" s="623">
        <f t="shared" ref="AH57:BN57" si="197">AH21/AH9</f>
        <v>0.39933087829604663</v>
      </c>
      <c r="AI57" s="623">
        <f t="shared" si="197"/>
        <v>5.0734312416555405E-2</v>
      </c>
      <c r="AJ57" s="623">
        <f t="shared" si="197"/>
        <v>0.25613747954173488</v>
      </c>
      <c r="AK57" s="623">
        <f t="shared" si="197"/>
        <v>0.43070229956494716</v>
      </c>
      <c r="AL57" s="623">
        <f t="shared" si="197"/>
        <v>0.33651026392961875</v>
      </c>
      <c r="AM57" s="623">
        <f t="shared" si="197"/>
        <v>0.13810741687979539</v>
      </c>
      <c r="AN57" s="623">
        <f t="shared" si="197"/>
        <v>0.28255902513328257</v>
      </c>
      <c r="AO57" s="623">
        <f t="shared" si="197"/>
        <v>0.46264225630875805</v>
      </c>
      <c r="AP57" s="623">
        <f t="shared" si="197"/>
        <v>0.32882165605095542</v>
      </c>
      <c r="AQ57" s="623">
        <f t="shared" si="197"/>
        <v>0.36618705035971222</v>
      </c>
      <c r="AR57" s="623">
        <f t="shared" si="197"/>
        <v>2.9670329670329669E-2</v>
      </c>
      <c r="AS57" s="623">
        <f t="shared" si="197"/>
        <v>0.45583333333333331</v>
      </c>
      <c r="AT57" s="623">
        <f t="shared" si="197"/>
        <v>0.29932885906040269</v>
      </c>
      <c r="AU57" s="623">
        <f t="shared" si="197"/>
        <v>0.22005988023952097</v>
      </c>
      <c r="AV57" s="623">
        <f t="shared" ref="AV57" si="198">AV21/AV9</f>
        <v>0.30578065910318747</v>
      </c>
      <c r="AW57" s="623">
        <f t="shared" si="197"/>
        <v>0.42999999999999994</v>
      </c>
      <c r="AX57" s="623">
        <f t="shared" si="197"/>
        <v>0.28577181208053698</v>
      </c>
      <c r="AY57" s="623">
        <f t="shared" si="197"/>
        <v>0.24905988023952094</v>
      </c>
      <c r="AZ57" s="623">
        <f t="shared" si="197"/>
        <v>0.29978065910318746</v>
      </c>
      <c r="BA57" s="623">
        <f t="shared" si="197"/>
        <v>0.41399999999999998</v>
      </c>
      <c r="BB57" s="623">
        <f t="shared" si="197"/>
        <v>0.27477181208053691</v>
      </c>
      <c r="BC57" s="623">
        <f t="shared" si="197"/>
        <v>0.26855988023952099</v>
      </c>
      <c r="BD57" s="623">
        <f t="shared" si="197"/>
        <v>0.30928065910318747</v>
      </c>
      <c r="BE57" s="623">
        <f t="shared" si="197"/>
        <v>0.42849999999999994</v>
      </c>
      <c r="BF57" s="623">
        <f t="shared" si="197"/>
        <v>0.29427181208053693</v>
      </c>
      <c r="BG57" s="623">
        <f t="shared" si="197"/>
        <v>0.28455988023952095</v>
      </c>
      <c r="BH57" s="623">
        <f t="shared" si="197"/>
        <v>0.31728065910318748</v>
      </c>
      <c r="BI57" s="623">
        <f t="shared" si="197"/>
        <v>0.43200000000000005</v>
      </c>
      <c r="BJ57" s="623">
        <f t="shared" si="197"/>
        <v>0.30527181208053694</v>
      </c>
      <c r="BK57" s="623">
        <f t="shared" si="197"/>
        <v>0.2975598802395209</v>
      </c>
      <c r="BL57" s="623">
        <f t="shared" si="197"/>
        <v>0.32478065910318749</v>
      </c>
      <c r="BM57" s="623">
        <f t="shared" si="197"/>
        <v>0.435</v>
      </c>
      <c r="BN57" s="623">
        <f t="shared" si="197"/>
        <v>0.3157718120805369</v>
      </c>
      <c r="BO57" s="415"/>
      <c r="BP57" s="35" t="s">
        <v>17</v>
      </c>
      <c r="BQ57" s="415">
        <f t="shared" ref="BQ57:CF57" si="199">BQ21/BQ9</f>
        <v>8.1765935214211077E-2</v>
      </c>
      <c r="BR57" s="415">
        <f t="shared" si="199"/>
        <v>9.4839942666029617E-2</v>
      </c>
      <c r="BS57" s="415">
        <f t="shared" si="199"/>
        <v>9.6757184286844183E-2</v>
      </c>
      <c r="BT57" s="415">
        <f t="shared" si="199"/>
        <v>0.17831385227555335</v>
      </c>
      <c r="BU57" s="415">
        <f t="shared" si="199"/>
        <v>0.24913174345913405</v>
      </c>
      <c r="BV57" s="415">
        <f t="shared" si="199"/>
        <v>0.28471309680245294</v>
      </c>
      <c r="BW57" s="415">
        <f t="shared" si="199"/>
        <v>0.31687575880210439</v>
      </c>
      <c r="BX57" s="415">
        <f t="shared" si="199"/>
        <v>0.33130506800415799</v>
      </c>
      <c r="BY57" s="35">
        <f t="shared" si="199"/>
        <v>0.30400485436893204</v>
      </c>
      <c r="BZ57" s="35">
        <f t="shared" si="199"/>
        <v>0.34009679821295608</v>
      </c>
      <c r="CA57" s="35">
        <f t="shared" si="199"/>
        <v>0.33537964458804526</v>
      </c>
      <c r="CB57" s="35">
        <f t="shared" si="199"/>
        <v>0.32904401484249246</v>
      </c>
      <c r="CC57" s="35">
        <f t="shared" si="199"/>
        <v>0.32566514815514974</v>
      </c>
      <c r="CD57" s="35">
        <f t="shared" si="199"/>
        <v>0.34106226396537598</v>
      </c>
      <c r="CE57" s="35">
        <f t="shared" si="199"/>
        <v>0.3489088078579754</v>
      </c>
      <c r="CF57" s="35">
        <f t="shared" si="199"/>
        <v>0.35687904007407861</v>
      </c>
    </row>
    <row r="58" spans="1:87" s="637" customFormat="1">
      <c r="A58" s="8" t="s">
        <v>4</v>
      </c>
      <c r="B58" s="623">
        <f t="shared" ref="B58:AG58" si="200">B30/B9</f>
        <v>2.7058823529411764E-2</v>
      </c>
      <c r="C58" s="623">
        <f t="shared" si="200"/>
        <v>-0.14471243042671614</v>
      </c>
      <c r="D58" s="623">
        <f t="shared" si="200"/>
        <v>3.6199095022624438E-2</v>
      </c>
      <c r="E58" s="623">
        <f t="shared" si="200"/>
        <v>0.13900709219858157</v>
      </c>
      <c r="F58" s="623">
        <f t="shared" si="200"/>
        <v>8.3417085427135676E-2</v>
      </c>
      <c r="G58" s="623">
        <f t="shared" si="200"/>
        <v>-0.23473282442748092</v>
      </c>
      <c r="H58" s="623">
        <f t="shared" si="200"/>
        <v>1.6441005802707929E-2</v>
      </c>
      <c r="I58" s="623">
        <f t="shared" si="200"/>
        <v>0.20230163537250151</v>
      </c>
      <c r="J58" s="623">
        <f t="shared" si="200"/>
        <v>5.7318321392016376E-2</v>
      </c>
      <c r="K58" s="623">
        <f t="shared" si="200"/>
        <v>-0.26476578411405294</v>
      </c>
      <c r="L58" s="623">
        <f t="shared" si="200"/>
        <v>4.5370370370370373E-2</v>
      </c>
      <c r="M58" s="623">
        <f t="shared" si="200"/>
        <v>0.14890016920473773</v>
      </c>
      <c r="N58" s="623">
        <f t="shared" si="200"/>
        <v>0.16250000000000001</v>
      </c>
      <c r="O58" s="623">
        <f t="shared" si="200"/>
        <v>-0.24444444444444444</v>
      </c>
      <c r="P58" s="623">
        <f t="shared" si="200"/>
        <v>0.10096153846153846</v>
      </c>
      <c r="Q58" s="623">
        <f t="shared" si="200"/>
        <v>0.25318066157760816</v>
      </c>
      <c r="R58" s="623">
        <f t="shared" si="200"/>
        <v>0.16630196936542668</v>
      </c>
      <c r="S58" s="623">
        <f t="shared" si="200"/>
        <v>7.8709677419354834E-2</v>
      </c>
      <c r="T58" s="623">
        <f t="shared" si="200"/>
        <v>0.1901639344262295</v>
      </c>
      <c r="U58" s="623">
        <f t="shared" si="200"/>
        <v>0.27170868347338933</v>
      </c>
      <c r="V58" s="623">
        <f t="shared" si="200"/>
        <v>0.13903868582589288</v>
      </c>
      <c r="W58" s="623">
        <f t="shared" si="200"/>
        <v>7.0190447791305913E-2</v>
      </c>
      <c r="X58" s="623">
        <f t="shared" si="200"/>
        <v>0.18499127399650961</v>
      </c>
      <c r="Y58" s="623">
        <f t="shared" si="200"/>
        <v>0.33056017748197447</v>
      </c>
      <c r="Z58" s="623">
        <f t="shared" si="200"/>
        <v>0.17424242424242425</v>
      </c>
      <c r="AA58" s="623">
        <f t="shared" si="200"/>
        <v>3.2258064516129031E-2</v>
      </c>
      <c r="AB58" s="623">
        <f t="shared" si="200"/>
        <v>0.15037340619307835</v>
      </c>
      <c r="AC58" s="623">
        <f t="shared" si="200"/>
        <v>0.37515458937198071</v>
      </c>
      <c r="AD58" s="623">
        <f t="shared" si="200"/>
        <v>0.24163003663003665</v>
      </c>
      <c r="AE58" s="623">
        <f t="shared" si="200"/>
        <v>0.12640000000000001</v>
      </c>
      <c r="AF58" s="623">
        <f t="shared" si="200"/>
        <v>0.16483460559796437</v>
      </c>
      <c r="AG58" s="623">
        <f t="shared" si="200"/>
        <v>0.34429731100963978</v>
      </c>
      <c r="AH58" s="623">
        <f t="shared" ref="AH58:BN58" si="201">AH30/AH9</f>
        <v>0.31610087592559</v>
      </c>
      <c r="AI58" s="623">
        <f t="shared" si="201"/>
        <v>6.2403204272363157E-2</v>
      </c>
      <c r="AJ58" s="623">
        <f t="shared" si="201"/>
        <v>0.22211129296235679</v>
      </c>
      <c r="AK58" s="623">
        <f t="shared" si="201"/>
        <v>0.36489745183343691</v>
      </c>
      <c r="AL58" s="623">
        <f t="shared" si="201"/>
        <v>0.28976539589442818</v>
      </c>
      <c r="AM58" s="623">
        <f t="shared" si="201"/>
        <v>0.1352685421994885</v>
      </c>
      <c r="AN58" s="623">
        <f t="shared" si="201"/>
        <v>0.24169078446306172</v>
      </c>
      <c r="AO58" s="623">
        <f t="shared" si="201"/>
        <v>0.38464126669965365</v>
      </c>
      <c r="AP58" s="623">
        <f t="shared" si="201"/>
        <v>0.27812101910828024</v>
      </c>
      <c r="AQ58" s="623">
        <f t="shared" si="201"/>
        <v>0.29850359712230218</v>
      </c>
      <c r="AR58" s="623">
        <f t="shared" si="201"/>
        <v>1.5318681318681318E-2</v>
      </c>
      <c r="AS58" s="623">
        <f t="shared" si="201"/>
        <v>0.3717333333333333</v>
      </c>
      <c r="AT58" s="623">
        <f t="shared" si="201"/>
        <v>0.23994630872483219</v>
      </c>
      <c r="AU58" s="623">
        <f t="shared" si="201"/>
        <v>0.17185628742514969</v>
      </c>
      <c r="AV58" s="623">
        <f t="shared" ref="AV58" si="202">AV30/AV9</f>
        <v>0.24453808752025932</v>
      </c>
      <c r="AW58" s="623">
        <f t="shared" si="201"/>
        <v>0.34655203149387526</v>
      </c>
      <c r="AX58" s="623">
        <f t="shared" si="201"/>
        <v>0.22622108088794679</v>
      </c>
      <c r="AY58" s="623">
        <f t="shared" si="201"/>
        <v>0.1951084482285414</v>
      </c>
      <c r="AZ58" s="623">
        <f t="shared" si="201"/>
        <v>0.23931178111033963</v>
      </c>
      <c r="BA58" s="623">
        <f t="shared" si="201"/>
        <v>0.33392498242464574</v>
      </c>
      <c r="BB58" s="623">
        <f t="shared" si="201"/>
        <v>0.21692902269956368</v>
      </c>
      <c r="BC58" s="623">
        <f t="shared" si="201"/>
        <v>0.21094991963324561</v>
      </c>
      <c r="BD58" s="623">
        <f t="shared" si="201"/>
        <v>0.24664250992813488</v>
      </c>
      <c r="BE58" s="623">
        <f t="shared" si="201"/>
        <v>0.34660438028790352</v>
      </c>
      <c r="BF58" s="623">
        <f t="shared" si="201"/>
        <v>0.23388443425813502</v>
      </c>
      <c r="BG58" s="623">
        <f t="shared" si="201"/>
        <v>0.22514619266650271</v>
      </c>
      <c r="BH58" s="623">
        <f t="shared" si="201"/>
        <v>0.25488021968079533</v>
      </c>
      <c r="BI58" s="623">
        <f t="shared" si="201"/>
        <v>0.35015342540694638</v>
      </c>
      <c r="BJ58" s="623">
        <f t="shared" si="201"/>
        <v>0.24398025217205843</v>
      </c>
      <c r="BK58" s="623">
        <f t="shared" si="201"/>
        <v>0.23697668714525399</v>
      </c>
      <c r="BL58" s="623">
        <f t="shared" si="201"/>
        <v>0.2610181779989672</v>
      </c>
      <c r="BM58" s="623">
        <f t="shared" si="201"/>
        <v>0.3530709179787721</v>
      </c>
      <c r="BN58" s="623">
        <f t="shared" si="201"/>
        <v>0.25346189582591394</v>
      </c>
      <c r="BO58" s="415"/>
      <c r="BP58" s="35" t="s">
        <v>17</v>
      </c>
      <c r="BQ58" s="415">
        <f t="shared" ref="BQ58:CF58" si="203">BQ30/BQ9</f>
        <v>6.0867293625914316E-2</v>
      </c>
      <c r="BR58" s="415">
        <f t="shared" si="203"/>
        <v>6.7845198279980895E-2</v>
      </c>
      <c r="BS58" s="415">
        <f t="shared" si="203"/>
        <v>6.9601898233588186E-2</v>
      </c>
      <c r="BT58" s="415">
        <f t="shared" si="203"/>
        <v>0.13280278537677195</v>
      </c>
      <c r="BU58" s="415">
        <f t="shared" si="203"/>
        <v>0.18651971810604309</v>
      </c>
      <c r="BV58" s="415">
        <f t="shared" si="203"/>
        <v>0.22287384588685394</v>
      </c>
      <c r="BW58" s="415">
        <f t="shared" si="203"/>
        <v>0.24838931606636988</v>
      </c>
      <c r="BX58" s="415">
        <f t="shared" si="203"/>
        <v>0.2640186485109296</v>
      </c>
      <c r="BY58" s="35">
        <f t="shared" si="203"/>
        <v>0.26305016181229773</v>
      </c>
      <c r="BZ58" s="35">
        <f t="shared" si="203"/>
        <v>0.28849590469099029</v>
      </c>
      <c r="CA58" s="35">
        <f t="shared" si="203"/>
        <v>0.27116962843295639</v>
      </c>
      <c r="CB58" s="35">
        <f t="shared" si="203"/>
        <v>0.26279836845589805</v>
      </c>
      <c r="CC58" s="35">
        <f t="shared" si="203"/>
        <v>0.25998595424541082</v>
      </c>
      <c r="CD58" s="35">
        <f t="shared" si="203"/>
        <v>0.27296900065313945</v>
      </c>
      <c r="CE58" s="35">
        <f t="shared" si="203"/>
        <v>0.28050707889709059</v>
      </c>
      <c r="CF58" s="35">
        <f t="shared" si="203"/>
        <v>0.28757848694956528</v>
      </c>
    </row>
    <row r="60" spans="1:87" s="267" customFormat="1">
      <c r="A60" s="603" t="s">
        <v>373</v>
      </c>
      <c r="B60" s="603"/>
      <c r="C60" s="603"/>
      <c r="D60" s="603"/>
      <c r="E60" s="603"/>
      <c r="F60" s="603"/>
      <c r="G60" s="603"/>
      <c r="H60" s="603"/>
      <c r="I60" s="603"/>
      <c r="J60" s="603"/>
      <c r="K60" s="603"/>
      <c r="L60" s="603"/>
      <c r="M60" s="603"/>
      <c r="N60" s="603"/>
      <c r="O60" s="603"/>
      <c r="P60" s="603"/>
      <c r="Q60" s="603"/>
      <c r="R60" s="603"/>
      <c r="S60" s="603"/>
      <c r="T60" s="603"/>
      <c r="U60" s="603"/>
      <c r="V60" s="603"/>
      <c r="W60" s="603"/>
      <c r="X60" s="603"/>
      <c r="Y60" s="603"/>
      <c r="Z60" s="603"/>
      <c r="AA60" s="603"/>
      <c r="AB60" s="603"/>
      <c r="AC60" s="603"/>
      <c r="AD60" s="603"/>
      <c r="AE60" s="603"/>
      <c r="AF60" s="603"/>
      <c r="AG60" s="603"/>
      <c r="AH60" s="603"/>
      <c r="AI60" s="603"/>
      <c r="AJ60" s="603"/>
      <c r="AK60" s="603"/>
      <c r="AL60" s="603"/>
      <c r="AM60" s="603"/>
      <c r="AN60" s="603"/>
      <c r="AO60" s="603"/>
      <c r="AP60" s="603"/>
      <c r="AQ60" s="603"/>
      <c r="AR60" s="603"/>
      <c r="AS60" s="603"/>
      <c r="AT60" s="603"/>
      <c r="AU60" s="603"/>
      <c r="AV60" s="603"/>
      <c r="AW60" s="603"/>
      <c r="AX60" s="603"/>
      <c r="AY60" s="603"/>
      <c r="AZ60" s="603"/>
      <c r="BA60" s="603"/>
      <c r="BB60" s="603"/>
      <c r="BC60" s="603"/>
      <c r="BD60" s="603"/>
      <c r="BE60" s="603"/>
      <c r="BF60" s="603"/>
      <c r="BG60" s="603"/>
      <c r="BH60" s="603"/>
      <c r="BI60" s="603"/>
      <c r="BJ60" s="603"/>
      <c r="BK60" s="603"/>
      <c r="BL60" s="603"/>
      <c r="BM60" s="603"/>
      <c r="BN60" s="603"/>
      <c r="BO60" s="603"/>
      <c r="BP60" s="603"/>
      <c r="BQ60" s="603"/>
      <c r="BR60" s="603"/>
      <c r="BS60" s="603"/>
      <c r="BT60" s="603"/>
      <c r="BU60" s="603"/>
      <c r="BV60" s="603"/>
      <c r="BW60" s="603"/>
      <c r="BX60" s="603"/>
      <c r="BY60" s="603"/>
      <c r="BZ60" s="603"/>
      <c r="CA60" s="603"/>
      <c r="CB60" s="603"/>
      <c r="CC60" s="603"/>
      <c r="CD60" s="603"/>
      <c r="CE60" s="603"/>
      <c r="CF60" s="603"/>
    </row>
    <row r="61" spans="1:87" s="31" customFormat="1">
      <c r="A61" s="162" t="s">
        <v>202</v>
      </c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45">
        <f>Drivers!AI135</f>
        <v>271</v>
      </c>
      <c r="AJ61" s="45">
        <f>Drivers!AJ135</f>
        <v>638</v>
      </c>
      <c r="AK61" s="45">
        <f>Drivers!AK135</f>
        <v>577</v>
      </c>
      <c r="AL61" s="45">
        <f>Drivers!AL135</f>
        <v>307</v>
      </c>
      <c r="AM61" s="45">
        <f>Drivers!AM135</f>
        <v>262</v>
      </c>
      <c r="AN61" s="45">
        <f>Drivers!AN135</f>
        <v>580</v>
      </c>
      <c r="AO61" s="45">
        <f>Drivers!AO135</f>
        <v>689</v>
      </c>
      <c r="AP61" s="45">
        <f>Drivers!AP135</f>
        <v>356</v>
      </c>
      <c r="AQ61" s="45">
        <f>Drivers!AQ135</f>
        <v>359</v>
      </c>
      <c r="AR61" s="45">
        <f>Drivers!AR135</f>
        <v>282</v>
      </c>
      <c r="AS61" s="45">
        <f>Drivers!AS135</f>
        <v>722</v>
      </c>
      <c r="AT61" s="45">
        <f>Drivers!AT135</f>
        <v>250</v>
      </c>
      <c r="AU61" s="45">
        <f>Drivers!AU135</f>
        <v>322</v>
      </c>
      <c r="AV61" s="45">
        <f>Drivers!AV135</f>
        <v>617</v>
      </c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BM61" s="45"/>
      <c r="BN61" s="45"/>
      <c r="BO61" s="61"/>
      <c r="BP61" s="68"/>
      <c r="BQ61" s="161"/>
      <c r="BR61" s="161"/>
      <c r="BS61" s="161"/>
      <c r="BT61" s="161"/>
      <c r="BU61" s="161"/>
      <c r="BV61" s="161"/>
      <c r="BW61" s="161"/>
      <c r="BX61" s="161"/>
      <c r="BY61" s="161"/>
      <c r="BZ61" s="161"/>
      <c r="CA61" s="161"/>
      <c r="CB61" s="161"/>
      <c r="CC61" s="161"/>
      <c r="CD61" s="161"/>
      <c r="CE61" s="161"/>
      <c r="CF61" s="161"/>
    </row>
    <row r="62" spans="1:87" s="31" customFormat="1">
      <c r="A62" s="162" t="s">
        <v>203</v>
      </c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  <c r="U62" s="180"/>
      <c r="V62" s="180"/>
      <c r="W62" s="180"/>
      <c r="X62" s="180"/>
      <c r="Y62" s="180"/>
      <c r="Z62" s="180"/>
      <c r="AA62" s="180"/>
      <c r="AB62" s="180"/>
      <c r="AC62" s="180"/>
      <c r="AD62" s="180"/>
      <c r="AE62" s="180"/>
      <c r="AF62" s="180"/>
      <c r="AG62" s="180"/>
      <c r="AH62" s="180"/>
      <c r="AI62" s="27">
        <f>Drivers!AI150</f>
        <v>866</v>
      </c>
      <c r="AJ62" s="27">
        <f>Drivers!AJ150</f>
        <v>648</v>
      </c>
      <c r="AK62" s="27">
        <f>Drivers!AK150</f>
        <v>712</v>
      </c>
      <c r="AL62" s="27">
        <f>Drivers!AL150</f>
        <v>931</v>
      </c>
      <c r="AM62" s="27">
        <f>Drivers!AM150</f>
        <v>947</v>
      </c>
      <c r="AN62" s="27">
        <f>Drivers!AN150</f>
        <v>768</v>
      </c>
      <c r="AO62" s="27">
        <f>Drivers!AO150</f>
        <v>904</v>
      </c>
      <c r="AP62" s="27">
        <f>Drivers!AP150</f>
        <v>1031</v>
      </c>
      <c r="AQ62" s="27">
        <f>Drivers!AQ150</f>
        <v>1100</v>
      </c>
      <c r="AR62" s="27">
        <f>Drivers!AR150</f>
        <v>869</v>
      </c>
      <c r="AS62" s="27">
        <f>Drivers!AS150</f>
        <v>951</v>
      </c>
      <c r="AT62" s="27">
        <f>Drivers!AT150</f>
        <v>1096</v>
      </c>
      <c r="AU62" s="27">
        <f>Drivers!AU150</f>
        <v>1229</v>
      </c>
      <c r="AV62" s="27">
        <f>Drivers!AV150</f>
        <v>1209</v>
      </c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182"/>
      <c r="BP62" s="68"/>
      <c r="BQ62" s="68"/>
      <c r="BR62" s="68"/>
      <c r="BS62" s="68"/>
      <c r="BT62" s="161"/>
      <c r="BU62" s="161"/>
      <c r="BV62" s="161"/>
      <c r="BW62" s="161"/>
      <c r="BX62" s="161"/>
      <c r="BY62" s="161"/>
      <c r="BZ62" s="161"/>
      <c r="CA62" s="68"/>
      <c r="CB62" s="68"/>
      <c r="CC62" s="68"/>
      <c r="CD62" s="68"/>
      <c r="CE62" s="68"/>
      <c r="CF62" s="68"/>
    </row>
    <row r="63" spans="1:87" s="61" customFormat="1">
      <c r="A63" s="59" t="s">
        <v>289</v>
      </c>
      <c r="B63" s="61">
        <f>Drivers!B128</f>
        <v>979</v>
      </c>
      <c r="C63" s="61">
        <f>Drivers!C128</f>
        <v>815</v>
      </c>
      <c r="D63" s="61">
        <f>Drivers!D128</f>
        <v>631</v>
      </c>
      <c r="E63" s="61">
        <f>Drivers!E128</f>
        <v>1053</v>
      </c>
      <c r="F63" s="61">
        <f>Drivers!F128</f>
        <v>1090</v>
      </c>
      <c r="G63" s="61">
        <f>Drivers!G128</f>
        <v>999</v>
      </c>
      <c r="H63" s="61">
        <f>Drivers!H128</f>
        <v>715</v>
      </c>
      <c r="I63" s="61">
        <f>Drivers!I128</f>
        <v>1061</v>
      </c>
      <c r="J63" s="61">
        <f>Drivers!J128</f>
        <v>1368</v>
      </c>
      <c r="K63" s="61">
        <f>Drivers!K128</f>
        <v>955</v>
      </c>
      <c r="L63" s="61">
        <f>Drivers!L128</f>
        <v>711</v>
      </c>
      <c r="M63" s="61">
        <f>Drivers!M128</f>
        <v>922</v>
      </c>
      <c r="N63" s="61">
        <f>Drivers!N128</f>
        <v>1209</v>
      </c>
      <c r="O63" s="61">
        <f>Drivers!O128</f>
        <v>949</v>
      </c>
      <c r="P63" s="61">
        <f>Drivers!P128</f>
        <v>695</v>
      </c>
      <c r="Q63" s="61">
        <f>Drivers!Q128</f>
        <v>808</v>
      </c>
      <c r="R63" s="61">
        <f>Drivers!R128</f>
        <v>1123</v>
      </c>
      <c r="S63" s="61">
        <f>Drivers!S128</f>
        <v>1214</v>
      </c>
      <c r="T63" s="61">
        <f>Drivers!T128</f>
        <v>990</v>
      </c>
      <c r="U63" s="61">
        <f>Drivers!U128</f>
        <v>1126</v>
      </c>
      <c r="V63" s="61">
        <f>Drivers!V128</f>
        <v>1185</v>
      </c>
      <c r="W63" s="61">
        <f>Drivers!W128</f>
        <v>1203</v>
      </c>
      <c r="X63" s="61">
        <f>Drivers!X128</f>
        <v>815</v>
      </c>
      <c r="Y63" s="61">
        <f>Drivers!Y128</f>
        <v>1070</v>
      </c>
      <c r="Z63" s="61">
        <f>Drivers!Z128</f>
        <v>1308</v>
      </c>
      <c r="AA63" s="61">
        <f>Drivers!AA128</f>
        <v>1271</v>
      </c>
      <c r="AB63" s="61">
        <f>Drivers!AB128</f>
        <v>898</v>
      </c>
      <c r="AC63" s="61">
        <f>Drivers!AC128</f>
        <v>1149</v>
      </c>
      <c r="AD63" s="61">
        <f>Drivers!AD128</f>
        <v>1527</v>
      </c>
      <c r="AE63" s="61">
        <f>Drivers!AE128</f>
        <v>1449</v>
      </c>
      <c r="AF63" s="61">
        <f>Drivers!AF128</f>
        <v>959</v>
      </c>
      <c r="AG63" s="61">
        <f>Drivers!AG128</f>
        <v>1160</v>
      </c>
      <c r="AH63" s="61">
        <f>Drivers!AH128</f>
        <v>1582</v>
      </c>
      <c r="AI63" s="61">
        <f>Drivers!AI128</f>
        <v>1137</v>
      </c>
      <c r="AJ63" s="61">
        <f>Drivers!AJ128</f>
        <v>1286</v>
      </c>
      <c r="AK63" s="61">
        <f>Drivers!AK128</f>
        <v>1289</v>
      </c>
      <c r="AL63" s="61">
        <f>Drivers!AL128</f>
        <v>1238</v>
      </c>
      <c r="AM63" s="61">
        <f>Drivers!AM128</f>
        <v>1209</v>
      </c>
      <c r="AN63" s="61">
        <f t="shared" ref="AN63:AV63" si="204">SUM(AN61,AN62)</f>
        <v>1348</v>
      </c>
      <c r="AO63" s="61">
        <f t="shared" si="204"/>
        <v>1593</v>
      </c>
      <c r="AP63" s="61">
        <f t="shared" si="204"/>
        <v>1387</v>
      </c>
      <c r="AQ63" s="61">
        <f t="shared" si="204"/>
        <v>1459</v>
      </c>
      <c r="AR63" s="61">
        <f t="shared" si="204"/>
        <v>1151</v>
      </c>
      <c r="AS63" s="61">
        <f t="shared" si="204"/>
        <v>1673</v>
      </c>
      <c r="AT63" s="61">
        <f t="shared" si="204"/>
        <v>1346</v>
      </c>
      <c r="AU63" s="61">
        <f t="shared" si="204"/>
        <v>1551</v>
      </c>
      <c r="AV63" s="61">
        <f t="shared" si="204"/>
        <v>1826</v>
      </c>
      <c r="AW63" s="61">
        <f>Drivers!AW128</f>
        <v>1742.456375</v>
      </c>
      <c r="AX63" s="61">
        <f>Drivers!AX128</f>
        <v>1805.6809125000002</v>
      </c>
      <c r="AY63" s="61">
        <f>Drivers!AY128</f>
        <v>2072.781291175977</v>
      </c>
      <c r="AZ63" s="61">
        <f>Drivers!AZ128</f>
        <v>2135.3248136714528</v>
      </c>
      <c r="BA63" s="61">
        <f>Drivers!BA128</f>
        <v>1972.4247845653997</v>
      </c>
      <c r="BB63" s="61">
        <f>Drivers!BB128</f>
        <v>1895.6888299576624</v>
      </c>
      <c r="BC63" s="61">
        <f>Drivers!BC128</f>
        <v>2119.8728715696661</v>
      </c>
      <c r="BD63" s="61">
        <f>Drivers!BD128</f>
        <v>2202.0845685619574</v>
      </c>
      <c r="BE63" s="61">
        <f>Drivers!BE128</f>
        <v>2061.9841337372745</v>
      </c>
      <c r="BF63" s="61">
        <f>Drivers!BF128</f>
        <v>1983.4168406001677</v>
      </c>
      <c r="BG63" s="61">
        <f>Drivers!BG128</f>
        <v>2204.7476833921846</v>
      </c>
      <c r="BH63" s="61">
        <f>Drivers!BH128</f>
        <v>2517.8829683654326</v>
      </c>
      <c r="BI63" s="61">
        <f>Drivers!BI128</f>
        <v>2294.282038937396</v>
      </c>
      <c r="BJ63" s="61">
        <f>Drivers!BJ128</f>
        <v>2166.097481786046</v>
      </c>
      <c r="BK63" s="61">
        <f>Drivers!BK128</f>
        <v>2363.0341196285335</v>
      </c>
      <c r="BL63" s="61">
        <f>Drivers!BL128</f>
        <v>2445.3659054554155</v>
      </c>
      <c r="BM63" s="61">
        <f>Drivers!BM128</f>
        <v>2346.7974976630576</v>
      </c>
      <c r="BN63" s="61">
        <f>Drivers!BN128</f>
        <v>2238.6733909351592</v>
      </c>
      <c r="BP63" s="61">
        <v>3654</v>
      </c>
      <c r="BQ63" s="61">
        <f>SUM(C63:F63)</f>
        <v>3589</v>
      </c>
      <c r="BR63" s="61">
        <f>SUM(G63:J63)</f>
        <v>4143</v>
      </c>
      <c r="BS63" s="61">
        <f>SUM(K63:N63)</f>
        <v>3797</v>
      </c>
      <c r="BT63" s="61">
        <f>SUM(O63:R63)</f>
        <v>3575</v>
      </c>
      <c r="BU63" s="61">
        <f>SUM(S63:V63)</f>
        <v>4515</v>
      </c>
      <c r="BV63" s="61">
        <f>SUM(W63:Z63)</f>
        <v>4396</v>
      </c>
      <c r="BW63" s="61">
        <f>SUM(AA63:AD63)</f>
        <v>4845</v>
      </c>
      <c r="BX63" s="61">
        <f>SUM(AE63:AH63)</f>
        <v>5150</v>
      </c>
      <c r="BY63" s="61">
        <f>SUM(AI63:AL63)</f>
        <v>4950</v>
      </c>
      <c r="BZ63" s="61">
        <f>SUM(AM63:AP63)</f>
        <v>5537</v>
      </c>
      <c r="CA63" s="61">
        <f>SUM(AQ63:AT63)</f>
        <v>5629</v>
      </c>
      <c r="CB63" s="61">
        <f>SUM(AU63:AX63)</f>
        <v>6925.1372874999997</v>
      </c>
      <c r="CC63" s="61">
        <f>SUM(AY63:BB63)</f>
        <v>8076.2197193704915</v>
      </c>
      <c r="CD63" s="61">
        <f>SUM(BC63:BF63)</f>
        <v>8367.3584144690667</v>
      </c>
      <c r="CE63" s="61">
        <f>SUM(BG63:BJ63)</f>
        <v>9183.0101724810593</v>
      </c>
      <c r="CF63" s="61">
        <f>SUM(BK63:BN63)</f>
        <v>9393.8709136821653</v>
      </c>
    </row>
    <row r="64" spans="1:87">
      <c r="A64" s="59"/>
    </row>
    <row r="65" spans="1:87" s="43" customFormat="1">
      <c r="A65" s="42" t="s">
        <v>85</v>
      </c>
      <c r="B65" s="161">
        <f>Drivers!B174</f>
        <v>-298</v>
      </c>
      <c r="C65" s="161">
        <f>Drivers!C174</f>
        <v>-222</v>
      </c>
      <c r="D65" s="161">
        <f>Drivers!D174</f>
        <v>-363</v>
      </c>
      <c r="E65" s="161">
        <f>Drivers!E174</f>
        <v>-586</v>
      </c>
      <c r="F65" s="161">
        <f>Drivers!F174</f>
        <v>-328</v>
      </c>
      <c r="G65" s="161">
        <f>Drivers!G174</f>
        <v>-240</v>
      </c>
      <c r="H65" s="161">
        <f>Drivers!H174</f>
        <v>-432</v>
      </c>
      <c r="I65" s="161">
        <f>Drivers!I174</f>
        <v>-552</v>
      </c>
      <c r="J65" s="161">
        <f>Drivers!J174</f>
        <v>-374</v>
      </c>
      <c r="K65" s="161">
        <f>Drivers!K174</f>
        <v>-205</v>
      </c>
      <c r="L65" s="161">
        <f>Drivers!L174</f>
        <v>-445</v>
      </c>
      <c r="M65" s="161">
        <f>Drivers!M174</f>
        <v>-429</v>
      </c>
      <c r="N65" s="161">
        <f>Drivers!N174</f>
        <v>-309</v>
      </c>
      <c r="O65" s="161">
        <f>Drivers!O174</f>
        <v>-194</v>
      </c>
      <c r="P65" s="161">
        <f>Drivers!P174</f>
        <v>-413</v>
      </c>
      <c r="Q65" s="161">
        <f>Drivers!Q174</f>
        <v>-517</v>
      </c>
      <c r="R65" s="161">
        <f>Drivers!R174</f>
        <v>-223</v>
      </c>
      <c r="S65" s="161">
        <f>Drivers!S174</f>
        <v>-367</v>
      </c>
      <c r="T65" s="161">
        <f>Drivers!T174</f>
        <v>-427</v>
      </c>
      <c r="U65" s="161">
        <f>Drivers!U174</f>
        <v>-401</v>
      </c>
      <c r="V65" s="161">
        <f>Drivers!V174</f>
        <v>-234</v>
      </c>
      <c r="W65" s="161">
        <f>Drivers!W174</f>
        <v>-173</v>
      </c>
      <c r="X65" s="161">
        <f>Drivers!X174</f>
        <v>-409</v>
      </c>
      <c r="Y65" s="161">
        <f>Drivers!Y174</f>
        <v>-546</v>
      </c>
      <c r="Z65" s="161">
        <f>Drivers!Z174</f>
        <v>-226</v>
      </c>
      <c r="AA65" s="161">
        <f>Drivers!AA174</f>
        <v>-179</v>
      </c>
      <c r="AB65" s="161">
        <f>Drivers!AB174</f>
        <v>-401</v>
      </c>
      <c r="AC65" s="161">
        <f>Drivers!AC174</f>
        <v>-516</v>
      </c>
      <c r="AD65" s="161">
        <f>Drivers!AD174</f>
        <v>-202</v>
      </c>
      <c r="AE65" s="161">
        <f>Drivers!AE174</f>
        <v>-154</v>
      </c>
      <c r="AF65" s="161">
        <f>Drivers!AF174</f>
        <v>-389</v>
      </c>
      <c r="AG65" s="161">
        <f>Drivers!AG174</f>
        <v>-501</v>
      </c>
      <c r="AH65" s="161">
        <f>Drivers!AH174</f>
        <v>-233</v>
      </c>
      <c r="AI65" s="161">
        <f>Drivers!AI174</f>
        <v>-215</v>
      </c>
      <c r="AJ65" s="161">
        <f>Drivers!AJ174</f>
        <v>-418</v>
      </c>
      <c r="AK65" s="161">
        <f>Drivers!AK174</f>
        <v>-413</v>
      </c>
      <c r="AL65" s="161">
        <f>Drivers!AL174</f>
        <v>-276</v>
      </c>
      <c r="AM65" s="161">
        <f>Drivers!AM174</f>
        <v>-187</v>
      </c>
      <c r="AN65" s="161">
        <f>Drivers!AN174</f>
        <v>-405</v>
      </c>
      <c r="AO65" s="161">
        <f>Drivers!AO174</f>
        <v>-508</v>
      </c>
      <c r="AP65" s="161">
        <f>Drivers!AP174</f>
        <v>-269</v>
      </c>
      <c r="AQ65" s="161">
        <f>Drivers!AQ174</f>
        <v>-288</v>
      </c>
      <c r="AR65" s="161">
        <f>Drivers!AR174</f>
        <v>-286</v>
      </c>
      <c r="AS65" s="161">
        <f>Drivers!AS174</f>
        <v>-601</v>
      </c>
      <c r="AT65" s="161">
        <f>Drivers!AT174</f>
        <v>-319</v>
      </c>
      <c r="AU65" s="161">
        <f>Drivers!AU174</f>
        <v>-315</v>
      </c>
      <c r="AV65" s="161">
        <f>AV11+Drivers!AV259+Drivers!AV273</f>
        <v>-494</v>
      </c>
      <c r="AW65" s="161">
        <f>AW11+Drivers!AW259+Drivers!AW273</f>
        <v>-627.78655614583352</v>
      </c>
      <c r="AX65" s="161">
        <f>AX11+Drivers!AX259+Drivers!AX273</f>
        <v>-406.70491518120792</v>
      </c>
      <c r="AY65" s="161">
        <f>AY11+Drivers!AY259+Drivers!AY273</f>
        <v>-357.99347083276865</v>
      </c>
      <c r="AZ65" s="161">
        <f>AZ11+Drivers!AZ259+Drivers!AZ273</f>
        <v>-534.43830525907413</v>
      </c>
      <c r="BA65" s="161">
        <f>BA11+Drivers!BA259+Drivers!BA273</f>
        <v>-682.01454608189431</v>
      </c>
      <c r="BB65" s="161">
        <f>BB11+Drivers!BB259+Drivers!BB273</f>
        <v>-368.8308615225472</v>
      </c>
      <c r="BC65" s="161">
        <f>BC11+Drivers!BC259+Drivers!BC273</f>
        <v>-337.60854990899134</v>
      </c>
      <c r="BD65" s="161">
        <f>BD11+Drivers!BD259+Drivers!BD273</f>
        <v>-522.66767138802106</v>
      </c>
      <c r="BE65" s="161">
        <f>BE11+Drivers!BE259+Drivers!BE273</f>
        <v>-660.49268966085208</v>
      </c>
      <c r="BF65" s="161">
        <f>BF11+Drivers!BF259+Drivers!BF273</f>
        <v>-385.11015500941619</v>
      </c>
      <c r="BG65" s="161">
        <f>BG11+Drivers!BG259+Drivers!BG273</f>
        <v>-354.15631895338953</v>
      </c>
      <c r="BH65" s="161">
        <f>BH11+Drivers!BH259+Drivers!BH273</f>
        <v>-637.10385839588832</v>
      </c>
      <c r="BI65" s="161">
        <f>BI11+Drivers!BI259+Drivers!BI273</f>
        <v>-710.52122673805991</v>
      </c>
      <c r="BJ65" s="161">
        <f>BJ11+Drivers!BJ259+Drivers!BJ273</f>
        <v>-411.45494284364645</v>
      </c>
      <c r="BK65" s="161">
        <f>BK11+Drivers!BK259+Drivers!BK273</f>
        <v>-377.10579925031323</v>
      </c>
      <c r="BL65" s="161">
        <f>BL11+Drivers!BL259+Drivers!BL273</f>
        <v>-579.67395024591065</v>
      </c>
      <c r="BM65" s="161">
        <f>BM11+Drivers!BM259+Drivers!BM273</f>
        <v>-730.7518166466001</v>
      </c>
      <c r="BN65" s="161">
        <f>BN11+Drivers!BN259+Drivers!BN273</f>
        <v>-432.26505675102004</v>
      </c>
      <c r="BO65" s="161"/>
      <c r="BP65" s="29">
        <v>-1866</v>
      </c>
      <c r="BQ65" s="49">
        <f>SUM(C65:F65)</f>
        <v>-1499</v>
      </c>
      <c r="BR65" s="49">
        <f>SUM(G65:J65)</f>
        <v>-1598</v>
      </c>
      <c r="BS65" s="49">
        <f>SUM(K65:N65)</f>
        <v>-1388</v>
      </c>
      <c r="BT65" s="49">
        <f>SUM(O65:R65)</f>
        <v>-1347</v>
      </c>
      <c r="BU65" s="49">
        <f>SUM(S65:V65)</f>
        <v>-1429</v>
      </c>
      <c r="BV65" s="49">
        <f>SUM(W65:Z65)</f>
        <v>-1354</v>
      </c>
      <c r="BW65" s="49">
        <f>SUM(AA65:AD65)</f>
        <v>-1298</v>
      </c>
      <c r="BX65" s="49">
        <f>SUM(AE65:AH65)</f>
        <v>-1277</v>
      </c>
      <c r="BY65" s="49">
        <f>SUM(AI65:AL65)</f>
        <v>-1322</v>
      </c>
      <c r="BZ65" s="49">
        <f>SUM(AM65:AP65)</f>
        <v>-1369</v>
      </c>
      <c r="CA65" s="49">
        <f>SUM(AQ65:AT65)</f>
        <v>-1494</v>
      </c>
      <c r="CB65" s="49">
        <f>SUM(AU65:AX65)</f>
        <v>-1843.4914713270414</v>
      </c>
      <c r="CC65" s="49">
        <f>SUM(AY65:BB65)</f>
        <v>-1943.2771836962841</v>
      </c>
      <c r="CD65" s="49">
        <f>SUM(BC65:BF65)</f>
        <v>-1905.8790659672809</v>
      </c>
      <c r="CE65" s="49">
        <f>SUM(BG65:BJ65)</f>
        <v>-2113.2363469309839</v>
      </c>
      <c r="CF65" s="49">
        <f>SUM(BK65:BN65)</f>
        <v>-2119.796622893844</v>
      </c>
    </row>
    <row r="66" spans="1:87" s="296" customFormat="1" ht="12.75" customHeight="1">
      <c r="A66" s="194" t="s">
        <v>211</v>
      </c>
      <c r="B66" s="606">
        <f>B63+B65</f>
        <v>681</v>
      </c>
      <c r="C66" s="606">
        <f t="shared" ref="C66:BB66" si="205">C63+C65</f>
        <v>593</v>
      </c>
      <c r="D66" s="606">
        <f t="shared" si="205"/>
        <v>268</v>
      </c>
      <c r="E66" s="606">
        <f t="shared" si="205"/>
        <v>467</v>
      </c>
      <c r="F66" s="606">
        <f t="shared" si="205"/>
        <v>762</v>
      </c>
      <c r="G66" s="606">
        <f t="shared" si="205"/>
        <v>759</v>
      </c>
      <c r="H66" s="606">
        <f t="shared" si="205"/>
        <v>283</v>
      </c>
      <c r="I66" s="606">
        <f t="shared" si="205"/>
        <v>509</v>
      </c>
      <c r="J66" s="606">
        <f t="shared" si="205"/>
        <v>994</v>
      </c>
      <c r="K66" s="606">
        <f t="shared" si="205"/>
        <v>750</v>
      </c>
      <c r="L66" s="606">
        <f t="shared" si="205"/>
        <v>266</v>
      </c>
      <c r="M66" s="606">
        <f t="shared" si="205"/>
        <v>493</v>
      </c>
      <c r="N66" s="606">
        <f t="shared" si="205"/>
        <v>900</v>
      </c>
      <c r="O66" s="606">
        <f t="shared" si="205"/>
        <v>755</v>
      </c>
      <c r="P66" s="606">
        <f t="shared" si="205"/>
        <v>282</v>
      </c>
      <c r="Q66" s="606">
        <f t="shared" si="205"/>
        <v>291</v>
      </c>
      <c r="R66" s="606">
        <f t="shared" si="205"/>
        <v>900</v>
      </c>
      <c r="S66" s="606">
        <f t="shared" si="205"/>
        <v>847</v>
      </c>
      <c r="T66" s="606">
        <f t="shared" si="205"/>
        <v>563</v>
      </c>
      <c r="U66" s="606">
        <f t="shared" si="205"/>
        <v>725</v>
      </c>
      <c r="V66" s="606">
        <f t="shared" si="205"/>
        <v>951</v>
      </c>
      <c r="W66" s="606">
        <f t="shared" si="205"/>
        <v>1030</v>
      </c>
      <c r="X66" s="606">
        <f t="shared" si="205"/>
        <v>406</v>
      </c>
      <c r="Y66" s="606">
        <f t="shared" si="205"/>
        <v>524</v>
      </c>
      <c r="Z66" s="606">
        <f t="shared" si="205"/>
        <v>1082</v>
      </c>
      <c r="AA66" s="606">
        <f t="shared" si="205"/>
        <v>1092</v>
      </c>
      <c r="AB66" s="606">
        <f t="shared" si="205"/>
        <v>497</v>
      </c>
      <c r="AC66" s="606">
        <f t="shared" si="205"/>
        <v>633</v>
      </c>
      <c r="AD66" s="606">
        <f t="shared" si="205"/>
        <v>1325</v>
      </c>
      <c r="AE66" s="606">
        <f t="shared" si="205"/>
        <v>1295</v>
      </c>
      <c r="AF66" s="606">
        <f t="shared" si="205"/>
        <v>570</v>
      </c>
      <c r="AG66" s="606">
        <f t="shared" si="205"/>
        <v>659</v>
      </c>
      <c r="AH66" s="606">
        <f t="shared" si="205"/>
        <v>1349</v>
      </c>
      <c r="AI66" s="606">
        <f t="shared" si="205"/>
        <v>922</v>
      </c>
      <c r="AJ66" s="606">
        <f t="shared" si="205"/>
        <v>868</v>
      </c>
      <c r="AK66" s="606">
        <f t="shared" si="205"/>
        <v>876</v>
      </c>
      <c r="AL66" s="606">
        <f t="shared" si="205"/>
        <v>962</v>
      </c>
      <c r="AM66" s="606">
        <f t="shared" si="205"/>
        <v>1022</v>
      </c>
      <c r="AN66" s="606">
        <f t="shared" si="205"/>
        <v>943</v>
      </c>
      <c r="AO66" s="606">
        <f t="shared" si="205"/>
        <v>1085</v>
      </c>
      <c r="AP66" s="606">
        <f t="shared" si="205"/>
        <v>1118</v>
      </c>
      <c r="AQ66" s="606">
        <f t="shared" si="205"/>
        <v>1171</v>
      </c>
      <c r="AR66" s="606">
        <f t="shared" si="205"/>
        <v>865</v>
      </c>
      <c r="AS66" s="606">
        <f t="shared" si="205"/>
        <v>1072</v>
      </c>
      <c r="AT66" s="606">
        <f t="shared" si="205"/>
        <v>1027</v>
      </c>
      <c r="AU66" s="606">
        <f t="shared" si="205"/>
        <v>1236</v>
      </c>
      <c r="AV66" s="606">
        <f t="shared" si="205"/>
        <v>1332</v>
      </c>
      <c r="AW66" s="606">
        <f t="shared" si="205"/>
        <v>1114.6698188541664</v>
      </c>
      <c r="AX66" s="606">
        <f t="shared" si="205"/>
        <v>1398.9759973187922</v>
      </c>
      <c r="AY66" s="606">
        <f t="shared" si="205"/>
        <v>1714.7878203432083</v>
      </c>
      <c r="AZ66" s="606">
        <f t="shared" si="205"/>
        <v>1600.8865084123786</v>
      </c>
      <c r="BA66" s="606">
        <f t="shared" si="205"/>
        <v>1290.4102384835055</v>
      </c>
      <c r="BB66" s="606">
        <f t="shared" si="205"/>
        <v>1526.8579684351153</v>
      </c>
      <c r="BC66" s="606">
        <f t="shared" ref="BC66:BN66" si="206">BC63+BC65</f>
        <v>1782.2643216606748</v>
      </c>
      <c r="BD66" s="606">
        <f t="shared" si="206"/>
        <v>1679.4168971739364</v>
      </c>
      <c r="BE66" s="606">
        <f t="shared" si="206"/>
        <v>1401.4914440764223</v>
      </c>
      <c r="BF66" s="606">
        <f t="shared" si="206"/>
        <v>1598.3066855907514</v>
      </c>
      <c r="BG66" s="606">
        <f t="shared" si="206"/>
        <v>1850.5913644387952</v>
      </c>
      <c r="BH66" s="606">
        <f t="shared" si="206"/>
        <v>1880.7791099695442</v>
      </c>
      <c r="BI66" s="606">
        <f t="shared" si="206"/>
        <v>1583.7608121993362</v>
      </c>
      <c r="BJ66" s="606">
        <f t="shared" si="206"/>
        <v>1754.6425389423996</v>
      </c>
      <c r="BK66" s="606">
        <f t="shared" si="206"/>
        <v>1985.9283203782202</v>
      </c>
      <c r="BL66" s="606">
        <f t="shared" si="206"/>
        <v>1865.6919552095048</v>
      </c>
      <c r="BM66" s="606">
        <f t="shared" si="206"/>
        <v>1616.0456810164574</v>
      </c>
      <c r="BN66" s="606">
        <f t="shared" si="206"/>
        <v>1806.4083341841392</v>
      </c>
      <c r="BO66" s="607"/>
      <c r="BP66" s="607">
        <f t="shared" ref="BP66:CF66" si="207">BP63+BP65</f>
        <v>1788</v>
      </c>
      <c r="BQ66" s="607">
        <f t="shared" si="207"/>
        <v>2090</v>
      </c>
      <c r="BR66" s="607">
        <f t="shared" si="207"/>
        <v>2545</v>
      </c>
      <c r="BS66" s="607">
        <f t="shared" si="207"/>
        <v>2409</v>
      </c>
      <c r="BT66" s="607">
        <f t="shared" si="207"/>
        <v>2228</v>
      </c>
      <c r="BU66" s="607">
        <f t="shared" si="207"/>
        <v>3086</v>
      </c>
      <c r="BV66" s="607">
        <f t="shared" si="207"/>
        <v>3042</v>
      </c>
      <c r="BW66" s="607">
        <f t="shared" si="207"/>
        <v>3547</v>
      </c>
      <c r="BX66" s="607">
        <f t="shared" si="207"/>
        <v>3873</v>
      </c>
      <c r="BY66" s="196">
        <f t="shared" si="207"/>
        <v>3628</v>
      </c>
      <c r="BZ66" s="196">
        <f t="shared" si="207"/>
        <v>4168</v>
      </c>
      <c r="CA66" s="196">
        <f t="shared" si="207"/>
        <v>4135</v>
      </c>
      <c r="CB66" s="196">
        <f t="shared" si="207"/>
        <v>5081.6458161729588</v>
      </c>
      <c r="CC66" s="196">
        <f t="shared" si="207"/>
        <v>6132.9425356742076</v>
      </c>
      <c r="CD66" s="196">
        <f t="shared" si="207"/>
        <v>6461.4793485017854</v>
      </c>
      <c r="CE66" s="196">
        <f t="shared" si="207"/>
        <v>7069.7738255500753</v>
      </c>
      <c r="CF66" s="196">
        <f t="shared" si="207"/>
        <v>7274.0742907883214</v>
      </c>
    </row>
    <row r="67" spans="1:87" s="296" customFormat="1" ht="12.75" customHeight="1">
      <c r="A67" s="194"/>
      <c r="B67" s="606"/>
      <c r="C67" s="606"/>
      <c r="D67" s="606"/>
      <c r="E67" s="606"/>
      <c r="F67" s="606"/>
      <c r="G67" s="606"/>
      <c r="H67" s="606"/>
      <c r="I67" s="606"/>
      <c r="J67" s="606"/>
      <c r="K67" s="606"/>
      <c r="L67" s="606"/>
      <c r="M67" s="606"/>
      <c r="N67" s="606"/>
      <c r="O67" s="606"/>
      <c r="P67" s="606"/>
      <c r="Q67" s="606"/>
      <c r="R67" s="606"/>
      <c r="S67" s="606"/>
      <c r="T67" s="606"/>
      <c r="U67" s="606"/>
      <c r="V67" s="606"/>
      <c r="W67" s="606"/>
      <c r="X67" s="606"/>
      <c r="Y67" s="606"/>
      <c r="Z67" s="606"/>
      <c r="AA67" s="606"/>
      <c r="AB67" s="606"/>
      <c r="AC67" s="606"/>
      <c r="AD67" s="606"/>
      <c r="AE67" s="606"/>
      <c r="AF67" s="606"/>
      <c r="AG67" s="606"/>
      <c r="AH67" s="606"/>
      <c r="AI67" s="606"/>
      <c r="AJ67" s="606"/>
      <c r="AK67" s="606"/>
      <c r="AL67" s="606"/>
      <c r="AM67" s="606"/>
      <c r="AN67" s="606"/>
      <c r="AO67" s="606"/>
      <c r="AP67" s="606"/>
      <c r="AQ67" s="606"/>
      <c r="AR67" s="606"/>
      <c r="AS67" s="606"/>
      <c r="AT67" s="606"/>
      <c r="AU67" s="606"/>
      <c r="AV67" s="606"/>
      <c r="AW67" s="606"/>
      <c r="AX67" s="606"/>
      <c r="AY67" s="606"/>
      <c r="AZ67" s="606"/>
      <c r="BA67" s="606"/>
      <c r="BB67" s="606"/>
      <c r="BC67" s="606"/>
      <c r="BD67" s="606"/>
      <c r="BE67" s="606"/>
      <c r="BF67" s="606"/>
      <c r="BG67" s="606"/>
      <c r="BH67" s="606"/>
      <c r="BI67" s="606"/>
      <c r="BJ67" s="606"/>
      <c r="BK67" s="606"/>
      <c r="BL67" s="606"/>
      <c r="BM67" s="606"/>
      <c r="BN67" s="606"/>
      <c r="BO67" s="607"/>
      <c r="BP67" s="607"/>
      <c r="BQ67" s="607"/>
      <c r="BR67" s="607"/>
      <c r="BS67" s="607"/>
      <c r="BT67" s="607"/>
      <c r="BU67" s="607"/>
      <c r="BV67" s="607"/>
      <c r="BW67" s="607"/>
      <c r="BX67" s="607"/>
      <c r="BY67" s="196"/>
      <c r="BZ67" s="196"/>
      <c r="CA67" s="196"/>
      <c r="CB67" s="196"/>
      <c r="CC67" s="196"/>
      <c r="CD67" s="196"/>
      <c r="CE67" s="196"/>
      <c r="CF67" s="196"/>
    </row>
    <row r="68" spans="1:87" s="296" customFormat="1">
      <c r="A68" s="42" t="s">
        <v>110</v>
      </c>
      <c r="B68" s="638">
        <f>Drivers!B175</f>
        <v>-171</v>
      </c>
      <c r="C68" s="638">
        <f>Drivers!C175</f>
        <v>-127</v>
      </c>
      <c r="D68" s="638">
        <f>Drivers!D175</f>
        <v>-173</v>
      </c>
      <c r="E68" s="638">
        <f>Drivers!E175</f>
        <v>-253</v>
      </c>
      <c r="F68" s="638">
        <f>Drivers!F175</f>
        <v>-194</v>
      </c>
      <c r="G68" s="638">
        <f>Drivers!G175</f>
        <v>-140</v>
      </c>
      <c r="H68" s="638">
        <f>Drivers!H175</f>
        <v>-222</v>
      </c>
      <c r="I68" s="638">
        <f>Drivers!I175</f>
        <v>-269</v>
      </c>
      <c r="J68" s="638">
        <f>Drivers!J175</f>
        <v>-229</v>
      </c>
      <c r="K68" s="638">
        <f>Drivers!K175</f>
        <v>-151</v>
      </c>
      <c r="L68" s="638">
        <f>Drivers!L175</f>
        <v>-212</v>
      </c>
      <c r="M68" s="638">
        <f>Drivers!M175</f>
        <v>-214</v>
      </c>
      <c r="N68" s="638">
        <f>Drivers!N175</f>
        <v>-198</v>
      </c>
      <c r="O68" s="638">
        <f>Drivers!O175</f>
        <v>-147</v>
      </c>
      <c r="P68" s="638">
        <f>Drivers!P175</f>
        <v>-164</v>
      </c>
      <c r="Q68" s="638">
        <f>Drivers!Q175</f>
        <v>-214</v>
      </c>
      <c r="R68" s="638">
        <f>Drivers!R175</f>
        <v>-155</v>
      </c>
      <c r="S68" s="638">
        <f>Drivers!S175</f>
        <v>-130</v>
      </c>
      <c r="T68" s="638">
        <f>Drivers!T175</f>
        <v>-183</v>
      </c>
      <c r="U68" s="638">
        <f>Drivers!U175</f>
        <v>-169</v>
      </c>
      <c r="V68" s="638">
        <f>Drivers!V175</f>
        <v>-165</v>
      </c>
      <c r="W68" s="638">
        <f>Drivers!W175</f>
        <v>-123</v>
      </c>
      <c r="X68" s="638">
        <f>Drivers!X175</f>
        <v>-156</v>
      </c>
      <c r="Y68" s="638">
        <f>Drivers!Y175</f>
        <v>-190</v>
      </c>
      <c r="Z68" s="638">
        <f>Drivers!Z175</f>
        <v>-153</v>
      </c>
      <c r="AA68" s="638">
        <f>Drivers!AA175</f>
        <v>-128</v>
      </c>
      <c r="AB68" s="638">
        <f>Drivers!AB175</f>
        <v>-143</v>
      </c>
      <c r="AC68" s="638">
        <f>Drivers!AC175</f>
        <v>-240</v>
      </c>
      <c r="AD68" s="638">
        <f>Drivers!AD175</f>
        <v>-162</v>
      </c>
      <c r="AE68" s="638">
        <f>Drivers!AE175</f>
        <v>-121</v>
      </c>
      <c r="AF68" s="638">
        <f>Drivers!AF175</f>
        <v>-160</v>
      </c>
      <c r="AG68" s="638">
        <f>Drivers!AG175</f>
        <v>-230</v>
      </c>
      <c r="AH68" s="638">
        <f>Drivers!AH175</f>
        <v>-130</v>
      </c>
      <c r="AI68" s="638">
        <f>Drivers!AI175</f>
        <v>-140</v>
      </c>
      <c r="AJ68" s="638">
        <f>Drivers!AJ175</f>
        <v>-146</v>
      </c>
      <c r="AK68" s="638">
        <f>Drivers!AK175</f>
        <v>-187</v>
      </c>
      <c r="AL68" s="638">
        <f>Drivers!AL175</f>
        <v>-229</v>
      </c>
      <c r="AM68" s="638">
        <f>Drivers!AM175</f>
        <v>-110</v>
      </c>
      <c r="AN68" s="638">
        <f>Drivers!AN175</f>
        <v>-152</v>
      </c>
      <c r="AO68" s="638">
        <f>Drivers!AO175</f>
        <v>-202</v>
      </c>
      <c r="AP68" s="638">
        <f>Drivers!AP175</f>
        <v>-167</v>
      </c>
      <c r="AQ68" s="638">
        <f>Drivers!AQ175</f>
        <v>-121</v>
      </c>
      <c r="AR68" s="638">
        <f>Drivers!AR175</f>
        <v>-156</v>
      </c>
      <c r="AS68" s="638">
        <f>Drivers!AS175</f>
        <v>-216</v>
      </c>
      <c r="AT68" s="638">
        <f>Drivers!AT175</f>
        <v>-196</v>
      </c>
      <c r="AU68" s="638">
        <f>Drivers!AU175</f>
        <v>-190</v>
      </c>
      <c r="AV68" s="638">
        <f>Drivers!AV175</f>
        <v>-233</v>
      </c>
      <c r="AW68" s="638">
        <f>Drivers!AW175</f>
        <v>-310.50768031250004</v>
      </c>
      <c r="AX68" s="638">
        <f>Drivers!AX175</f>
        <v>-233.99841699319737</v>
      </c>
      <c r="AY68" s="638">
        <f>Drivers!AY175</f>
        <v>-207.52547421582079</v>
      </c>
      <c r="AZ68" s="638">
        <f>Drivers!AZ175</f>
        <v>-235.78605830869219</v>
      </c>
      <c r="BA68" s="638">
        <f>Drivers!BA175</f>
        <v>-338.14748002979172</v>
      </c>
      <c r="BB68" s="638">
        <f>Drivers!BB175</f>
        <v>-223.46793971909193</v>
      </c>
      <c r="BC68" s="638">
        <f>Drivers!BC175</f>
        <v>-196.75010131268823</v>
      </c>
      <c r="BD68" s="638">
        <f>Drivers!BD175</f>
        <v>-229.53704993639661</v>
      </c>
      <c r="BE68" s="638">
        <f>Drivers!BE175</f>
        <v>-325.83234522326433</v>
      </c>
      <c r="BF68" s="638">
        <f>Drivers!BF175</f>
        <v>-220.64635487624855</v>
      </c>
      <c r="BG68" s="638">
        <f>Drivers!BG175</f>
        <v>-198.75982492623879</v>
      </c>
      <c r="BH68" s="638">
        <f>Drivers!BH175</f>
        <v>-275.56739293312722</v>
      </c>
      <c r="BI68" s="638">
        <f>Drivers!BI175</f>
        <v>-352.12013306968203</v>
      </c>
      <c r="BJ68" s="638">
        <f>Drivers!BJ175</f>
        <v>-226.19901040449267</v>
      </c>
      <c r="BK68" s="638">
        <f>Drivers!BK175</f>
        <v>-202.96475310408781</v>
      </c>
      <c r="BL68" s="638">
        <f>Drivers!BL175</f>
        <v>-246.3605657805183</v>
      </c>
      <c r="BM68" s="638">
        <f>Drivers!BM175</f>
        <v>-362.97852904835673</v>
      </c>
      <c r="BN68" s="638">
        <f>Drivers!BN175</f>
        <v>-226.97265902609274</v>
      </c>
      <c r="BO68" s="299"/>
      <c r="BP68" s="639">
        <v>-730</v>
      </c>
      <c r="BQ68" s="299">
        <f t="shared" ref="BQ68:BQ73" si="208">SUM(C68:F68)</f>
        <v>-747</v>
      </c>
      <c r="BR68" s="299">
        <f t="shared" ref="BR68:BR73" si="209">SUM(G68:J68)</f>
        <v>-860</v>
      </c>
      <c r="BS68" s="299">
        <f t="shared" ref="BS68:BS73" si="210">SUM(K68:N68)</f>
        <v>-775</v>
      </c>
      <c r="BT68" s="299">
        <f t="shared" ref="BT68:BT73" si="211">SUM(O68:R68)</f>
        <v>-680</v>
      </c>
      <c r="BU68" s="299">
        <f t="shared" ref="BU68:BU73" si="212">SUM(S68:V68)</f>
        <v>-647</v>
      </c>
      <c r="BV68" s="299">
        <f t="shared" ref="BV68:BV73" si="213">SUM(W68:Z68)</f>
        <v>-622</v>
      </c>
      <c r="BW68" s="299">
        <f t="shared" ref="BW68:BW73" si="214">SUM(AA68:AD68)</f>
        <v>-673</v>
      </c>
      <c r="BX68" s="299">
        <f t="shared" ref="BX68:BX73" si="215">SUM(AE68:AH68)</f>
        <v>-641</v>
      </c>
      <c r="BY68" s="49">
        <f t="shared" ref="BY68:BY73" si="216">SUM(AI68:AL68)</f>
        <v>-702</v>
      </c>
      <c r="BZ68" s="49">
        <f t="shared" ref="BZ68:BZ73" si="217">SUM(AM68:AP68)</f>
        <v>-631</v>
      </c>
      <c r="CA68" s="49">
        <f t="shared" ref="CA68:CA73" si="218">SUM(AQ68:AT68)</f>
        <v>-689</v>
      </c>
      <c r="CB68" s="49">
        <f t="shared" ref="CB68:CB73" si="219">SUM(AU68:AX68)</f>
        <v>-967.50609730569738</v>
      </c>
      <c r="CC68" s="49">
        <f t="shared" ref="CC68:CC73" si="220">SUM(AY68:BB68)</f>
        <v>-1004.9269522733966</v>
      </c>
      <c r="CD68" s="49">
        <f t="shared" ref="CD68:CD73" si="221">SUM(BC68:BF68)</f>
        <v>-972.76585134859772</v>
      </c>
      <c r="CE68" s="49">
        <f t="shared" ref="CE68:CE73" si="222">SUM(BG68:BJ68)</f>
        <v>-1052.6463613335407</v>
      </c>
      <c r="CF68" s="49">
        <f t="shared" ref="CF68:CF73" si="223">SUM(BK68:BN68)</f>
        <v>-1039.2765069590555</v>
      </c>
    </row>
    <row r="69" spans="1:87" s="296" customFormat="1">
      <c r="A69" s="42" t="s">
        <v>59</v>
      </c>
      <c r="B69" s="638">
        <f>Drivers!B176</f>
        <v>-79</v>
      </c>
      <c r="C69" s="638">
        <f>Drivers!C176</f>
        <v>-74</v>
      </c>
      <c r="D69" s="638">
        <f>Drivers!D176</f>
        <v>-77</v>
      </c>
      <c r="E69" s="638">
        <f>Drivers!E176</f>
        <v>-75</v>
      </c>
      <c r="F69" s="638">
        <f>Drivers!F176</f>
        <v>-75</v>
      </c>
      <c r="G69" s="638">
        <f>Drivers!G176</f>
        <v>-74</v>
      </c>
      <c r="H69" s="638">
        <f>Drivers!H176</f>
        <v>-88</v>
      </c>
      <c r="I69" s="638">
        <f>Drivers!I176</f>
        <v>-98</v>
      </c>
      <c r="J69" s="638">
        <f>Drivers!J176</f>
        <v>-118</v>
      </c>
      <c r="K69" s="638">
        <f>Drivers!K176</f>
        <v>-88</v>
      </c>
      <c r="L69" s="638">
        <f>Drivers!L176</f>
        <v>-99</v>
      </c>
      <c r="M69" s="638">
        <f>Drivers!M176</f>
        <v>-68</v>
      </c>
      <c r="N69" s="638">
        <f>Drivers!N176</f>
        <v>-96</v>
      </c>
      <c r="O69" s="638">
        <f>Drivers!O176</f>
        <v>-85</v>
      </c>
      <c r="P69" s="638">
        <f>Drivers!P176</f>
        <v>-129</v>
      </c>
      <c r="Q69" s="638">
        <f>Drivers!Q176</f>
        <v>-91</v>
      </c>
      <c r="R69" s="638">
        <f>Drivers!R176</f>
        <v>-105</v>
      </c>
      <c r="S69" s="638">
        <f>Drivers!S176</f>
        <v>-88</v>
      </c>
      <c r="T69" s="638">
        <f>Drivers!T176</f>
        <v>-92</v>
      </c>
      <c r="U69" s="638">
        <f>Drivers!U176</f>
        <v>-107</v>
      </c>
      <c r="V69" s="638">
        <f>Drivers!V176</f>
        <v>-99</v>
      </c>
      <c r="W69" s="638">
        <f>Drivers!W176</f>
        <v>-98</v>
      </c>
      <c r="X69" s="638">
        <f>Drivers!X176</f>
        <v>-101</v>
      </c>
      <c r="Y69" s="638">
        <f>Drivers!Y176</f>
        <v>-97</v>
      </c>
      <c r="Z69" s="638">
        <f>Drivers!Z176</f>
        <v>-110</v>
      </c>
      <c r="AA69" s="638">
        <f>Drivers!AA176</f>
        <v>-108</v>
      </c>
      <c r="AB69" s="638">
        <f>Drivers!AB176</f>
        <v>-111</v>
      </c>
      <c r="AC69" s="638">
        <f>Drivers!AC176</f>
        <v>-110</v>
      </c>
      <c r="AD69" s="638">
        <f>Drivers!AD176</f>
        <v>-110</v>
      </c>
      <c r="AE69" s="638">
        <f>Drivers!AE176</f>
        <v>-105</v>
      </c>
      <c r="AF69" s="638">
        <f>Drivers!AF176</f>
        <v>-118</v>
      </c>
      <c r="AG69" s="638">
        <f>Drivers!AG176</f>
        <v>-120</v>
      </c>
      <c r="AH69" s="638">
        <f>Drivers!AH176</f>
        <v>-126</v>
      </c>
      <c r="AI69" s="638">
        <f>Drivers!AI176</f>
        <v>-114</v>
      </c>
      <c r="AJ69" s="638">
        <f>Drivers!AJ176</f>
        <v>-117</v>
      </c>
      <c r="AK69" s="638">
        <f>Drivers!AK176</f>
        <v>-106</v>
      </c>
      <c r="AL69" s="638">
        <f>Drivers!AL176</f>
        <v>-123</v>
      </c>
      <c r="AM69" s="638">
        <f>Drivers!AM176</f>
        <v>-110</v>
      </c>
      <c r="AN69" s="638">
        <f>Drivers!AN176</f>
        <v>-128</v>
      </c>
      <c r="AO69" s="638">
        <f>Drivers!AO176</f>
        <v>-126</v>
      </c>
      <c r="AP69" s="638">
        <f>Drivers!AP176</f>
        <v>-142</v>
      </c>
      <c r="AQ69" s="638">
        <f>Drivers!AQ176</f>
        <v>-136</v>
      </c>
      <c r="AR69" s="638">
        <f>Drivers!AR176</f>
        <v>-133</v>
      </c>
      <c r="AS69" s="638">
        <f>Drivers!AS176</f>
        <v>-149</v>
      </c>
      <c r="AT69" s="638">
        <f>Drivers!AT176</f>
        <v>-174</v>
      </c>
      <c r="AU69" s="638">
        <f>Drivers!AU176</f>
        <v>-169</v>
      </c>
      <c r="AV69" s="638">
        <f>Drivers!AV176</f>
        <v>-176</v>
      </c>
      <c r="AW69" s="638">
        <f>Drivers!AW176</f>
        <v>-253.2603</v>
      </c>
      <c r="AX69" s="638">
        <f>Drivers!AX176</f>
        <v>-207.65733192533557</v>
      </c>
      <c r="AY69" s="638">
        <f>Drivers!AY176</f>
        <v>-182.76376660623356</v>
      </c>
      <c r="AZ69" s="638">
        <f>Drivers!AZ176</f>
        <v>-173.31820396333947</v>
      </c>
      <c r="BA69" s="638">
        <f>Drivers!BA176</f>
        <v>-275.80423180000003</v>
      </c>
      <c r="BB69" s="638">
        <f>Drivers!BB176</f>
        <v>-198.31226522471476</v>
      </c>
      <c r="BC69" s="638">
        <f>Drivers!BC176</f>
        <v>-174.95299852307795</v>
      </c>
      <c r="BD69" s="638">
        <f>Drivers!BD176</f>
        <v>-180.74515519813713</v>
      </c>
      <c r="BE69" s="638">
        <f>Drivers!BE176</f>
        <v>-267.38008725866223</v>
      </c>
      <c r="BF69" s="638">
        <f>Drivers!BF176</f>
        <v>-198.03770116100134</v>
      </c>
      <c r="BG69" s="638">
        <f>Drivers!BG176</f>
        <v>-174.80148342263109</v>
      </c>
      <c r="BH69" s="638">
        <f>Drivers!BH176</f>
        <v>-213.65281893344354</v>
      </c>
      <c r="BI69" s="638">
        <f>Drivers!BI176</f>
        <v>-279.32027879701241</v>
      </c>
      <c r="BJ69" s="638">
        <f>Drivers!BJ176</f>
        <v>-206.69326946729171</v>
      </c>
      <c r="BK69" s="638">
        <f>Drivers!BK176</f>
        <v>-181.45030047825819</v>
      </c>
      <c r="BL69" s="638">
        <f>Drivers!BL176</f>
        <v>-187.90595570642094</v>
      </c>
      <c r="BM69" s="638">
        <f>Drivers!BM176</f>
        <v>-278.00498235752872</v>
      </c>
      <c r="BN69" s="638">
        <f>Drivers!BN176</f>
        <v>-211.44946280782335</v>
      </c>
      <c r="BO69" s="299"/>
      <c r="BP69" s="639">
        <v>-320</v>
      </c>
      <c r="BQ69" s="299">
        <f t="shared" si="208"/>
        <v>-301</v>
      </c>
      <c r="BR69" s="299">
        <f t="shared" si="209"/>
        <v>-378</v>
      </c>
      <c r="BS69" s="299">
        <f t="shared" si="210"/>
        <v>-351</v>
      </c>
      <c r="BT69" s="299">
        <f t="shared" si="211"/>
        <v>-410</v>
      </c>
      <c r="BU69" s="299">
        <f t="shared" si="212"/>
        <v>-386</v>
      </c>
      <c r="BV69" s="299">
        <f t="shared" si="213"/>
        <v>-406</v>
      </c>
      <c r="BW69" s="299">
        <f t="shared" si="214"/>
        <v>-439</v>
      </c>
      <c r="BX69" s="299">
        <f t="shared" si="215"/>
        <v>-469</v>
      </c>
      <c r="BY69" s="49">
        <f t="shared" si="216"/>
        <v>-460</v>
      </c>
      <c r="BZ69" s="49">
        <f t="shared" si="217"/>
        <v>-506</v>
      </c>
      <c r="CA69" s="49">
        <f t="shared" si="218"/>
        <v>-592</v>
      </c>
      <c r="CB69" s="49">
        <f t="shared" si="219"/>
        <v>-805.91763192533563</v>
      </c>
      <c r="CC69" s="49">
        <f t="shared" si="220"/>
        <v>-830.19846759428788</v>
      </c>
      <c r="CD69" s="49">
        <f t="shared" si="221"/>
        <v>-821.1159421408787</v>
      </c>
      <c r="CE69" s="49">
        <f t="shared" si="222"/>
        <v>-874.46785062037884</v>
      </c>
      <c r="CF69" s="49">
        <f t="shared" si="223"/>
        <v>-858.8107013500312</v>
      </c>
    </row>
    <row r="70" spans="1:87" s="296" customFormat="1">
      <c r="A70" s="42" t="s">
        <v>111</v>
      </c>
      <c r="B70" s="638">
        <f>Drivers!B177</f>
        <v>-311</v>
      </c>
      <c r="C70" s="638">
        <f>Drivers!C177</f>
        <v>-275</v>
      </c>
      <c r="D70" s="638">
        <f>Drivers!D177</f>
        <v>-277</v>
      </c>
      <c r="E70" s="638">
        <f>Drivers!E177</f>
        <v>-273</v>
      </c>
      <c r="F70" s="638">
        <f>Drivers!F177</f>
        <v>-328</v>
      </c>
      <c r="G70" s="638">
        <f>Drivers!G177</f>
        <v>-285</v>
      </c>
      <c r="H70" s="638">
        <f>Drivers!H177</f>
        <v>-318</v>
      </c>
      <c r="I70" s="638">
        <f>Drivers!I177</f>
        <v>-325</v>
      </c>
      <c r="J70" s="638">
        <f>Drivers!J177</f>
        <v>-274</v>
      </c>
      <c r="K70" s="638">
        <f>Drivers!K177</f>
        <v>-282</v>
      </c>
      <c r="L70" s="638">
        <f>Drivers!L177</f>
        <v>-314</v>
      </c>
      <c r="M70" s="638">
        <f>Drivers!M177</f>
        <v>-286</v>
      </c>
      <c r="N70" s="638">
        <f>Drivers!N177</f>
        <v>-287</v>
      </c>
      <c r="O70" s="638">
        <f>Drivers!O177</f>
        <v>-278</v>
      </c>
      <c r="P70" s="638">
        <f>Drivers!P177</f>
        <v>-283</v>
      </c>
      <c r="Q70" s="638">
        <f>Drivers!Q177</f>
        <v>-275</v>
      </c>
      <c r="R70" s="638">
        <f>Drivers!R177</f>
        <v>-289</v>
      </c>
      <c r="S70" s="638">
        <f>Drivers!S177</f>
        <v>-265</v>
      </c>
      <c r="T70" s="638">
        <f>Drivers!T177</f>
        <v>-261</v>
      </c>
      <c r="U70" s="638">
        <f>Drivers!U177</f>
        <v>-283</v>
      </c>
      <c r="V70" s="638">
        <f>Drivers!V177</f>
        <v>-285</v>
      </c>
      <c r="W70" s="638">
        <f>Drivers!W177</f>
        <v>-296</v>
      </c>
      <c r="X70" s="638">
        <f>Drivers!X177</f>
        <v>-265</v>
      </c>
      <c r="Y70" s="638">
        <f>Drivers!Y177</f>
        <v>-266</v>
      </c>
      <c r="Z70" s="638">
        <f>Drivers!Z177</f>
        <v>-282</v>
      </c>
      <c r="AA70" s="638">
        <f>Drivers!AA177</f>
        <v>-294</v>
      </c>
      <c r="AB70" s="638">
        <f>Drivers!AB177</f>
        <v>-291</v>
      </c>
      <c r="AC70" s="638">
        <f>Drivers!AC177</f>
        <v>-285</v>
      </c>
      <c r="AD70" s="638">
        <f>Drivers!AD177</f>
        <v>-335</v>
      </c>
      <c r="AE70" s="638">
        <f>Drivers!AE177</f>
        <v>-325</v>
      </c>
      <c r="AF70" s="638">
        <f>Drivers!AF177</f>
        <v>-331</v>
      </c>
      <c r="AG70" s="638">
        <f>Drivers!AG177</f>
        <v>-329</v>
      </c>
      <c r="AH70" s="638">
        <f>Drivers!AH177</f>
        <v>-335</v>
      </c>
      <c r="AI70" s="638">
        <f>Drivers!AI177</f>
        <v>-362</v>
      </c>
      <c r="AJ70" s="638">
        <f>Drivers!AJ177</f>
        <v>-339</v>
      </c>
      <c r="AK70" s="638">
        <f>Drivers!AK177</f>
        <v>-334</v>
      </c>
      <c r="AL70" s="638">
        <f>Drivers!AL177</f>
        <v>-398</v>
      </c>
      <c r="AM70" s="638">
        <f>Drivers!AM177</f>
        <v>-381</v>
      </c>
      <c r="AN70" s="638">
        <f>Drivers!AN177</f>
        <v>-387</v>
      </c>
      <c r="AO70" s="638">
        <f>Drivers!AO177</f>
        <v>-389</v>
      </c>
      <c r="AP70" s="638">
        <f>Drivers!AP177</f>
        <v>-402</v>
      </c>
      <c r="AQ70" s="638">
        <f>Drivers!AQ177</f>
        <v>-438</v>
      </c>
      <c r="AR70" s="638">
        <f>Drivers!AR177</f>
        <v>-421</v>
      </c>
      <c r="AS70" s="638">
        <f>Drivers!AS177</f>
        <v>-451</v>
      </c>
      <c r="AT70" s="638">
        <f>Drivers!AT177</f>
        <v>-468</v>
      </c>
      <c r="AU70" s="638">
        <f>Drivers!AU177</f>
        <v>-515</v>
      </c>
      <c r="AV70" s="638">
        <f>Drivers!AV177</f>
        <v>-553</v>
      </c>
      <c r="AW70" s="638">
        <f>Drivers!AW177</f>
        <v>-493.85758500000003</v>
      </c>
      <c r="AX70" s="638">
        <f>Drivers!AX177</f>
        <v>-629.24569203967246</v>
      </c>
      <c r="AY70" s="638">
        <f>Drivers!AY177</f>
        <v>-548.11944393120268</v>
      </c>
      <c r="AZ70" s="638">
        <f>Drivers!AZ177</f>
        <v>-620.96721804802542</v>
      </c>
      <c r="BA70" s="638">
        <f>Drivers!BA177</f>
        <v>-588.23871313593759</v>
      </c>
      <c r="BB70" s="638">
        <f>Drivers!BB177</f>
        <v>-621.64982162062961</v>
      </c>
      <c r="BC70" s="638">
        <f>Drivers!BC177</f>
        <v>-542.79830393177201</v>
      </c>
      <c r="BD70" s="638">
        <f>Drivers!BD177</f>
        <v>-647.5766170689509</v>
      </c>
      <c r="BE70" s="638">
        <f>Drivers!BE177</f>
        <v>-608.28969851345664</v>
      </c>
      <c r="BF70" s="638">
        <f>Drivers!BF177</f>
        <v>-644.35614047139825</v>
      </c>
      <c r="BG70" s="638">
        <f>Drivers!BG177</f>
        <v>-562.3978131116379</v>
      </c>
      <c r="BH70" s="638">
        <f>Drivers!BH177</f>
        <v>-784.85069840929054</v>
      </c>
      <c r="BI70" s="638">
        <f>Drivers!BI177</f>
        <v>-657.36582854814117</v>
      </c>
      <c r="BJ70" s="638">
        <f>Drivers!BJ177</f>
        <v>-685.87147472523725</v>
      </c>
      <c r="BK70" s="638">
        <f>Drivers!BK177</f>
        <v>-589.94431003164846</v>
      </c>
      <c r="BL70" s="638">
        <f>Drivers!BL177</f>
        <v>-708.55404955678648</v>
      </c>
      <c r="BM70" s="638">
        <f>Drivers!BM177</f>
        <v>-677.63714449647625</v>
      </c>
      <c r="BN70" s="638">
        <f>Drivers!BN177</f>
        <v>-716.11743423749851</v>
      </c>
      <c r="BO70" s="299"/>
      <c r="BP70" s="639">
        <v>-1229</v>
      </c>
      <c r="BQ70" s="299">
        <f t="shared" si="208"/>
        <v>-1153</v>
      </c>
      <c r="BR70" s="299">
        <f t="shared" si="209"/>
        <v>-1202</v>
      </c>
      <c r="BS70" s="299">
        <f t="shared" si="210"/>
        <v>-1169</v>
      </c>
      <c r="BT70" s="299">
        <f t="shared" si="211"/>
        <v>-1125</v>
      </c>
      <c r="BU70" s="299">
        <f t="shared" si="212"/>
        <v>-1094</v>
      </c>
      <c r="BV70" s="299">
        <f t="shared" si="213"/>
        <v>-1109</v>
      </c>
      <c r="BW70" s="299">
        <f t="shared" si="214"/>
        <v>-1205</v>
      </c>
      <c r="BX70" s="299">
        <f t="shared" si="215"/>
        <v>-1320</v>
      </c>
      <c r="BY70" s="49">
        <f t="shared" si="216"/>
        <v>-1433</v>
      </c>
      <c r="BZ70" s="49">
        <f t="shared" si="217"/>
        <v>-1559</v>
      </c>
      <c r="CA70" s="49">
        <f t="shared" si="218"/>
        <v>-1778</v>
      </c>
      <c r="CB70" s="49">
        <f t="shared" si="219"/>
        <v>-2191.1032770396723</v>
      </c>
      <c r="CC70" s="49">
        <f t="shared" si="220"/>
        <v>-2378.9751967357952</v>
      </c>
      <c r="CD70" s="49">
        <f t="shared" si="221"/>
        <v>-2443.0207599855776</v>
      </c>
      <c r="CE70" s="49">
        <f t="shared" si="222"/>
        <v>-2690.4858147943069</v>
      </c>
      <c r="CF70" s="49">
        <f t="shared" si="223"/>
        <v>-2692.2529383224096</v>
      </c>
    </row>
    <row r="71" spans="1:87" s="296" customFormat="1">
      <c r="A71" s="42" t="s">
        <v>112</v>
      </c>
      <c r="B71" s="638">
        <f>Drivers!B178</f>
        <v>-2</v>
      </c>
      <c r="C71" s="638">
        <f>Drivers!C178</f>
        <v>-2</v>
      </c>
      <c r="D71" s="638">
        <f>Drivers!D178</f>
        <v>28</v>
      </c>
      <c r="E71" s="638">
        <f>Drivers!E178</f>
        <v>-1</v>
      </c>
      <c r="F71" s="638">
        <f>Drivers!F178</f>
        <v>-8</v>
      </c>
      <c r="G71" s="638">
        <f>Drivers!G178</f>
        <v>-2</v>
      </c>
      <c r="H71" s="638">
        <f>Drivers!H178</f>
        <v>-17</v>
      </c>
      <c r="I71" s="638">
        <f>Drivers!I178</f>
        <v>11</v>
      </c>
      <c r="J71" s="638">
        <f>Drivers!J178</f>
        <v>-3</v>
      </c>
      <c r="K71" s="638">
        <f>Drivers!K178</f>
        <v>20</v>
      </c>
      <c r="L71" s="638">
        <f>Drivers!L178</f>
        <v>0</v>
      </c>
      <c r="M71" s="638">
        <f>Drivers!M178</f>
        <v>45</v>
      </c>
      <c r="N71" s="638">
        <f>Drivers!N178</f>
        <v>-1</v>
      </c>
      <c r="O71" s="638">
        <f>Drivers!O178</f>
        <v>-7</v>
      </c>
      <c r="P71" s="638">
        <f>Drivers!P178</f>
        <v>44</v>
      </c>
      <c r="Q71" s="638">
        <f>Drivers!Q178</f>
        <v>0</v>
      </c>
      <c r="R71" s="638">
        <f>Drivers!R178</f>
        <v>-2</v>
      </c>
      <c r="S71" s="638">
        <f>Drivers!S178</f>
        <v>1</v>
      </c>
      <c r="T71" s="638">
        <f>Drivers!T178</f>
        <v>1</v>
      </c>
      <c r="U71" s="638">
        <f>Drivers!U178</f>
        <v>0</v>
      </c>
      <c r="V71" s="638">
        <f>Drivers!V178</f>
        <v>1</v>
      </c>
      <c r="W71" s="638">
        <f>Drivers!W178</f>
        <v>0</v>
      </c>
      <c r="X71" s="638">
        <f>Drivers!X178</f>
        <v>0</v>
      </c>
      <c r="Y71" s="638">
        <f>Drivers!Y178</f>
        <v>0</v>
      </c>
      <c r="Z71" s="638">
        <f>Drivers!Z178</f>
        <v>0</v>
      </c>
      <c r="AA71" s="638">
        <f>Drivers!AA178</f>
        <v>0</v>
      </c>
      <c r="AB71" s="638">
        <f>Drivers!AB178</f>
        <v>0</v>
      </c>
      <c r="AC71" s="638">
        <f>Drivers!AC178</f>
        <v>0</v>
      </c>
      <c r="AD71" s="638">
        <f>Drivers!AD178</f>
        <v>0</v>
      </c>
      <c r="AE71" s="638">
        <f>Drivers!AE178</f>
        <v>0</v>
      </c>
      <c r="AF71" s="638">
        <f>Drivers!AF178</f>
        <v>0</v>
      </c>
      <c r="AG71" s="638">
        <f>Drivers!AG178</f>
        <v>0</v>
      </c>
      <c r="AH71" s="638">
        <f>Drivers!AH178</f>
        <v>0</v>
      </c>
      <c r="AI71" s="638">
        <f>Drivers!AI178</f>
        <v>0</v>
      </c>
      <c r="AJ71" s="638">
        <f>Drivers!AJ178</f>
        <v>-2</v>
      </c>
      <c r="AK71" s="638">
        <f>Drivers!AK178</f>
        <v>-1</v>
      </c>
      <c r="AL71" s="638">
        <f>Drivers!AL178</f>
        <v>-11</v>
      </c>
      <c r="AM71" s="638">
        <f>Drivers!AM178</f>
        <v>-1</v>
      </c>
      <c r="AN71" s="638">
        <f>Drivers!AN178</f>
        <v>-2</v>
      </c>
      <c r="AO71" s="638">
        <f>Drivers!AO178</f>
        <v>-2</v>
      </c>
      <c r="AP71" s="638">
        <f>Drivers!AP178</f>
        <v>0</v>
      </c>
      <c r="AQ71" s="638">
        <f>Drivers!AQ178</f>
        <v>0</v>
      </c>
      <c r="AR71" s="638">
        <f>Drivers!AR178</f>
        <v>0</v>
      </c>
      <c r="AS71" s="638">
        <f>Drivers!AS178</f>
        <v>0</v>
      </c>
      <c r="AT71" s="638">
        <f>Drivers!AT178</f>
        <v>0</v>
      </c>
      <c r="AU71" s="638">
        <f>Drivers!AU178</f>
        <v>0</v>
      </c>
      <c r="AV71" s="638">
        <f>Drivers!AV178</f>
        <v>0</v>
      </c>
      <c r="AW71" s="638">
        <f>Drivers!AW178</f>
        <v>0</v>
      </c>
      <c r="AX71" s="638">
        <f>Drivers!AX178</f>
        <v>0</v>
      </c>
      <c r="AY71" s="638">
        <f>Drivers!AY178</f>
        <v>0</v>
      </c>
      <c r="AZ71" s="638">
        <f>Drivers!AZ178</f>
        <v>0</v>
      </c>
      <c r="BA71" s="638">
        <f>Drivers!BA178</f>
        <v>0</v>
      </c>
      <c r="BB71" s="638">
        <f>Drivers!BB178</f>
        <v>0</v>
      </c>
      <c r="BC71" s="638">
        <f>Drivers!BC178</f>
        <v>0</v>
      </c>
      <c r="BD71" s="638">
        <f>Drivers!BD178</f>
        <v>0</v>
      </c>
      <c r="BE71" s="638">
        <f>Drivers!BE178</f>
        <v>0</v>
      </c>
      <c r="BF71" s="638">
        <f>Drivers!BF178</f>
        <v>0</v>
      </c>
      <c r="BG71" s="638">
        <f>Drivers!BG178</f>
        <v>0</v>
      </c>
      <c r="BH71" s="638">
        <f>Drivers!BH178</f>
        <v>0</v>
      </c>
      <c r="BI71" s="638">
        <f>Drivers!BI178</f>
        <v>0</v>
      </c>
      <c r="BJ71" s="638">
        <f>Drivers!BJ178</f>
        <v>0</v>
      </c>
      <c r="BK71" s="638">
        <f>Drivers!BK178</f>
        <v>0</v>
      </c>
      <c r="BL71" s="638">
        <f>Drivers!BL178</f>
        <v>0</v>
      </c>
      <c r="BM71" s="638">
        <f>Drivers!BM178</f>
        <v>0</v>
      </c>
      <c r="BN71" s="638">
        <f>Drivers!BN178</f>
        <v>0</v>
      </c>
      <c r="BO71" s="299"/>
      <c r="BP71" s="639">
        <v>-2</v>
      </c>
      <c r="BQ71" s="299">
        <f t="shared" si="208"/>
        <v>17</v>
      </c>
      <c r="BR71" s="299">
        <f t="shared" si="209"/>
        <v>-11</v>
      </c>
      <c r="BS71" s="299">
        <f t="shared" si="210"/>
        <v>64</v>
      </c>
      <c r="BT71" s="299">
        <f t="shared" si="211"/>
        <v>35</v>
      </c>
      <c r="BU71" s="299">
        <f t="shared" si="212"/>
        <v>3</v>
      </c>
      <c r="BV71" s="299">
        <f t="shared" si="213"/>
        <v>0</v>
      </c>
      <c r="BW71" s="299">
        <f t="shared" si="214"/>
        <v>0</v>
      </c>
      <c r="BX71" s="299">
        <f t="shared" si="215"/>
        <v>0</v>
      </c>
      <c r="BY71" s="49">
        <f t="shared" si="216"/>
        <v>-14</v>
      </c>
      <c r="BZ71" s="49">
        <f t="shared" si="217"/>
        <v>-5</v>
      </c>
      <c r="CA71" s="49">
        <f t="shared" si="218"/>
        <v>0</v>
      </c>
      <c r="CB71" s="49">
        <f t="shared" si="219"/>
        <v>0</v>
      </c>
      <c r="CC71" s="49">
        <f t="shared" si="220"/>
        <v>0</v>
      </c>
      <c r="CD71" s="49">
        <f t="shared" si="221"/>
        <v>0</v>
      </c>
      <c r="CE71" s="49">
        <f t="shared" si="222"/>
        <v>0</v>
      </c>
      <c r="CF71" s="49">
        <f t="shared" si="223"/>
        <v>0</v>
      </c>
    </row>
    <row r="72" spans="1:87" s="296" customFormat="1">
      <c r="A72" s="42" t="s">
        <v>113</v>
      </c>
      <c r="B72" s="638">
        <f>Drivers!B179</f>
        <v>-15</v>
      </c>
      <c r="C72" s="638">
        <f>Drivers!C179</f>
        <v>-15</v>
      </c>
      <c r="D72" s="638">
        <f>Drivers!D179</f>
        <v>-15</v>
      </c>
      <c r="E72" s="638">
        <f>Drivers!E179</f>
        <v>-14</v>
      </c>
      <c r="F72" s="638">
        <f>Drivers!F179</f>
        <v>-13</v>
      </c>
      <c r="G72" s="638">
        <f>Drivers!G179</f>
        <v>-13</v>
      </c>
      <c r="H72" s="638">
        <f>Drivers!H179</f>
        <v>-13</v>
      </c>
      <c r="I72" s="638">
        <f>Drivers!I179</f>
        <v>-11</v>
      </c>
      <c r="J72" s="638">
        <f>Drivers!J179</f>
        <v>-6</v>
      </c>
      <c r="K72" s="638">
        <f>Drivers!K179</f>
        <v>-7</v>
      </c>
      <c r="L72" s="638">
        <f>Drivers!L179</f>
        <v>-7</v>
      </c>
      <c r="M72" s="638">
        <f>Drivers!M179</f>
        <v>-7</v>
      </c>
      <c r="N72" s="638">
        <f>Drivers!N179</f>
        <v>-9</v>
      </c>
      <c r="O72" s="638">
        <f>Drivers!O179</f>
        <v>-4</v>
      </c>
      <c r="P72" s="638">
        <f>Drivers!P179</f>
        <v>-4</v>
      </c>
      <c r="Q72" s="638">
        <f>Drivers!Q179</f>
        <v>-4</v>
      </c>
      <c r="R72" s="638">
        <f>Drivers!R179</f>
        <v>-4</v>
      </c>
      <c r="S72" s="638">
        <f>Drivers!S179</f>
        <v>-3</v>
      </c>
      <c r="T72" s="638">
        <f>Drivers!T179</f>
        <v>-4</v>
      </c>
      <c r="U72" s="638">
        <f>Drivers!U179</f>
        <v>-4</v>
      </c>
      <c r="V72" s="638">
        <f>Drivers!V179</f>
        <v>-3</v>
      </c>
      <c r="W72" s="638">
        <f>Drivers!W179</f>
        <v>-1</v>
      </c>
      <c r="X72" s="638">
        <f>Drivers!X179</f>
        <v>-3</v>
      </c>
      <c r="Y72" s="638">
        <f>Drivers!Y179</f>
        <v>-2</v>
      </c>
      <c r="Z72" s="638">
        <f>Drivers!Z179</f>
        <v>-1</v>
      </c>
      <c r="AA72" s="638">
        <f>Drivers!AA179</f>
        <v>-2</v>
      </c>
      <c r="AB72" s="638">
        <f>Drivers!AB179</f>
        <v>-1</v>
      </c>
      <c r="AC72" s="638">
        <f>Drivers!AC179</f>
        <v>-2</v>
      </c>
      <c r="AD72" s="638">
        <f>Drivers!AD179</f>
        <v>-1</v>
      </c>
      <c r="AE72" s="638">
        <f>Drivers!AE179</f>
        <v>-1</v>
      </c>
      <c r="AF72" s="638">
        <f>Drivers!AF179</f>
        <v>-2</v>
      </c>
      <c r="AG72" s="638">
        <f>Drivers!AG179</f>
        <v>-1</v>
      </c>
      <c r="AH72" s="638">
        <f>Drivers!AH179</f>
        <v>-5</v>
      </c>
      <c r="AI72" s="638">
        <f>Drivers!AI179</f>
        <v>-6</v>
      </c>
      <c r="AJ72" s="638">
        <f>Drivers!AJ179</f>
        <v>-6</v>
      </c>
      <c r="AK72" s="638">
        <f>Drivers!AK179</f>
        <v>-6</v>
      </c>
      <c r="AL72" s="638">
        <f>Drivers!AL179</f>
        <v>-5</v>
      </c>
      <c r="AM72" s="638">
        <f>Drivers!AM179</f>
        <v>-5</v>
      </c>
      <c r="AN72" s="638">
        <f>Drivers!AN179</f>
        <v>-6</v>
      </c>
      <c r="AO72" s="638">
        <f>Drivers!AO179</f>
        <v>-5</v>
      </c>
      <c r="AP72" s="638">
        <f>Drivers!AP179</f>
        <v>-6</v>
      </c>
      <c r="AQ72" s="638">
        <f>Drivers!AQ179</f>
        <v>-5</v>
      </c>
      <c r="AR72" s="638">
        <f>Drivers!AR179</f>
        <v>-6</v>
      </c>
      <c r="AS72" s="638">
        <f>Drivers!AS179</f>
        <v>-5</v>
      </c>
      <c r="AT72" s="638">
        <f>Drivers!AT179</f>
        <v>-14</v>
      </c>
      <c r="AU72" s="638">
        <f>Drivers!AU179</f>
        <v>-40</v>
      </c>
      <c r="AV72" s="638">
        <f>Drivers!AV179</f>
        <v>-30</v>
      </c>
      <c r="AW72" s="638">
        <f>Drivers!AW179</f>
        <v>-35.64356435643564</v>
      </c>
      <c r="AX72" s="638">
        <f>Drivers!AX179</f>
        <v>-34.467209097147332</v>
      </c>
      <c r="AY72" s="638">
        <f>Drivers!AY179</f>
        <v>-33.329677443776134</v>
      </c>
      <c r="AZ72" s="638">
        <f>Drivers!AZ179</f>
        <v>-32.22968808919606</v>
      </c>
      <c r="BA72" s="638">
        <f>Drivers!BA179</f>
        <v>-31.166002013645034</v>
      </c>
      <c r="BB72" s="638">
        <f>Drivers!BB179</f>
        <v>-30.137421089102293</v>
      </c>
      <c r="BC72" s="638">
        <f>Drivers!BC179</f>
        <v>-29.14278672972598</v>
      </c>
      <c r="BD72" s="638">
        <f>Drivers!BD179</f>
        <v>-28.180978586830733</v>
      </c>
      <c r="BE72" s="638">
        <f>Drivers!BE179</f>
        <v>-27.250913286935326</v>
      </c>
      <c r="BF72" s="638">
        <f>Drivers!BF179</f>
        <v>-26.351543211458914</v>
      </c>
      <c r="BG72" s="638">
        <f>Drivers!BG179</f>
        <v>-25.481855316691295</v>
      </c>
      <c r="BH72" s="638">
        <f>Drivers!BH179</f>
        <v>-24.640869992708083</v>
      </c>
      <c r="BI72" s="638">
        <f>Drivers!BI179</f>
        <v>-23.82763995994544</v>
      </c>
      <c r="BJ72" s="638">
        <f>Drivers!BJ179</f>
        <v>-23.041249202191466</v>
      </c>
      <c r="BK72" s="638">
        <f>Drivers!BK179</f>
        <v>-22.280811934792407</v>
      </c>
      <c r="BL72" s="638">
        <f>Drivers!BL179</f>
        <v>-21.54547160691147</v>
      </c>
      <c r="BM72" s="638">
        <f>Drivers!BM179</f>
        <v>-20.83439993671637</v>
      </c>
      <c r="BN72" s="638">
        <f>Drivers!BN179</f>
        <v>-20.1467959784089</v>
      </c>
      <c r="BO72" s="299"/>
      <c r="BP72" s="639">
        <v>-53</v>
      </c>
      <c r="BQ72" s="299">
        <f t="shared" si="208"/>
        <v>-57</v>
      </c>
      <c r="BR72" s="299">
        <f t="shared" si="209"/>
        <v>-43</v>
      </c>
      <c r="BS72" s="299">
        <f t="shared" si="210"/>
        <v>-30</v>
      </c>
      <c r="BT72" s="299">
        <f t="shared" si="211"/>
        <v>-16</v>
      </c>
      <c r="BU72" s="299">
        <f t="shared" si="212"/>
        <v>-14</v>
      </c>
      <c r="BV72" s="299">
        <f t="shared" si="213"/>
        <v>-7</v>
      </c>
      <c r="BW72" s="299">
        <f t="shared" si="214"/>
        <v>-6</v>
      </c>
      <c r="BX72" s="299">
        <f t="shared" si="215"/>
        <v>-9</v>
      </c>
      <c r="BY72" s="49">
        <f t="shared" si="216"/>
        <v>-23</v>
      </c>
      <c r="BZ72" s="49">
        <f t="shared" si="217"/>
        <v>-22</v>
      </c>
      <c r="CA72" s="49">
        <f t="shared" si="218"/>
        <v>-30</v>
      </c>
      <c r="CB72" s="49">
        <f t="shared" si="219"/>
        <v>-140.11077345358296</v>
      </c>
      <c r="CC72" s="49">
        <f t="shared" si="220"/>
        <v>-126.86278863571953</v>
      </c>
      <c r="CD72" s="49">
        <f t="shared" si="221"/>
        <v>-110.92622181495096</v>
      </c>
      <c r="CE72" s="49">
        <f t="shared" si="222"/>
        <v>-96.99161447153628</v>
      </c>
      <c r="CF72" s="49">
        <f t="shared" si="223"/>
        <v>-84.807479456829142</v>
      </c>
    </row>
    <row r="73" spans="1:87" s="296" customFormat="1">
      <c r="A73" s="42" t="s">
        <v>114</v>
      </c>
      <c r="B73" s="638">
        <f>Drivers!B180</f>
        <v>-20</v>
      </c>
      <c r="C73" s="638">
        <f>Drivers!C180</f>
        <v>-2</v>
      </c>
      <c r="D73" s="638">
        <f>Drivers!D180</f>
        <v>-6</v>
      </c>
      <c r="E73" s="638">
        <f>Drivers!E180</f>
        <v>-154</v>
      </c>
      <c r="F73" s="638">
        <f>Drivers!F180</f>
        <v>1</v>
      </c>
      <c r="G73" s="638">
        <f>Drivers!G180</f>
        <v>-18</v>
      </c>
      <c r="H73" s="638">
        <f>Drivers!H180</f>
        <v>1</v>
      </c>
      <c r="I73" s="638">
        <f>Drivers!I180</f>
        <v>0</v>
      </c>
      <c r="J73" s="638">
        <f>Drivers!J180</f>
        <v>1</v>
      </c>
      <c r="K73" s="638">
        <f>Drivers!K180</f>
        <v>-27</v>
      </c>
      <c r="L73" s="638">
        <f>Drivers!L180</f>
        <v>2</v>
      </c>
      <c r="M73" s="638">
        <f>Drivers!M180</f>
        <v>-2</v>
      </c>
      <c r="N73" s="638">
        <f>Drivers!N180</f>
        <v>0</v>
      </c>
      <c r="O73" s="638">
        <f>Drivers!O180</f>
        <v>-1</v>
      </c>
      <c r="P73" s="638">
        <f>Drivers!P180</f>
        <v>2</v>
      </c>
      <c r="Q73" s="638">
        <f>Drivers!Q180</f>
        <v>1</v>
      </c>
      <c r="R73" s="638">
        <f>Drivers!R180</f>
        <v>-1</v>
      </c>
      <c r="S73" s="638">
        <f>Drivers!S180</f>
        <v>0</v>
      </c>
      <c r="T73" s="638">
        <f>Drivers!T180</f>
        <v>0</v>
      </c>
      <c r="U73" s="638">
        <f>Drivers!U180</f>
        <v>0</v>
      </c>
      <c r="V73" s="638">
        <f>Drivers!V180</f>
        <v>0</v>
      </c>
      <c r="W73" s="638">
        <f>Drivers!W180</f>
        <v>0</v>
      </c>
      <c r="X73" s="638">
        <f>Drivers!X180</f>
        <v>0</v>
      </c>
      <c r="Y73" s="638">
        <f>Drivers!Y180</f>
        <v>0</v>
      </c>
      <c r="Z73" s="638">
        <f>Drivers!Z180</f>
        <v>0</v>
      </c>
      <c r="AA73" s="638">
        <f>Drivers!AA180</f>
        <v>0</v>
      </c>
      <c r="AB73" s="638">
        <f>Drivers!AB180</f>
        <v>0</v>
      </c>
      <c r="AC73" s="638">
        <f>Drivers!AC180</f>
        <v>0</v>
      </c>
      <c r="AD73" s="638">
        <f>Drivers!AD180</f>
        <v>0</v>
      </c>
      <c r="AE73" s="638">
        <f>Drivers!AE180</f>
        <v>0</v>
      </c>
      <c r="AF73" s="638">
        <f>Drivers!AF180</f>
        <v>0</v>
      </c>
      <c r="AG73" s="638">
        <f>Drivers!AG180</f>
        <v>0</v>
      </c>
      <c r="AH73" s="638">
        <f>Drivers!AH180</f>
        <v>0</v>
      </c>
      <c r="AI73" s="638">
        <f>Drivers!AI180</f>
        <v>0</v>
      </c>
      <c r="AJ73" s="638">
        <f>Drivers!AJ180</f>
        <v>0</v>
      </c>
      <c r="AK73" s="638">
        <f>Drivers!AK180</f>
        <v>0</v>
      </c>
      <c r="AL73" s="638">
        <f>Drivers!AL180</f>
        <v>0</v>
      </c>
      <c r="AM73" s="638">
        <f>Drivers!AM180</f>
        <v>0</v>
      </c>
      <c r="AN73" s="638">
        <f>Drivers!AN180</f>
        <v>0</v>
      </c>
      <c r="AO73" s="638">
        <f>Drivers!AO180</f>
        <v>0</v>
      </c>
      <c r="AP73" s="638">
        <f>Drivers!AP180</f>
        <v>0</v>
      </c>
      <c r="AQ73" s="638">
        <f>Drivers!AQ180</f>
        <v>0</v>
      </c>
      <c r="AR73" s="638">
        <f>Drivers!AR180</f>
        <v>0</v>
      </c>
      <c r="AS73" s="638">
        <f>Drivers!AS180</f>
        <v>0</v>
      </c>
      <c r="AT73" s="638">
        <f>Drivers!AT180</f>
        <v>0</v>
      </c>
      <c r="AU73" s="638">
        <f>Drivers!AU180</f>
        <v>0</v>
      </c>
      <c r="AV73" s="638">
        <f>Drivers!AV180</f>
        <v>0</v>
      </c>
      <c r="AW73" s="638">
        <f>Drivers!AW180</f>
        <v>0</v>
      </c>
      <c r="AX73" s="638">
        <f>Drivers!AX180</f>
        <v>0</v>
      </c>
      <c r="AY73" s="638">
        <f>Drivers!AY180</f>
        <v>0</v>
      </c>
      <c r="AZ73" s="638">
        <f>Drivers!AZ180</f>
        <v>0</v>
      </c>
      <c r="BA73" s="638">
        <f>Drivers!BA180</f>
        <v>0</v>
      </c>
      <c r="BB73" s="638">
        <f>Drivers!BB180</f>
        <v>0</v>
      </c>
      <c r="BC73" s="638">
        <f>Drivers!BC180</f>
        <v>0</v>
      </c>
      <c r="BD73" s="638">
        <f>Drivers!BD180</f>
        <v>0</v>
      </c>
      <c r="BE73" s="638">
        <f>Drivers!BE180</f>
        <v>0</v>
      </c>
      <c r="BF73" s="638">
        <f>Drivers!BF180</f>
        <v>0</v>
      </c>
      <c r="BG73" s="638">
        <f>Drivers!BG180</f>
        <v>0</v>
      </c>
      <c r="BH73" s="638">
        <f>Drivers!BH180</f>
        <v>0</v>
      </c>
      <c r="BI73" s="638">
        <f>Drivers!BI180</f>
        <v>0</v>
      </c>
      <c r="BJ73" s="638">
        <f>Drivers!BJ180</f>
        <v>0</v>
      </c>
      <c r="BK73" s="638">
        <f>Drivers!BK180</f>
        <v>0</v>
      </c>
      <c r="BL73" s="638">
        <f>Drivers!BL180</f>
        <v>0</v>
      </c>
      <c r="BM73" s="638">
        <f>Drivers!BM180</f>
        <v>0</v>
      </c>
      <c r="BN73" s="638">
        <f>Drivers!BN180</f>
        <v>0</v>
      </c>
      <c r="BO73" s="299"/>
      <c r="BP73" s="639">
        <v>-140</v>
      </c>
      <c r="BQ73" s="299">
        <f t="shared" si="208"/>
        <v>-161</v>
      </c>
      <c r="BR73" s="299">
        <f t="shared" si="209"/>
        <v>-16</v>
      </c>
      <c r="BS73" s="299">
        <f t="shared" si="210"/>
        <v>-27</v>
      </c>
      <c r="BT73" s="299">
        <f t="shared" si="211"/>
        <v>1</v>
      </c>
      <c r="BU73" s="299">
        <f t="shared" si="212"/>
        <v>0</v>
      </c>
      <c r="BV73" s="299">
        <f t="shared" si="213"/>
        <v>0</v>
      </c>
      <c r="BW73" s="299">
        <f t="shared" si="214"/>
        <v>0</v>
      </c>
      <c r="BX73" s="299">
        <f t="shared" si="215"/>
        <v>0</v>
      </c>
      <c r="BY73" s="49">
        <f t="shared" si="216"/>
        <v>0</v>
      </c>
      <c r="BZ73" s="49">
        <f t="shared" si="217"/>
        <v>0</v>
      </c>
      <c r="CA73" s="49">
        <f t="shared" si="218"/>
        <v>0</v>
      </c>
      <c r="CB73" s="49">
        <f t="shared" si="219"/>
        <v>0</v>
      </c>
      <c r="CC73" s="49">
        <f t="shared" si="220"/>
        <v>0</v>
      </c>
      <c r="CD73" s="49">
        <f t="shared" si="221"/>
        <v>0</v>
      </c>
      <c r="CE73" s="49">
        <f t="shared" si="222"/>
        <v>0</v>
      </c>
      <c r="CF73" s="49">
        <f t="shared" si="223"/>
        <v>0</v>
      </c>
    </row>
    <row r="74" spans="1:87" s="611" customFormat="1" ht="12.75" customHeight="1">
      <c r="A74" s="194" t="s">
        <v>374</v>
      </c>
      <c r="B74" s="606">
        <f>Drivers!B193</f>
        <v>-598</v>
      </c>
      <c r="C74" s="606">
        <f>Drivers!C193</f>
        <v>-495</v>
      </c>
      <c r="D74" s="606">
        <f>Drivers!D193</f>
        <v>-520</v>
      </c>
      <c r="E74" s="606">
        <f>Drivers!E193</f>
        <v>-770</v>
      </c>
      <c r="F74" s="606">
        <f>Drivers!F193</f>
        <v>-617</v>
      </c>
      <c r="G74" s="606">
        <f>Drivers!G193</f>
        <v>-532</v>
      </c>
      <c r="H74" s="606">
        <f>Drivers!H193</f>
        <v>-657</v>
      </c>
      <c r="I74" s="606">
        <f>Drivers!I193</f>
        <v>-692</v>
      </c>
      <c r="J74" s="606">
        <f>Drivers!J193</f>
        <v>-629</v>
      </c>
      <c r="K74" s="606">
        <f>Drivers!K193</f>
        <v>-535</v>
      </c>
      <c r="L74" s="606">
        <f>Drivers!L193</f>
        <v>-630</v>
      </c>
      <c r="M74" s="606">
        <f>Drivers!M193</f>
        <v>-532</v>
      </c>
      <c r="N74" s="606">
        <f>Drivers!N193</f>
        <v>-591</v>
      </c>
      <c r="O74" s="606">
        <f>Drivers!O193</f>
        <v>-522</v>
      </c>
      <c r="P74" s="606">
        <f>Drivers!P193</f>
        <v>-534</v>
      </c>
      <c r="Q74" s="606">
        <f>Drivers!Q193</f>
        <v>-583</v>
      </c>
      <c r="R74" s="606">
        <f>Drivers!R193</f>
        <v>-556</v>
      </c>
      <c r="S74" s="606">
        <f>Drivers!S193</f>
        <v>-485</v>
      </c>
      <c r="T74" s="606">
        <f>Drivers!T193</f>
        <v>-539</v>
      </c>
      <c r="U74" s="606">
        <f>Drivers!U193</f>
        <v>-563</v>
      </c>
      <c r="V74" s="606">
        <f>Drivers!V193</f>
        <v>-551</v>
      </c>
      <c r="W74" s="606">
        <f>Drivers!W193</f>
        <v>-518</v>
      </c>
      <c r="X74" s="606">
        <f>Drivers!X193</f>
        <v>-525</v>
      </c>
      <c r="Y74" s="606">
        <f>Drivers!Y193</f>
        <v>-555</v>
      </c>
      <c r="Z74" s="606">
        <f>Drivers!Z193</f>
        <v>-546</v>
      </c>
      <c r="AA74" s="606">
        <f>Drivers!AA193</f>
        <v>-532</v>
      </c>
      <c r="AB74" s="606">
        <f>Drivers!AB193</f>
        <v>-546</v>
      </c>
      <c r="AC74" s="606">
        <f>Drivers!AC193</f>
        <v>-637</v>
      </c>
      <c r="AD74" s="606">
        <f>Drivers!AD193</f>
        <v>-608</v>
      </c>
      <c r="AE74" s="606">
        <f>Drivers!AE193</f>
        <v>-552</v>
      </c>
      <c r="AF74" s="606">
        <f>Drivers!AF193</f>
        <v>-611</v>
      </c>
      <c r="AG74" s="606">
        <f>Drivers!AG193</f>
        <v>-680</v>
      </c>
      <c r="AH74" s="606">
        <f>Drivers!AH193</f>
        <v>-596</v>
      </c>
      <c r="AI74" s="606">
        <f>Drivers!AI193</f>
        <v>-622</v>
      </c>
      <c r="AJ74" s="606">
        <f>Drivers!AJ193</f>
        <v>-610</v>
      </c>
      <c r="AK74" s="606">
        <f>Drivers!AK193</f>
        <v>-634</v>
      </c>
      <c r="AL74" s="606">
        <f>Drivers!AL193</f>
        <v>-766</v>
      </c>
      <c r="AM74" s="606">
        <f>Drivers!AM193</f>
        <v>-607</v>
      </c>
      <c r="AN74" s="606">
        <f>Drivers!AN193</f>
        <v>-675</v>
      </c>
      <c r="AO74" s="606">
        <f>Drivers!AO193</f>
        <v>-724</v>
      </c>
      <c r="AP74" s="606">
        <f>Drivers!AP193</f>
        <v>-717</v>
      </c>
      <c r="AQ74" s="606">
        <f>Drivers!AQ193</f>
        <v>-700</v>
      </c>
      <c r="AR74" s="606">
        <f>Drivers!AR193</f>
        <v>-716</v>
      </c>
      <c r="AS74" s="606">
        <f>Drivers!AS193</f>
        <v>-821</v>
      </c>
      <c r="AT74" s="606">
        <f>Drivers!AT193</f>
        <v>-852</v>
      </c>
      <c r="AU74" s="606">
        <f>Drivers!AU193</f>
        <v>-914</v>
      </c>
      <c r="AV74" s="606">
        <f>Drivers!AV193</f>
        <v>-992</v>
      </c>
      <c r="AW74" s="606">
        <f>Drivers!AW193</f>
        <v>-1093.2691296689356</v>
      </c>
      <c r="AX74" s="606">
        <f>Drivers!AX193</f>
        <v>-1105.3686500553529</v>
      </c>
      <c r="AY74" s="606">
        <f>Drivers!AY193</f>
        <v>-971.73836219703321</v>
      </c>
      <c r="AZ74" s="606">
        <f>Drivers!AZ193</f>
        <v>-1062.3011684092533</v>
      </c>
      <c r="BA74" s="606">
        <f>Drivers!BA193</f>
        <v>-1233.3564269793742</v>
      </c>
      <c r="BB74" s="606">
        <f>Drivers!BB193</f>
        <v>-1073.5674476535385</v>
      </c>
      <c r="BC74" s="606">
        <f>Drivers!BC193</f>
        <v>-943.64419049726428</v>
      </c>
      <c r="BD74" s="606">
        <f>Drivers!BD193</f>
        <v>-1086.0398007903152</v>
      </c>
      <c r="BE74" s="606">
        <f>Drivers!BE193</f>
        <v>-1228.7530442823188</v>
      </c>
      <c r="BF74" s="606">
        <f>Drivers!BF193</f>
        <v>-1089.3917397201069</v>
      </c>
      <c r="BG74" s="606">
        <f>Drivers!BG193</f>
        <v>-961.44097677719901</v>
      </c>
      <c r="BH74" s="606">
        <f>Drivers!BH193</f>
        <v>-1298.7117802685693</v>
      </c>
      <c r="BI74" s="606">
        <f>Drivers!BI193</f>
        <v>-1312.633880374781</v>
      </c>
      <c r="BJ74" s="606">
        <f>Drivers!BJ193</f>
        <v>-1141.805003799213</v>
      </c>
      <c r="BK74" s="606">
        <f>Drivers!BK193</f>
        <v>-996.64017554878683</v>
      </c>
      <c r="BL74" s="606">
        <f>Drivers!BL193</f>
        <v>-1164.3660426506372</v>
      </c>
      <c r="BM74" s="606">
        <f>Drivers!BM193</f>
        <v>-1339.4550558390781</v>
      </c>
      <c r="BN74" s="606">
        <f>Drivers!BN193</f>
        <v>-1174.6863520498234</v>
      </c>
      <c r="BO74" s="606"/>
      <c r="BP74" s="606">
        <f>SUM(BP68:BP73)</f>
        <v>-2474</v>
      </c>
      <c r="BQ74" s="606">
        <f t="shared" ref="BQ74:BX74" si="224">SUM(BQ68:BQ73)</f>
        <v>-2402</v>
      </c>
      <c r="BR74" s="606">
        <f t="shared" si="224"/>
        <v>-2510</v>
      </c>
      <c r="BS74" s="606">
        <f t="shared" si="224"/>
        <v>-2288</v>
      </c>
      <c r="BT74" s="606">
        <f t="shared" si="224"/>
        <v>-2195</v>
      </c>
      <c r="BU74" s="606">
        <f t="shared" si="224"/>
        <v>-2138</v>
      </c>
      <c r="BV74" s="606">
        <f t="shared" si="224"/>
        <v>-2144</v>
      </c>
      <c r="BW74" s="606">
        <f t="shared" si="224"/>
        <v>-2323</v>
      </c>
      <c r="BX74" s="606">
        <f t="shared" si="224"/>
        <v>-2439</v>
      </c>
      <c r="BY74" s="606">
        <f>SUM(BY68:BY73)</f>
        <v>-2632</v>
      </c>
      <c r="BZ74" s="606">
        <f>Drivers!BZ193</f>
        <v>-2723</v>
      </c>
      <c r="CA74" s="606">
        <f>Drivers!CA193</f>
        <v>-3089</v>
      </c>
      <c r="CB74" s="606">
        <f>Drivers!CB193</f>
        <v>-4104.6377797242885</v>
      </c>
      <c r="CC74" s="606">
        <f>Drivers!CC193</f>
        <v>-4340.9634052392003</v>
      </c>
      <c r="CD74" s="606">
        <f>Drivers!CD193</f>
        <v>-4347.8287752900051</v>
      </c>
      <c r="CE74" s="606">
        <f>Drivers!CE193</f>
        <v>-4714.5916412197621</v>
      </c>
      <c r="CF74" s="606">
        <f>Drivers!CF193</f>
        <v>-4675.1476260883255</v>
      </c>
    </row>
    <row r="75" spans="1:87" s="296" customFormat="1">
      <c r="A75" s="42"/>
      <c r="CB75" s="640">
        <v>-4053.6579088788485</v>
      </c>
      <c r="CC75" s="640">
        <v>-4181.87894980691</v>
      </c>
      <c r="CD75" s="640">
        <v>-4359.5697454164847</v>
      </c>
      <c r="CE75" s="640">
        <v>-4551.750979556432</v>
      </c>
      <c r="CF75" s="640">
        <v>-4648.3226679049803</v>
      </c>
    </row>
    <row r="76" spans="1:87" s="132" customFormat="1">
      <c r="A76" s="11" t="s">
        <v>376</v>
      </c>
      <c r="B76" s="611">
        <f>CF!B65</f>
        <v>133</v>
      </c>
      <c r="C76" s="611">
        <f>CF!C65</f>
        <v>146</v>
      </c>
      <c r="D76" s="611">
        <f>CF!D65</f>
        <v>-206</v>
      </c>
      <c r="E76" s="611">
        <f>CF!E65</f>
        <v>-259</v>
      </c>
      <c r="F76" s="611">
        <f>CF!F65</f>
        <v>187</v>
      </c>
      <c r="G76" s="611">
        <f>CF!G65</f>
        <v>270</v>
      </c>
      <c r="H76" s="611">
        <f>CF!H65</f>
        <v>-323</v>
      </c>
      <c r="I76" s="611">
        <f>CF!I65</f>
        <v>-129</v>
      </c>
      <c r="J76" s="611">
        <f>CF!J65</f>
        <v>433</v>
      </c>
      <c r="K76" s="611">
        <f>CF!K65</f>
        <v>271</v>
      </c>
      <c r="L76" s="611">
        <f>CF!L65</f>
        <v>-308</v>
      </c>
      <c r="M76" s="611">
        <f>CF!M65</f>
        <v>27</v>
      </c>
      <c r="N76" s="611">
        <f>CF!N65</f>
        <v>395</v>
      </c>
      <c r="O76" s="611">
        <f>CF!O65</f>
        <v>289</v>
      </c>
      <c r="P76" s="611">
        <f>CF!P65</f>
        <v>-196</v>
      </c>
      <c r="Q76" s="611">
        <f>CF!Q65</f>
        <v>-234</v>
      </c>
      <c r="R76" s="611">
        <f>CF!R65</f>
        <v>401</v>
      </c>
      <c r="S76" s="611">
        <f>CF!S65</f>
        <v>418</v>
      </c>
      <c r="T76" s="611">
        <f>CF!T65</f>
        <v>80</v>
      </c>
      <c r="U76" s="611">
        <f>CF!U65</f>
        <v>215</v>
      </c>
      <c r="V76" s="611">
        <f>CF!V65</f>
        <v>455</v>
      </c>
      <c r="W76" s="611">
        <f>CF!W65</f>
        <v>561</v>
      </c>
      <c r="X76" s="611">
        <f>CF!X65</f>
        <v>-69</v>
      </c>
      <c r="Y76" s="611">
        <f>CF!Y65</f>
        <v>19</v>
      </c>
      <c r="Z76" s="611">
        <f>CF!Z65</f>
        <v>584</v>
      </c>
      <c r="AA76" s="611">
        <f>CF!AA65</f>
        <v>606</v>
      </c>
      <c r="AB76" s="611">
        <f>CF!AB65</f>
        <v>-4</v>
      </c>
      <c r="AC76" s="611">
        <f>CF!AC65</f>
        <v>45</v>
      </c>
      <c r="AD76" s="611">
        <f>CF!AD65</f>
        <v>749</v>
      </c>
      <c r="AE76" s="611">
        <f>CF!AE65</f>
        <v>774</v>
      </c>
      <c r="AF76" s="611">
        <f>CF!AF65</f>
        <v>-9</v>
      </c>
      <c r="AG76" s="611">
        <f>CF!AG65</f>
        <v>13</v>
      </c>
      <c r="AH76" s="611">
        <f>CF!AH65</f>
        <v>792</v>
      </c>
      <c r="AI76" s="611">
        <f>CF!AI65</f>
        <v>338</v>
      </c>
      <c r="AJ76" s="611">
        <f>CF!AJ65</f>
        <v>294</v>
      </c>
      <c r="AK76" s="611">
        <f>CF!AK65</f>
        <v>276</v>
      </c>
      <c r="AL76" s="611">
        <f>CF!AL65</f>
        <v>233</v>
      </c>
      <c r="AM76" s="611">
        <f>CF!AM65</f>
        <v>452</v>
      </c>
      <c r="AN76" s="611">
        <f>CF!AN65</f>
        <v>303</v>
      </c>
      <c r="AO76" s="611">
        <f>CF!AO65</f>
        <v>400</v>
      </c>
      <c r="AP76" s="611">
        <f>CF!AP65</f>
        <v>440</v>
      </c>
      <c r="AQ76" s="611">
        <f>CF!AQ65</f>
        <v>508</v>
      </c>
      <c r="AR76" s="611">
        <f>CF!AR65</f>
        <v>189</v>
      </c>
      <c r="AS76" s="611">
        <f>CF!AS65</f>
        <v>297</v>
      </c>
      <c r="AT76" s="611">
        <f>CF!AT65</f>
        <v>233</v>
      </c>
      <c r="AU76" s="611">
        <f>CF!AU65</f>
        <v>427</v>
      </c>
      <c r="AV76" s="611">
        <f>CF!AV65</f>
        <v>434</v>
      </c>
      <c r="AW76" s="611">
        <f>CF!AW65</f>
        <v>121.79719471813692</v>
      </c>
      <c r="AX76" s="611">
        <f>CF!AX65</f>
        <v>391.3559048066715</v>
      </c>
      <c r="AY76" s="611">
        <f>CF!AY65</f>
        <v>842.60293787605656</v>
      </c>
      <c r="AZ76" s="611">
        <f>CF!AZ65</f>
        <v>634.58095138427529</v>
      </c>
      <c r="BA76" s="611">
        <f>CF!BA65</f>
        <v>150.01289100777288</v>
      </c>
      <c r="BB76" s="611">
        <f>CF!BB65</f>
        <v>543.03579334188032</v>
      </c>
      <c r="BC76" s="611">
        <f>CF!BC65</f>
        <v>925.24310156234196</v>
      </c>
      <c r="BD76" s="611">
        <f>CF!BD65</f>
        <v>677.81058252246362</v>
      </c>
      <c r="BE76" s="611">
        <f>CF!BE65</f>
        <v>255.40033297697303</v>
      </c>
      <c r="BF76" s="611">
        <f>CF!BF65</f>
        <v>589.54604207459033</v>
      </c>
      <c r="BG76" s="611">
        <f>CF!BG65</f>
        <v>967.70048000792156</v>
      </c>
      <c r="BH76" s="611">
        <f>CF!BH65</f>
        <v>659.34206318250949</v>
      </c>
      <c r="BI76" s="611">
        <f>CF!BI65</f>
        <v>348.09271804031016</v>
      </c>
      <c r="BJ76" s="611">
        <f>CF!BJ65</f>
        <v>688.82658702412505</v>
      </c>
      <c r="BK76" s="611">
        <f>CF!BK65</f>
        <v>1063.988369251467</v>
      </c>
      <c r="BL76" s="611">
        <f>CF!BL65</f>
        <v>775.38477063945493</v>
      </c>
      <c r="BM76" s="611">
        <f>CF!BM65</f>
        <v>350.2530589790274</v>
      </c>
      <c r="BN76" s="611">
        <f>CF!BN65</f>
        <v>704.69366340761565</v>
      </c>
      <c r="BO76" s="611"/>
      <c r="BP76" s="611">
        <f>CF!BP65</f>
        <v>-494</v>
      </c>
      <c r="BQ76" s="611">
        <f>CF!BQ65</f>
        <v>-132</v>
      </c>
      <c r="BR76" s="611">
        <f>CF!BR65</f>
        <v>251</v>
      </c>
      <c r="BS76" s="611">
        <f>CF!BS65</f>
        <v>385</v>
      </c>
      <c r="BT76" s="611">
        <f>CF!BT65</f>
        <v>260</v>
      </c>
      <c r="BU76" s="611">
        <f>CF!BU65</f>
        <v>1168</v>
      </c>
      <c r="BV76" s="611">
        <f>CF!BV65</f>
        <v>1095</v>
      </c>
      <c r="BW76" s="611">
        <f>CF!BW65</f>
        <v>1396</v>
      </c>
      <c r="BX76" s="611">
        <f>CF!BX65</f>
        <v>1570</v>
      </c>
      <c r="BY76" s="611">
        <f>CF!BY65</f>
        <v>1141</v>
      </c>
      <c r="BZ76" s="611">
        <f>CF!BZ65</f>
        <v>1595</v>
      </c>
      <c r="CA76" s="611">
        <f>CF!CA65</f>
        <v>1227</v>
      </c>
      <c r="CB76" s="611">
        <f>CF!CB65</f>
        <v>1374.1530995248086</v>
      </c>
      <c r="CC76" s="611">
        <f>CF!CC65</f>
        <v>2170.2325736099838</v>
      </c>
      <c r="CD76" s="611">
        <f>CF!CD65</f>
        <v>2448.0000591363696</v>
      </c>
      <c r="CE76" s="611">
        <f>CF!CE65</f>
        <v>2663.9618482548667</v>
      </c>
      <c r="CF76" s="611">
        <f>CF!CF65</f>
        <v>2894.3198622775649</v>
      </c>
    </row>
    <row r="77" spans="1:87">
      <c r="AX77" s="641"/>
      <c r="AY77" s="610"/>
      <c r="AZ77" s="610"/>
      <c r="BA77" s="610"/>
      <c r="BB77" s="610"/>
      <c r="BC77" s="641"/>
      <c r="BD77" s="641"/>
      <c r="BE77" s="641"/>
      <c r="BF77" s="641"/>
      <c r="BG77" s="641"/>
      <c r="BH77" s="641"/>
      <c r="BI77" s="641"/>
      <c r="BJ77" s="641"/>
      <c r="BK77" s="641"/>
      <c r="BL77" s="641"/>
      <c r="BM77" s="641"/>
      <c r="BN77" s="641"/>
      <c r="BO77" s="641"/>
    </row>
    <row r="78" spans="1:87" s="611" customFormat="1">
      <c r="A78" s="25" t="s">
        <v>377</v>
      </c>
      <c r="B78" s="606">
        <f t="shared" ref="B78:AG78" si="225">B66+B74</f>
        <v>83</v>
      </c>
      <c r="C78" s="606">
        <f t="shared" si="225"/>
        <v>98</v>
      </c>
      <c r="D78" s="606">
        <f t="shared" si="225"/>
        <v>-252</v>
      </c>
      <c r="E78" s="606">
        <f t="shared" si="225"/>
        <v>-303</v>
      </c>
      <c r="F78" s="606">
        <f t="shared" si="225"/>
        <v>145</v>
      </c>
      <c r="G78" s="606">
        <f t="shared" si="225"/>
        <v>227</v>
      </c>
      <c r="H78" s="606">
        <f t="shared" si="225"/>
        <v>-374</v>
      </c>
      <c r="I78" s="606">
        <f t="shared" si="225"/>
        <v>-183</v>
      </c>
      <c r="J78" s="606">
        <f t="shared" si="225"/>
        <v>365</v>
      </c>
      <c r="K78" s="606">
        <f t="shared" si="225"/>
        <v>215</v>
      </c>
      <c r="L78" s="606">
        <f t="shared" si="225"/>
        <v>-364</v>
      </c>
      <c r="M78" s="606">
        <f t="shared" si="225"/>
        <v>-39</v>
      </c>
      <c r="N78" s="606">
        <f t="shared" si="225"/>
        <v>309</v>
      </c>
      <c r="O78" s="606">
        <f t="shared" si="225"/>
        <v>233</v>
      </c>
      <c r="P78" s="606">
        <f t="shared" si="225"/>
        <v>-252</v>
      </c>
      <c r="Q78" s="606">
        <f t="shared" si="225"/>
        <v>-292</v>
      </c>
      <c r="R78" s="606">
        <f t="shared" si="225"/>
        <v>344</v>
      </c>
      <c r="S78" s="606">
        <f t="shared" si="225"/>
        <v>362</v>
      </c>
      <c r="T78" s="606">
        <f t="shared" si="225"/>
        <v>24</v>
      </c>
      <c r="U78" s="606">
        <f t="shared" si="225"/>
        <v>162</v>
      </c>
      <c r="V78" s="606">
        <f t="shared" si="225"/>
        <v>400</v>
      </c>
      <c r="W78" s="606">
        <f t="shared" si="225"/>
        <v>512</v>
      </c>
      <c r="X78" s="606">
        <f t="shared" si="225"/>
        <v>-119</v>
      </c>
      <c r="Y78" s="606">
        <f t="shared" si="225"/>
        <v>-31</v>
      </c>
      <c r="Z78" s="606">
        <f t="shared" si="225"/>
        <v>536</v>
      </c>
      <c r="AA78" s="606">
        <f t="shared" si="225"/>
        <v>560</v>
      </c>
      <c r="AB78" s="606">
        <f t="shared" si="225"/>
        <v>-49</v>
      </c>
      <c r="AC78" s="606">
        <f t="shared" si="225"/>
        <v>-4</v>
      </c>
      <c r="AD78" s="606">
        <f t="shared" si="225"/>
        <v>717</v>
      </c>
      <c r="AE78" s="606">
        <f t="shared" si="225"/>
        <v>743</v>
      </c>
      <c r="AF78" s="606">
        <f t="shared" si="225"/>
        <v>-41</v>
      </c>
      <c r="AG78" s="606">
        <f t="shared" si="225"/>
        <v>-21</v>
      </c>
      <c r="AH78" s="606">
        <f t="shared" ref="AH78:BN78" si="226">AH66+AH74</f>
        <v>753</v>
      </c>
      <c r="AI78" s="606">
        <f>AI66+AI74</f>
        <v>300</v>
      </c>
      <c r="AJ78" s="606">
        <f t="shared" si="226"/>
        <v>258</v>
      </c>
      <c r="AK78" s="606">
        <f t="shared" si="226"/>
        <v>242</v>
      </c>
      <c r="AL78" s="606">
        <f t="shared" si="226"/>
        <v>196</v>
      </c>
      <c r="AM78" s="606">
        <f t="shared" si="226"/>
        <v>415</v>
      </c>
      <c r="AN78" s="606">
        <f t="shared" si="226"/>
        <v>268</v>
      </c>
      <c r="AO78" s="606">
        <f t="shared" si="226"/>
        <v>361</v>
      </c>
      <c r="AP78" s="606">
        <f t="shared" si="226"/>
        <v>401</v>
      </c>
      <c r="AQ78" s="606">
        <f t="shared" si="226"/>
        <v>471</v>
      </c>
      <c r="AR78" s="606">
        <f t="shared" si="226"/>
        <v>149</v>
      </c>
      <c r="AS78" s="606">
        <f t="shared" si="226"/>
        <v>251</v>
      </c>
      <c r="AT78" s="606">
        <f t="shared" si="226"/>
        <v>175</v>
      </c>
      <c r="AU78" s="606">
        <f t="shared" si="226"/>
        <v>322</v>
      </c>
      <c r="AV78" s="606">
        <f t="shared" si="226"/>
        <v>340</v>
      </c>
      <c r="AW78" s="606">
        <f>AW66+AW74</f>
        <v>21.400689185230704</v>
      </c>
      <c r="AX78" s="606">
        <f t="shared" si="226"/>
        <v>293.60734726343935</v>
      </c>
      <c r="AY78" s="606">
        <f t="shared" si="226"/>
        <v>743.04945814617508</v>
      </c>
      <c r="AZ78" s="606">
        <f t="shared" si="226"/>
        <v>538.58534000312534</v>
      </c>
      <c r="BA78" s="606">
        <f t="shared" si="226"/>
        <v>57.053811504131318</v>
      </c>
      <c r="BB78" s="606">
        <f t="shared" si="226"/>
        <v>453.29052078157679</v>
      </c>
      <c r="BC78" s="606">
        <f t="shared" si="226"/>
        <v>838.62013116341052</v>
      </c>
      <c r="BD78" s="606">
        <f t="shared" si="226"/>
        <v>593.37709638362116</v>
      </c>
      <c r="BE78" s="606">
        <f t="shared" si="226"/>
        <v>172.73839979410354</v>
      </c>
      <c r="BF78" s="606">
        <f t="shared" si="226"/>
        <v>508.91494587064449</v>
      </c>
      <c r="BG78" s="606">
        <f t="shared" si="226"/>
        <v>889.15038766159614</v>
      </c>
      <c r="BH78" s="606">
        <f t="shared" si="226"/>
        <v>582.06732970097482</v>
      </c>
      <c r="BI78" s="606">
        <f t="shared" si="226"/>
        <v>271.12693182455519</v>
      </c>
      <c r="BJ78" s="606">
        <f t="shared" si="226"/>
        <v>612.83753514318664</v>
      </c>
      <c r="BK78" s="606">
        <f t="shared" si="226"/>
        <v>989.28814482943335</v>
      </c>
      <c r="BL78" s="606">
        <f t="shared" si="226"/>
        <v>701.32591255886769</v>
      </c>
      <c r="BM78" s="606">
        <f t="shared" si="226"/>
        <v>276.59062517737925</v>
      </c>
      <c r="BN78" s="606">
        <f t="shared" si="226"/>
        <v>631.72198213431579</v>
      </c>
      <c r="BO78" s="607"/>
      <c r="BP78" s="607">
        <f t="shared" ref="BP78:CF78" si="227">BP66+BP74</f>
        <v>-686</v>
      </c>
      <c r="BQ78" s="607">
        <f t="shared" si="227"/>
        <v>-312</v>
      </c>
      <c r="BR78" s="607">
        <f t="shared" si="227"/>
        <v>35</v>
      </c>
      <c r="BS78" s="607">
        <f t="shared" si="227"/>
        <v>121</v>
      </c>
      <c r="BT78" s="607">
        <f t="shared" si="227"/>
        <v>33</v>
      </c>
      <c r="BU78" s="607">
        <f t="shared" si="227"/>
        <v>948</v>
      </c>
      <c r="BV78" s="607">
        <f t="shared" si="227"/>
        <v>898</v>
      </c>
      <c r="BW78" s="607">
        <f t="shared" si="227"/>
        <v>1224</v>
      </c>
      <c r="BX78" s="607">
        <f t="shared" si="227"/>
        <v>1434</v>
      </c>
      <c r="BY78" s="196">
        <f t="shared" si="227"/>
        <v>996</v>
      </c>
      <c r="BZ78" s="196">
        <f t="shared" si="227"/>
        <v>1445</v>
      </c>
      <c r="CA78" s="196">
        <f t="shared" si="227"/>
        <v>1046</v>
      </c>
      <c r="CB78" s="196">
        <f t="shared" si="227"/>
        <v>977.00803644867028</v>
      </c>
      <c r="CC78" s="196">
        <f t="shared" si="227"/>
        <v>1791.9791304350074</v>
      </c>
      <c r="CD78" s="196">
        <f t="shared" si="227"/>
        <v>2113.6505732117803</v>
      </c>
      <c r="CE78" s="196">
        <f t="shared" si="227"/>
        <v>2355.1821843303132</v>
      </c>
      <c r="CF78" s="196">
        <f t="shared" si="227"/>
        <v>2598.9266646999959</v>
      </c>
    </row>
    <row r="79" spans="1:87">
      <c r="A79" s="642" t="str">
        <f>A22</f>
        <v>Interest and other expense, net</v>
      </c>
      <c r="B79" s="622">
        <f>Drivers!B198</f>
        <v>-2</v>
      </c>
      <c r="C79" s="622">
        <f>Drivers!C198</f>
        <v>0</v>
      </c>
      <c r="D79" s="622">
        <f>Drivers!D198</f>
        <v>6</v>
      </c>
      <c r="E79" s="622">
        <f>Drivers!E198</f>
        <v>0</v>
      </c>
      <c r="F79" s="622">
        <f>Drivers!F198</f>
        <v>4</v>
      </c>
      <c r="G79" s="622">
        <f>Drivers!G198</f>
        <v>3</v>
      </c>
      <c r="H79" s="622">
        <f>Drivers!H198</f>
        <v>-6</v>
      </c>
      <c r="I79" s="622">
        <f>Drivers!I198</f>
        <v>-10</v>
      </c>
      <c r="J79" s="622">
        <f>Drivers!J198</f>
        <v>-4</v>
      </c>
      <c r="K79" s="622">
        <f>Drivers!K198</f>
        <v>-5</v>
      </c>
      <c r="L79" s="622">
        <f>Drivers!L198</f>
        <v>-4</v>
      </c>
      <c r="M79" s="622">
        <f>Drivers!M198</f>
        <v>-8</v>
      </c>
      <c r="N79" s="622">
        <f>Drivers!N198</f>
        <v>-4</v>
      </c>
      <c r="O79" s="622">
        <f>Drivers!O198</f>
        <v>-5</v>
      </c>
      <c r="P79" s="622">
        <f>Drivers!P198</f>
        <v>-8</v>
      </c>
      <c r="Q79" s="622">
        <f>Drivers!Q198</f>
        <v>-6</v>
      </c>
      <c r="R79" s="622">
        <f>Drivers!R198</f>
        <v>-7</v>
      </c>
      <c r="S79" s="622">
        <f>Drivers!S198</f>
        <v>-8</v>
      </c>
      <c r="T79" s="622">
        <f>Drivers!T198</f>
        <v>-6</v>
      </c>
      <c r="U79" s="622">
        <f>Drivers!U198</f>
        <v>-6</v>
      </c>
      <c r="V79" s="622">
        <f>Drivers!V198</f>
        <v>-3</v>
      </c>
      <c r="W79" s="622">
        <f>Drivers!W198</f>
        <v>-3</v>
      </c>
      <c r="X79" s="622">
        <f>Drivers!X198</f>
        <v>-9</v>
      </c>
      <c r="Y79" s="622">
        <f>Drivers!Y198</f>
        <v>1</v>
      </c>
      <c r="Z79" s="622">
        <f>Drivers!Z198</f>
        <v>-10</v>
      </c>
      <c r="AA79" s="622">
        <f>Drivers!AA198</f>
        <v>-8</v>
      </c>
      <c r="AB79" s="622">
        <f>Drivers!AB198</f>
        <v>-3</v>
      </c>
      <c r="AC79" s="622">
        <f>Drivers!AC198</f>
        <v>-2</v>
      </c>
      <c r="AD79" s="622">
        <f>Drivers!AD198</f>
        <v>-1</v>
      </c>
      <c r="AE79" s="622">
        <f>Drivers!AE198</f>
        <v>6</v>
      </c>
      <c r="AF79" s="622">
        <f>Drivers!AF198</f>
        <v>3</v>
      </c>
      <c r="AG79" s="622">
        <f>Drivers!AG198</f>
        <v>5</v>
      </c>
      <c r="AH79" s="622">
        <f>Drivers!AH198</f>
        <v>1</v>
      </c>
      <c r="AI79" s="622">
        <f>Drivers!AI198</f>
        <v>19</v>
      </c>
      <c r="AJ79" s="622">
        <f>Drivers!AJ198</f>
        <v>18</v>
      </c>
      <c r="AK79" s="622">
        <f>Drivers!AK198</f>
        <v>23</v>
      </c>
      <c r="AL79" s="622">
        <f>Drivers!AL198</f>
        <v>23</v>
      </c>
      <c r="AM79" s="622">
        <f>Drivers!AM198</f>
        <v>21</v>
      </c>
      <c r="AN79" s="622">
        <f>Drivers!AN198</f>
        <v>16</v>
      </c>
      <c r="AO79" s="622">
        <f>Drivers!AO198</f>
        <v>13</v>
      </c>
      <c r="AP79" s="622">
        <f>Drivers!AP198</f>
        <v>13</v>
      </c>
      <c r="AQ79" s="622">
        <f>Drivers!AQ198</f>
        <v>-3</v>
      </c>
      <c r="AR79" s="622">
        <f>Drivers!AR198</f>
        <v>-10</v>
      </c>
      <c r="AS79" s="622">
        <f>Drivers!AS198</f>
        <v>-6</v>
      </c>
      <c r="AT79" s="622">
        <f>Drivers!AT198</f>
        <v>-10</v>
      </c>
      <c r="AU79" s="622">
        <f>Drivers!AU198</f>
        <v>-14</v>
      </c>
      <c r="AV79" s="622">
        <f>Drivers!AV198</f>
        <v>-14</v>
      </c>
      <c r="AW79" s="622">
        <f>Drivers!AW198</f>
        <v>-19.457702213563255</v>
      </c>
      <c r="AX79" s="622">
        <f>Drivers!AX198</f>
        <v>-17.756469142365283</v>
      </c>
      <c r="AY79" s="622">
        <f>Drivers!AY198</f>
        <v>-16.863523277751078</v>
      </c>
      <c r="AZ79" s="622">
        <f>Drivers!AZ198</f>
        <v>-15.45395926144759</v>
      </c>
      <c r="BA79" s="622">
        <f>Drivers!BA198</f>
        <v>-19.46261883899999</v>
      </c>
      <c r="BB79" s="622">
        <f>Drivers!BB198</f>
        <v>-17.526112581735635</v>
      </c>
      <c r="BC79" s="622">
        <f>Drivers!BC198</f>
        <v>-17.257624756969001</v>
      </c>
      <c r="BD79" s="622">
        <f>Drivers!BD198</f>
        <v>-17.253445557962326</v>
      </c>
      <c r="BE79" s="622">
        <f>Drivers!BE198</f>
        <v>-17.266013746096519</v>
      </c>
      <c r="BF79" s="622">
        <f>Drivers!BF198</f>
        <v>-16.346850123198642</v>
      </c>
      <c r="BG79" s="622">
        <f>Drivers!BG198</f>
        <v>-16.075336835362151</v>
      </c>
      <c r="BH79" s="622">
        <f>Drivers!BH198</f>
        <v>-16.030425001799404</v>
      </c>
      <c r="BI79" s="622">
        <f>Drivers!BI198</f>
        <v>-16.000324567655404</v>
      </c>
      <c r="BJ79" s="622">
        <f>Drivers!BJ198</f>
        <v>-15.003872277272929</v>
      </c>
      <c r="BK79" s="622">
        <f>Drivers!BK198</f>
        <v>-14.705523419624477</v>
      </c>
      <c r="BL79" s="622">
        <f>Drivers!BL198</f>
        <v>-14.647681985000178</v>
      </c>
      <c r="BM79" s="622">
        <f>Drivers!BM198</f>
        <v>-14.647254403099232</v>
      </c>
      <c r="BN79" s="622">
        <f>Drivers!BN198</f>
        <v>-13.629158157009208</v>
      </c>
      <c r="BO79" s="643"/>
      <c r="BP79" s="258">
        <v>-26</v>
      </c>
      <c r="BQ79" s="257">
        <f>SUM(C79:F79)</f>
        <v>10</v>
      </c>
      <c r="BR79" s="257">
        <f>SUM(G79:J79)</f>
        <v>-17</v>
      </c>
      <c r="BS79" s="257">
        <f>SUM(K79:N79)</f>
        <v>-21</v>
      </c>
      <c r="BT79" s="257">
        <f>SUM(O79:R79)</f>
        <v>-26</v>
      </c>
      <c r="BU79" s="257">
        <f>SUM(S79:V79)</f>
        <v>-23</v>
      </c>
      <c r="BV79" s="257">
        <f>SUM(W79:Z79)</f>
        <v>-21</v>
      </c>
      <c r="BW79" s="257">
        <f>SUM(AA79:AD79)</f>
        <v>-14</v>
      </c>
      <c r="BX79" s="257">
        <f>SUM(AE79:AH79)</f>
        <v>15</v>
      </c>
      <c r="BY79" s="257">
        <f>SUM(AI79:AL79)</f>
        <v>83</v>
      </c>
      <c r="BZ79" s="257">
        <f>SUM(AM79:AP79)</f>
        <v>63</v>
      </c>
      <c r="CA79" s="257">
        <f>SUM(AQ79:AT79)</f>
        <v>-29</v>
      </c>
      <c r="CB79" s="257">
        <f>SUM(AU79:AX79)</f>
        <v>-65.214171355928528</v>
      </c>
      <c r="CC79" s="257">
        <f>SUM(AY79:BB79)</f>
        <v>-69.306213959934283</v>
      </c>
      <c r="CD79" s="257">
        <f>SUM(BC79:BF79)</f>
        <v>-68.123934184226499</v>
      </c>
      <c r="CE79" s="257">
        <f>SUM(BG79:BJ79)</f>
        <v>-63.109958682089882</v>
      </c>
      <c r="CF79" s="257">
        <f>SUM(BK79:BN79)</f>
        <v>-57.629617964733093</v>
      </c>
    </row>
    <row r="80" spans="1:87" s="259" customFormat="1">
      <c r="A80" s="253" t="s">
        <v>127</v>
      </c>
      <c r="B80" s="643">
        <f>Drivers!B289</f>
        <v>-1</v>
      </c>
      <c r="C80" s="643">
        <f>Drivers!C289</f>
        <v>-5</v>
      </c>
      <c r="D80" s="643">
        <f>Drivers!D289</f>
        <v>28</v>
      </c>
      <c r="E80" s="643">
        <f>Drivers!E289</f>
        <v>0</v>
      </c>
      <c r="F80" s="643">
        <f>Drivers!F289</f>
        <v>0</v>
      </c>
      <c r="G80" s="643">
        <f>Drivers!G289</f>
        <v>0</v>
      </c>
      <c r="H80" s="643">
        <f>Drivers!H289</f>
        <v>0</v>
      </c>
      <c r="I80" s="643">
        <f>Drivers!I289</f>
        <v>0</v>
      </c>
      <c r="J80" s="643">
        <f>Drivers!J289</f>
        <v>0</v>
      </c>
      <c r="K80" s="643">
        <f>Drivers!K289</f>
        <v>0</v>
      </c>
      <c r="L80" s="643">
        <f>Drivers!L289</f>
        <v>0</v>
      </c>
      <c r="M80" s="643">
        <f>Drivers!M289</f>
        <v>14</v>
      </c>
      <c r="N80" s="643">
        <f>Drivers!N289</f>
        <v>25</v>
      </c>
      <c r="O80" s="643">
        <f>Drivers!O289</f>
        <v>0</v>
      </c>
      <c r="P80" s="643">
        <f>Drivers!P289</f>
        <v>0</v>
      </c>
      <c r="Q80" s="643">
        <f>Drivers!Q289</f>
        <v>0</v>
      </c>
      <c r="R80" s="643">
        <f>Drivers!R289</f>
        <v>0</v>
      </c>
      <c r="S80" s="643">
        <f>Drivers!S289</f>
        <v>0</v>
      </c>
      <c r="T80" s="643">
        <f>Drivers!T289</f>
        <v>0</v>
      </c>
      <c r="U80" s="643">
        <f>Drivers!U289</f>
        <v>0</v>
      </c>
      <c r="V80" s="643">
        <f>Drivers!V289</f>
        <v>0</v>
      </c>
      <c r="W80" s="643">
        <f>Drivers!W289</f>
        <v>0</v>
      </c>
      <c r="X80" s="643">
        <f>Drivers!X289</f>
        <v>0</v>
      </c>
      <c r="Y80" s="643">
        <f>Drivers!Y289</f>
        <v>0</v>
      </c>
      <c r="Z80" s="643">
        <f>Drivers!Z289</f>
        <v>0</v>
      </c>
      <c r="AA80" s="643">
        <f>Drivers!AA289</f>
        <v>0</v>
      </c>
      <c r="AB80" s="643">
        <f>Drivers!AB289</f>
        <v>0</v>
      </c>
      <c r="AC80" s="643">
        <f>Drivers!AC289</f>
        <v>0</v>
      </c>
      <c r="AD80" s="643">
        <f>Drivers!AD289</f>
        <v>0</v>
      </c>
      <c r="AE80" s="643">
        <f>Drivers!AE289</f>
        <v>0</v>
      </c>
      <c r="AF80" s="643">
        <f>Drivers!AF289</f>
        <v>0</v>
      </c>
      <c r="AG80" s="643">
        <f>Drivers!AG289</f>
        <v>0</v>
      </c>
      <c r="AH80" s="643">
        <f>Drivers!AH289</f>
        <v>0</v>
      </c>
      <c r="AI80" s="643">
        <f>Drivers!AI289</f>
        <v>0</v>
      </c>
      <c r="AJ80" s="643">
        <f>Drivers!AJ289</f>
        <v>0</v>
      </c>
      <c r="AK80" s="643">
        <f>Drivers!AK289</f>
        <v>0</v>
      </c>
      <c r="AL80" s="643">
        <f>Drivers!AL289</f>
        <v>0</v>
      </c>
      <c r="AM80" s="643">
        <f>Drivers!AM289</f>
        <v>0</v>
      </c>
      <c r="AN80" s="643">
        <f>Drivers!AN289</f>
        <v>0</v>
      </c>
      <c r="AO80" s="643">
        <f>Drivers!AO289</f>
        <v>0</v>
      </c>
      <c r="AP80" s="643">
        <f>Drivers!AP289</f>
        <v>0</v>
      </c>
      <c r="AQ80" s="643">
        <f>Drivers!AQ289</f>
        <v>0</v>
      </c>
      <c r="AR80" s="643">
        <f>Drivers!AR289</f>
        <v>0</v>
      </c>
      <c r="AS80" s="643">
        <f>Drivers!AS289</f>
        <v>0</v>
      </c>
      <c r="AT80" s="643">
        <f>Drivers!AT289</f>
        <v>0</v>
      </c>
      <c r="AU80" s="643">
        <f>Drivers!AU289</f>
        <v>0</v>
      </c>
      <c r="AV80" s="643">
        <f>Drivers!AV289</f>
        <v>0</v>
      </c>
      <c r="AW80" s="643">
        <f>Drivers!AW289</f>
        <v>0</v>
      </c>
      <c r="AX80" s="643">
        <f>Drivers!AX289</f>
        <v>0</v>
      </c>
      <c r="AY80" s="643">
        <f>Drivers!AY289</f>
        <v>0</v>
      </c>
      <c r="AZ80" s="643">
        <f>Drivers!AZ289</f>
        <v>0</v>
      </c>
      <c r="BA80" s="643">
        <f>Drivers!BA289</f>
        <v>0</v>
      </c>
      <c r="BB80" s="643">
        <f>Drivers!BB289</f>
        <v>0</v>
      </c>
      <c r="BC80" s="643">
        <f>Drivers!BC289</f>
        <v>0</v>
      </c>
      <c r="BD80" s="643">
        <f>Drivers!BD289</f>
        <v>0</v>
      </c>
      <c r="BE80" s="643">
        <f>Drivers!BE289</f>
        <v>0</v>
      </c>
      <c r="BF80" s="643">
        <f>Drivers!BF289</f>
        <v>0</v>
      </c>
      <c r="BG80" s="643">
        <f>Drivers!BG289</f>
        <v>0</v>
      </c>
      <c r="BH80" s="643">
        <f>Drivers!BH289</f>
        <v>0</v>
      </c>
      <c r="BI80" s="643">
        <f>Drivers!BI289</f>
        <v>0</v>
      </c>
      <c r="BJ80" s="643">
        <f>Drivers!BJ289</f>
        <v>0</v>
      </c>
      <c r="BK80" s="643">
        <f>Drivers!BK289</f>
        <v>0</v>
      </c>
      <c r="BL80" s="643">
        <f>Drivers!BL289</f>
        <v>0</v>
      </c>
      <c r="BM80" s="643">
        <f>Drivers!BM289</f>
        <v>0</v>
      </c>
      <c r="BN80" s="643">
        <f>Drivers!BN289</f>
        <v>0</v>
      </c>
      <c r="BO80" s="643"/>
      <c r="BP80" s="258">
        <v>-26</v>
      </c>
      <c r="BQ80" s="257">
        <f>SUM(C80:F80)</f>
        <v>23</v>
      </c>
      <c r="BR80" s="257">
        <f>SUM(G80:J80)</f>
        <v>0</v>
      </c>
      <c r="BS80" s="257">
        <f>SUM(K80:N80)</f>
        <v>39</v>
      </c>
      <c r="BT80" s="257">
        <f>SUM(O80:R80)</f>
        <v>0</v>
      </c>
      <c r="BU80" s="257">
        <f>SUM(S80:V80)</f>
        <v>0</v>
      </c>
      <c r="BV80" s="257">
        <f>SUM(W80:Z80)</f>
        <v>0</v>
      </c>
      <c r="BW80" s="257">
        <f>SUM(AA80:AD80)</f>
        <v>0</v>
      </c>
      <c r="BX80" s="257">
        <f>SUM(AE80:AH80)</f>
        <v>0</v>
      </c>
      <c r="BY80" s="257">
        <f>SUM(AI80:AL80)</f>
        <v>0</v>
      </c>
      <c r="BZ80" s="257">
        <f>SUM(AM80:AP80)</f>
        <v>0</v>
      </c>
      <c r="CA80" s="257">
        <f>SUM(AQ80:AT80)</f>
        <v>0</v>
      </c>
      <c r="CB80" s="257">
        <f>SUM(AU80:AX80)</f>
        <v>0</v>
      </c>
      <c r="CC80" s="257">
        <f>SUM(AY80:BB80)</f>
        <v>0</v>
      </c>
      <c r="CD80" s="257">
        <f>SUM(BC80:BF80)</f>
        <v>0</v>
      </c>
      <c r="CE80" s="257">
        <f>SUM(BG80:BJ80)</f>
        <v>0</v>
      </c>
      <c r="CF80" s="257">
        <f>SUM(BK80:BN80)</f>
        <v>0</v>
      </c>
      <c r="CG80" s="251"/>
      <c r="CH80" s="252"/>
      <c r="CI80" s="252"/>
    </row>
    <row r="81" spans="1:85" s="611" customFormat="1">
      <c r="A81" s="25" t="s">
        <v>167</v>
      </c>
      <c r="B81" s="606">
        <f>B78+B80+B79</f>
        <v>80</v>
      </c>
      <c r="C81" s="606">
        <f t="shared" ref="C81:BN81" si="228">C78+C80+C79</f>
        <v>93</v>
      </c>
      <c r="D81" s="606">
        <f t="shared" si="228"/>
        <v>-218</v>
      </c>
      <c r="E81" s="606">
        <f t="shared" si="228"/>
        <v>-303</v>
      </c>
      <c r="F81" s="606">
        <f t="shared" si="228"/>
        <v>149</v>
      </c>
      <c r="G81" s="606">
        <f t="shared" si="228"/>
        <v>230</v>
      </c>
      <c r="H81" s="606">
        <f t="shared" si="228"/>
        <v>-380</v>
      </c>
      <c r="I81" s="606">
        <f t="shared" si="228"/>
        <v>-193</v>
      </c>
      <c r="J81" s="606">
        <f t="shared" si="228"/>
        <v>361</v>
      </c>
      <c r="K81" s="606">
        <f t="shared" si="228"/>
        <v>210</v>
      </c>
      <c r="L81" s="606">
        <f t="shared" si="228"/>
        <v>-368</v>
      </c>
      <c r="M81" s="606">
        <f t="shared" si="228"/>
        <v>-33</v>
      </c>
      <c r="N81" s="606">
        <f t="shared" si="228"/>
        <v>330</v>
      </c>
      <c r="O81" s="606">
        <f t="shared" si="228"/>
        <v>228</v>
      </c>
      <c r="P81" s="606">
        <f t="shared" si="228"/>
        <v>-260</v>
      </c>
      <c r="Q81" s="606">
        <f t="shared" si="228"/>
        <v>-298</v>
      </c>
      <c r="R81" s="606">
        <f t="shared" si="228"/>
        <v>337</v>
      </c>
      <c r="S81" s="606">
        <f t="shared" si="228"/>
        <v>354</v>
      </c>
      <c r="T81" s="606">
        <f t="shared" si="228"/>
        <v>18</v>
      </c>
      <c r="U81" s="606">
        <f t="shared" si="228"/>
        <v>156</v>
      </c>
      <c r="V81" s="606">
        <f t="shared" si="228"/>
        <v>397</v>
      </c>
      <c r="W81" s="606">
        <f t="shared" si="228"/>
        <v>509</v>
      </c>
      <c r="X81" s="606">
        <f t="shared" si="228"/>
        <v>-128</v>
      </c>
      <c r="Y81" s="606">
        <f t="shared" si="228"/>
        <v>-30</v>
      </c>
      <c r="Z81" s="606">
        <f t="shared" si="228"/>
        <v>526</v>
      </c>
      <c r="AA81" s="606">
        <f t="shared" si="228"/>
        <v>552</v>
      </c>
      <c r="AB81" s="606">
        <f t="shared" si="228"/>
        <v>-52</v>
      </c>
      <c r="AC81" s="606">
        <f t="shared" si="228"/>
        <v>-6</v>
      </c>
      <c r="AD81" s="606">
        <f t="shared" si="228"/>
        <v>716</v>
      </c>
      <c r="AE81" s="606">
        <f t="shared" si="228"/>
        <v>749</v>
      </c>
      <c r="AF81" s="606">
        <f t="shared" si="228"/>
        <v>-38</v>
      </c>
      <c r="AG81" s="606">
        <f t="shared" si="228"/>
        <v>-16</v>
      </c>
      <c r="AH81" s="606">
        <f t="shared" si="228"/>
        <v>754</v>
      </c>
      <c r="AI81" s="606">
        <f t="shared" si="228"/>
        <v>319</v>
      </c>
      <c r="AJ81" s="606">
        <f t="shared" si="228"/>
        <v>276</v>
      </c>
      <c r="AK81" s="606">
        <f t="shared" si="228"/>
        <v>265</v>
      </c>
      <c r="AL81" s="606">
        <f t="shared" si="228"/>
        <v>219</v>
      </c>
      <c r="AM81" s="606">
        <f t="shared" si="228"/>
        <v>436</v>
      </c>
      <c r="AN81" s="606">
        <f t="shared" si="228"/>
        <v>284</v>
      </c>
      <c r="AO81" s="606">
        <f t="shared" si="228"/>
        <v>374</v>
      </c>
      <c r="AP81" s="606">
        <f t="shared" si="228"/>
        <v>414</v>
      </c>
      <c r="AQ81" s="606">
        <f t="shared" si="228"/>
        <v>468</v>
      </c>
      <c r="AR81" s="606">
        <f t="shared" si="228"/>
        <v>139</v>
      </c>
      <c r="AS81" s="606">
        <f t="shared" si="228"/>
        <v>245</v>
      </c>
      <c r="AT81" s="606">
        <f t="shared" si="228"/>
        <v>165</v>
      </c>
      <c r="AU81" s="606">
        <f t="shared" si="228"/>
        <v>308</v>
      </c>
      <c r="AV81" s="606">
        <f t="shared" si="228"/>
        <v>326</v>
      </c>
      <c r="AW81" s="606">
        <f t="shared" si="228"/>
        <v>1.9429869716674482</v>
      </c>
      <c r="AX81" s="606">
        <f t="shared" si="228"/>
        <v>275.85087812107406</v>
      </c>
      <c r="AY81" s="606">
        <f t="shared" si="228"/>
        <v>726.18593486842406</v>
      </c>
      <c r="AZ81" s="606">
        <f t="shared" si="228"/>
        <v>523.13138074167773</v>
      </c>
      <c r="BA81" s="606">
        <f t="shared" si="228"/>
        <v>37.591192665131331</v>
      </c>
      <c r="BB81" s="606">
        <f t="shared" si="228"/>
        <v>435.76440819984117</v>
      </c>
      <c r="BC81" s="606">
        <f t="shared" si="228"/>
        <v>821.36250640644153</v>
      </c>
      <c r="BD81" s="606">
        <f t="shared" si="228"/>
        <v>576.12365082565884</v>
      </c>
      <c r="BE81" s="606">
        <f t="shared" si="228"/>
        <v>155.47238604800702</v>
      </c>
      <c r="BF81" s="606">
        <f t="shared" si="228"/>
        <v>492.56809574744585</v>
      </c>
      <c r="BG81" s="606">
        <f t="shared" si="228"/>
        <v>873.07505082623402</v>
      </c>
      <c r="BH81" s="606">
        <f t="shared" si="228"/>
        <v>566.03690469917547</v>
      </c>
      <c r="BI81" s="606">
        <f t="shared" si="228"/>
        <v>255.12660725689977</v>
      </c>
      <c r="BJ81" s="606">
        <f t="shared" si="228"/>
        <v>597.83366286591377</v>
      </c>
      <c r="BK81" s="606">
        <f t="shared" si="228"/>
        <v>974.58262140980889</v>
      </c>
      <c r="BL81" s="606">
        <f t="shared" si="228"/>
        <v>686.67823057386749</v>
      </c>
      <c r="BM81" s="606">
        <f t="shared" si="228"/>
        <v>261.94337077428003</v>
      </c>
      <c r="BN81" s="606">
        <f t="shared" si="228"/>
        <v>618.09282397730658</v>
      </c>
      <c r="BO81" s="607"/>
      <c r="BP81" s="607">
        <f t="shared" ref="BP81:CF81" si="229">BP78+BP80+BP22</f>
        <v>-706</v>
      </c>
      <c r="BQ81" s="607">
        <f t="shared" si="229"/>
        <v>-279</v>
      </c>
      <c r="BR81" s="607">
        <f t="shared" si="229"/>
        <v>18</v>
      </c>
      <c r="BS81" s="607">
        <f t="shared" si="229"/>
        <v>139</v>
      </c>
      <c r="BT81" s="607">
        <f t="shared" si="229"/>
        <v>7</v>
      </c>
      <c r="BU81" s="607">
        <f t="shared" si="229"/>
        <v>925</v>
      </c>
      <c r="BV81" s="607">
        <f t="shared" si="229"/>
        <v>877</v>
      </c>
      <c r="BW81" s="607">
        <f t="shared" si="229"/>
        <v>1210</v>
      </c>
      <c r="BX81" s="607">
        <f t="shared" si="229"/>
        <v>1449</v>
      </c>
      <c r="BY81" s="196">
        <f t="shared" si="229"/>
        <v>1079</v>
      </c>
      <c r="BZ81" s="196">
        <f t="shared" si="229"/>
        <v>1508</v>
      </c>
      <c r="CA81" s="196">
        <f t="shared" si="229"/>
        <v>1017</v>
      </c>
      <c r="CB81" s="196">
        <f t="shared" si="229"/>
        <v>911.79386509274173</v>
      </c>
      <c r="CC81" s="196">
        <f t="shared" si="229"/>
        <v>1722.6729164750732</v>
      </c>
      <c r="CD81" s="196">
        <f t="shared" si="229"/>
        <v>2045.5266390275538</v>
      </c>
      <c r="CE81" s="196">
        <f t="shared" si="229"/>
        <v>2292.0722256482231</v>
      </c>
      <c r="CF81" s="196">
        <f t="shared" si="229"/>
        <v>2541.2970467352629</v>
      </c>
    </row>
    <row r="82" spans="1:85" s="648" customFormat="1">
      <c r="A82" s="605" t="s">
        <v>72</v>
      </c>
      <c r="B82" s="644">
        <v>-50</v>
      </c>
      <c r="C82" s="644">
        <v>3</v>
      </c>
      <c r="D82" s="644">
        <v>17</v>
      </c>
      <c r="E82" s="644">
        <v>-19</v>
      </c>
      <c r="F82" s="644">
        <v>2</v>
      </c>
      <c r="G82" s="644">
        <v>-9</v>
      </c>
      <c r="H82" s="644">
        <v>40</v>
      </c>
      <c r="I82" s="644">
        <v>-12</v>
      </c>
      <c r="J82" s="644">
        <v>39</v>
      </c>
      <c r="K82" s="644">
        <v>-9</v>
      </c>
      <c r="L82" s="644">
        <v>-13</v>
      </c>
      <c r="M82" s="644">
        <v>-12</v>
      </c>
      <c r="N82" s="644">
        <v>-7</v>
      </c>
      <c r="O82" s="644">
        <v>-6</v>
      </c>
      <c r="P82" s="644">
        <v>-13</v>
      </c>
      <c r="Q82" s="644">
        <v>-10</v>
      </c>
      <c r="R82" s="644">
        <v>30</v>
      </c>
      <c r="S82" s="644">
        <v>-19</v>
      </c>
      <c r="T82" s="644">
        <v>-15</v>
      </c>
      <c r="U82" s="644">
        <v>-14</v>
      </c>
      <c r="V82" s="644">
        <v>-2</v>
      </c>
      <c r="W82" s="644">
        <v>-67</v>
      </c>
      <c r="X82" s="644">
        <v>-12</v>
      </c>
      <c r="Y82" s="644">
        <v>-15</v>
      </c>
      <c r="Z82" s="644">
        <v>373</v>
      </c>
      <c r="AA82" s="644">
        <v>-112</v>
      </c>
      <c r="AB82" s="644">
        <v>14</v>
      </c>
      <c r="AC82" s="644">
        <v>5</v>
      </c>
      <c r="AD82" s="644">
        <v>-150</v>
      </c>
      <c r="AE82" s="644">
        <v>-105</v>
      </c>
      <c r="AF82" s="644">
        <v>16</v>
      </c>
      <c r="AG82" s="644">
        <v>-170</v>
      </c>
      <c r="AH82" s="644">
        <v>-147</v>
      </c>
      <c r="AI82" s="644">
        <v>-26</v>
      </c>
      <c r="AJ82" s="644">
        <v>-21</v>
      </c>
      <c r="AK82" s="644">
        <v>-3</v>
      </c>
      <c r="AL82" s="644">
        <v>-10</v>
      </c>
      <c r="AM82" s="644">
        <v>985</v>
      </c>
      <c r="AN82" s="644">
        <v>570</v>
      </c>
      <c r="AO82" s="644">
        <v>-28</v>
      </c>
      <c r="AP82" s="644">
        <v>4</v>
      </c>
      <c r="AQ82" s="644">
        <v>-103</v>
      </c>
      <c r="AR82" s="644">
        <v>46</v>
      </c>
      <c r="AS82" s="644">
        <v>-34</v>
      </c>
      <c r="AT82" s="644">
        <v>-89</v>
      </c>
      <c r="AU82" s="644">
        <v>-104</v>
      </c>
      <c r="AV82" s="644">
        <v>-32</v>
      </c>
      <c r="AW82" s="645">
        <f t="shared" ref="AW82:BN82" si="230">AW81*AW83</f>
        <v>-0.73833504923363036</v>
      </c>
      <c r="AX82" s="645">
        <f t="shared" si="230"/>
        <v>-165.51052687264442</v>
      </c>
      <c r="AY82" s="645">
        <f t="shared" si="230"/>
        <v>-130.71346827631632</v>
      </c>
      <c r="AZ82" s="645">
        <f t="shared" si="230"/>
        <v>-94.163648533501984</v>
      </c>
      <c r="BA82" s="645">
        <f t="shared" si="230"/>
        <v>-6.7664146797236393</v>
      </c>
      <c r="BB82" s="645">
        <f t="shared" si="230"/>
        <v>-78.437593475971411</v>
      </c>
      <c r="BC82" s="646">
        <f t="shared" si="230"/>
        <v>-147.84525115315947</v>
      </c>
      <c r="BD82" s="646">
        <f t="shared" si="230"/>
        <v>-103.70225714861859</v>
      </c>
      <c r="BE82" s="646">
        <f t="shared" si="230"/>
        <v>-27.985029488641263</v>
      </c>
      <c r="BF82" s="646">
        <f t="shared" si="230"/>
        <v>-88.662257234540249</v>
      </c>
      <c r="BG82" s="646">
        <f t="shared" si="230"/>
        <v>-157.15350914872212</v>
      </c>
      <c r="BH82" s="646">
        <f t="shared" si="230"/>
        <v>-101.88664284585158</v>
      </c>
      <c r="BI82" s="646">
        <f t="shared" si="230"/>
        <v>-45.92278930624196</v>
      </c>
      <c r="BJ82" s="646">
        <f t="shared" si="230"/>
        <v>-107.61005931586448</v>
      </c>
      <c r="BK82" s="646">
        <f t="shared" si="230"/>
        <v>-175.42487185376558</v>
      </c>
      <c r="BL82" s="646">
        <f t="shared" si="230"/>
        <v>-123.60208150329615</v>
      </c>
      <c r="BM82" s="646">
        <f t="shared" si="230"/>
        <v>-47.149806739370405</v>
      </c>
      <c r="BN82" s="646">
        <f t="shared" si="230"/>
        <v>-111.25670831591518</v>
      </c>
      <c r="BO82" s="646"/>
      <c r="BP82" s="646">
        <v>29</v>
      </c>
      <c r="BQ82" s="646">
        <f>SUM(C82:F82)</f>
        <v>3</v>
      </c>
      <c r="BR82" s="646">
        <f>SUM(G82:J82)</f>
        <v>58</v>
      </c>
      <c r="BS82" s="646">
        <f>SUM(K82:N82)</f>
        <v>-41</v>
      </c>
      <c r="BT82" s="646">
        <f>SUM(O82:R82)</f>
        <v>1</v>
      </c>
      <c r="BU82" s="646">
        <f>SUM(S82:V82)</f>
        <v>-50</v>
      </c>
      <c r="BV82" s="646">
        <f>SUM(W82:Z82)</f>
        <v>279</v>
      </c>
      <c r="BW82" s="646">
        <f>SUM(AA82:AD82)</f>
        <v>-243</v>
      </c>
      <c r="BX82" s="646">
        <f>SUM(AE82:AH82)</f>
        <v>-406</v>
      </c>
      <c r="BY82" s="645">
        <f>SUM(AI82:AL82)</f>
        <v>-60</v>
      </c>
      <c r="BZ82" s="645">
        <f>SUM(AM82:AP82)</f>
        <v>1531</v>
      </c>
      <c r="CA82" s="645">
        <f>SUM(AQ82:AT82)</f>
        <v>-180</v>
      </c>
      <c r="CB82" s="645">
        <f>SUM(AU82:AX82)</f>
        <v>-302.24886192187807</v>
      </c>
      <c r="CC82" s="645">
        <f>SUM(AY82:BB82)</f>
        <v>-310.08112496551337</v>
      </c>
      <c r="CD82" s="645">
        <f>SUM(BC82:BF82)</f>
        <v>-368.1947950249596</v>
      </c>
      <c r="CE82" s="645">
        <f>SUM(BG82:BJ82)</f>
        <v>-412.57300061668013</v>
      </c>
      <c r="CF82" s="645">
        <f>SUM(BK82:BN82)</f>
        <v>-457.43346841234734</v>
      </c>
      <c r="CG82" s="647"/>
    </row>
    <row r="83" spans="1:85" s="637" customFormat="1">
      <c r="A83" s="69" t="s">
        <v>7</v>
      </c>
      <c r="B83" s="34">
        <f t="shared" ref="B83:AU83" si="231">B82/B81</f>
        <v>-0.625</v>
      </c>
      <c r="C83" s="34">
        <f t="shared" si="231"/>
        <v>3.2258064516129031E-2</v>
      </c>
      <c r="D83" s="34">
        <f t="shared" si="231"/>
        <v>-7.7981651376146793E-2</v>
      </c>
      <c r="E83" s="34">
        <f t="shared" si="231"/>
        <v>6.2706270627062702E-2</v>
      </c>
      <c r="F83" s="34">
        <f t="shared" si="231"/>
        <v>1.3422818791946308E-2</v>
      </c>
      <c r="G83" s="34">
        <f t="shared" si="231"/>
        <v>-3.9130434782608699E-2</v>
      </c>
      <c r="H83" s="34">
        <f t="shared" si="231"/>
        <v>-0.10526315789473684</v>
      </c>
      <c r="I83" s="34">
        <f t="shared" si="231"/>
        <v>6.2176165803108807E-2</v>
      </c>
      <c r="J83" s="34">
        <f t="shared" si="231"/>
        <v>0.10803324099722991</v>
      </c>
      <c r="K83" s="34">
        <f t="shared" si="231"/>
        <v>-4.2857142857142858E-2</v>
      </c>
      <c r="L83" s="34">
        <f t="shared" si="231"/>
        <v>3.5326086956521736E-2</v>
      </c>
      <c r="M83" s="34">
        <f t="shared" si="231"/>
        <v>0.36363636363636365</v>
      </c>
      <c r="N83" s="34">
        <f t="shared" si="231"/>
        <v>-2.1212121212121213E-2</v>
      </c>
      <c r="O83" s="34">
        <f t="shared" si="231"/>
        <v>-2.6315789473684209E-2</v>
      </c>
      <c r="P83" s="34">
        <f t="shared" si="231"/>
        <v>0.05</v>
      </c>
      <c r="Q83" s="34">
        <f t="shared" si="231"/>
        <v>3.3557046979865772E-2</v>
      </c>
      <c r="R83" s="34">
        <f t="shared" si="231"/>
        <v>8.9020771513353122E-2</v>
      </c>
      <c r="S83" s="34">
        <f t="shared" si="231"/>
        <v>-5.3672316384180789E-2</v>
      </c>
      <c r="T83" s="34">
        <f t="shared" si="231"/>
        <v>-0.83333333333333337</v>
      </c>
      <c r="U83" s="34">
        <f t="shared" si="231"/>
        <v>-8.9743589743589744E-2</v>
      </c>
      <c r="V83" s="34">
        <f t="shared" si="231"/>
        <v>-5.0377833753148613E-3</v>
      </c>
      <c r="W83" s="34">
        <f t="shared" si="231"/>
        <v>-0.13163064833005894</v>
      </c>
      <c r="X83" s="34">
        <f t="shared" si="231"/>
        <v>9.375E-2</v>
      </c>
      <c r="Y83" s="34">
        <f t="shared" si="231"/>
        <v>0.5</v>
      </c>
      <c r="Z83" s="34">
        <f t="shared" si="231"/>
        <v>0.70912547528517111</v>
      </c>
      <c r="AA83" s="34">
        <f t="shared" si="231"/>
        <v>-0.20289855072463769</v>
      </c>
      <c r="AB83" s="34">
        <f t="shared" si="231"/>
        <v>-0.26923076923076922</v>
      </c>
      <c r="AC83" s="34">
        <f t="shared" si="231"/>
        <v>-0.83333333333333337</v>
      </c>
      <c r="AD83" s="34">
        <f t="shared" si="231"/>
        <v>-0.20949720670391062</v>
      </c>
      <c r="AE83" s="34">
        <f t="shared" si="231"/>
        <v>-0.14018691588785046</v>
      </c>
      <c r="AF83" s="34">
        <f t="shared" si="231"/>
        <v>-0.42105263157894735</v>
      </c>
      <c r="AG83" s="34">
        <f t="shared" si="231"/>
        <v>10.625</v>
      </c>
      <c r="AH83" s="34">
        <f t="shared" si="231"/>
        <v>-0.19496021220159152</v>
      </c>
      <c r="AI83" s="34">
        <f t="shared" si="231"/>
        <v>-8.1504702194357362E-2</v>
      </c>
      <c r="AJ83" s="34">
        <f t="shared" si="231"/>
        <v>-7.6086956521739135E-2</v>
      </c>
      <c r="AK83" s="34">
        <f t="shared" si="231"/>
        <v>-1.1320754716981131E-2</v>
      </c>
      <c r="AL83" s="34">
        <f t="shared" si="231"/>
        <v>-4.5662100456621002E-2</v>
      </c>
      <c r="AM83" s="34">
        <f t="shared" si="231"/>
        <v>2.2591743119266057</v>
      </c>
      <c r="AN83" s="34">
        <f t="shared" si="231"/>
        <v>2.007042253521127</v>
      </c>
      <c r="AO83" s="34">
        <f t="shared" si="231"/>
        <v>-7.4866310160427801E-2</v>
      </c>
      <c r="AP83" s="34">
        <f t="shared" si="231"/>
        <v>9.6618357487922701E-3</v>
      </c>
      <c r="AQ83" s="34">
        <f t="shared" si="231"/>
        <v>-0.22008547008547008</v>
      </c>
      <c r="AR83" s="34">
        <f t="shared" si="231"/>
        <v>0.33093525179856115</v>
      </c>
      <c r="AS83" s="34">
        <f t="shared" si="231"/>
        <v>-0.13877551020408163</v>
      </c>
      <c r="AT83" s="34">
        <f t="shared" si="231"/>
        <v>-0.53939393939393943</v>
      </c>
      <c r="AU83" s="34">
        <f t="shared" si="231"/>
        <v>-0.33766233766233766</v>
      </c>
      <c r="AV83" s="81">
        <f>Drivers!AV203</f>
        <v>-9.815950920245399E-2</v>
      </c>
      <c r="AW83" s="81">
        <f>Drivers!AW203</f>
        <v>-0.38</v>
      </c>
      <c r="AX83" s="81">
        <f>Drivers!AX203</f>
        <v>-0.6</v>
      </c>
      <c r="AY83" s="81">
        <f>Drivers!AY203</f>
        <v>-0.18</v>
      </c>
      <c r="AZ83" s="81">
        <f>Drivers!AZ203</f>
        <v>-0.18</v>
      </c>
      <c r="BA83" s="81">
        <f>Drivers!BA203</f>
        <v>-0.18</v>
      </c>
      <c r="BB83" s="81">
        <f>Drivers!BB203</f>
        <v>-0.18</v>
      </c>
      <c r="BC83" s="81">
        <f>Drivers!BC203</f>
        <v>-0.18</v>
      </c>
      <c r="BD83" s="81">
        <f>Drivers!BD203</f>
        <v>-0.18</v>
      </c>
      <c r="BE83" s="81">
        <f>Drivers!BE203</f>
        <v>-0.18</v>
      </c>
      <c r="BF83" s="81">
        <f>Drivers!BF203</f>
        <v>-0.18</v>
      </c>
      <c r="BG83" s="81">
        <f>Drivers!BG203</f>
        <v>-0.18</v>
      </c>
      <c r="BH83" s="81">
        <f>Drivers!BH203</f>
        <v>-0.18</v>
      </c>
      <c r="BI83" s="81">
        <f>Drivers!BI203</f>
        <v>-0.18</v>
      </c>
      <c r="BJ83" s="81">
        <f>Drivers!BJ203</f>
        <v>-0.18</v>
      </c>
      <c r="BK83" s="81">
        <f>Drivers!BK203</f>
        <v>-0.18</v>
      </c>
      <c r="BL83" s="81">
        <f>Drivers!BL203</f>
        <v>-0.18</v>
      </c>
      <c r="BM83" s="81">
        <f>Drivers!BM203</f>
        <v>-0.18</v>
      </c>
      <c r="BN83" s="81">
        <f>Drivers!BN203</f>
        <v>-0.18</v>
      </c>
      <c r="BO83" s="40"/>
      <c r="BP83" s="35">
        <f t="shared" ref="BP83:CF83" si="232">BP82/BP81</f>
        <v>-4.1076487252124649E-2</v>
      </c>
      <c r="BQ83" s="35">
        <f t="shared" si="232"/>
        <v>-1.0752688172043012E-2</v>
      </c>
      <c r="BR83" s="35">
        <f t="shared" si="232"/>
        <v>3.2222222222222223</v>
      </c>
      <c r="BS83" s="35">
        <f t="shared" si="232"/>
        <v>-0.29496402877697842</v>
      </c>
      <c r="BT83" s="35">
        <f t="shared" si="232"/>
        <v>0.14285714285714285</v>
      </c>
      <c r="BU83" s="35">
        <f t="shared" si="232"/>
        <v>-5.4054054054054057E-2</v>
      </c>
      <c r="BV83" s="35">
        <f t="shared" si="232"/>
        <v>0.31812998859749148</v>
      </c>
      <c r="BW83" s="35">
        <f t="shared" si="232"/>
        <v>-0.20082644628099172</v>
      </c>
      <c r="BX83" s="35">
        <f t="shared" si="232"/>
        <v>-0.28019323671497587</v>
      </c>
      <c r="BY83" s="35">
        <f t="shared" si="232"/>
        <v>-5.5607043558850787E-2</v>
      </c>
      <c r="BZ83" s="35">
        <f t="shared" si="232"/>
        <v>1.0152519893899203</v>
      </c>
      <c r="CA83" s="35">
        <f t="shared" si="232"/>
        <v>-0.17699115044247787</v>
      </c>
      <c r="CB83" s="35">
        <f t="shared" si="232"/>
        <v>-0.33148815043972168</v>
      </c>
      <c r="CC83" s="35">
        <f t="shared" si="232"/>
        <v>-0.1800000000000001</v>
      </c>
      <c r="CD83" s="35">
        <f t="shared" si="232"/>
        <v>-0.17999999999999997</v>
      </c>
      <c r="CE83" s="35">
        <f t="shared" si="232"/>
        <v>-0.18</v>
      </c>
      <c r="CF83" s="35">
        <f t="shared" si="232"/>
        <v>-0.18</v>
      </c>
    </row>
    <row r="84" spans="1:85" s="611" customFormat="1">
      <c r="A84" s="25" t="s">
        <v>220</v>
      </c>
      <c r="B84" s="606">
        <f t="shared" ref="B84:AG84" si="233">B81+B82</f>
        <v>30</v>
      </c>
      <c r="C84" s="606">
        <f t="shared" si="233"/>
        <v>96</v>
      </c>
      <c r="D84" s="606">
        <f t="shared" si="233"/>
        <v>-201</v>
      </c>
      <c r="E84" s="606">
        <f t="shared" si="233"/>
        <v>-322</v>
      </c>
      <c r="F84" s="606">
        <f t="shared" si="233"/>
        <v>151</v>
      </c>
      <c r="G84" s="606">
        <f t="shared" si="233"/>
        <v>221</v>
      </c>
      <c r="H84" s="606">
        <f t="shared" si="233"/>
        <v>-340</v>
      </c>
      <c r="I84" s="606">
        <f t="shared" si="233"/>
        <v>-205</v>
      </c>
      <c r="J84" s="606">
        <f t="shared" si="233"/>
        <v>400</v>
      </c>
      <c r="K84" s="606">
        <f t="shared" si="233"/>
        <v>201</v>
      </c>
      <c r="L84" s="606">
        <f t="shared" si="233"/>
        <v>-381</v>
      </c>
      <c r="M84" s="606">
        <f t="shared" si="233"/>
        <v>-45</v>
      </c>
      <c r="N84" s="606">
        <f t="shared" si="233"/>
        <v>323</v>
      </c>
      <c r="O84" s="606">
        <f t="shared" si="233"/>
        <v>222</v>
      </c>
      <c r="P84" s="606">
        <f t="shared" si="233"/>
        <v>-273</v>
      </c>
      <c r="Q84" s="606">
        <f t="shared" si="233"/>
        <v>-308</v>
      </c>
      <c r="R84" s="606">
        <f t="shared" si="233"/>
        <v>367</v>
      </c>
      <c r="S84" s="606">
        <f t="shared" si="233"/>
        <v>335</v>
      </c>
      <c r="T84" s="606">
        <f t="shared" si="233"/>
        <v>3</v>
      </c>
      <c r="U84" s="606">
        <f t="shared" si="233"/>
        <v>142</v>
      </c>
      <c r="V84" s="606">
        <f t="shared" si="233"/>
        <v>395</v>
      </c>
      <c r="W84" s="606">
        <f t="shared" si="233"/>
        <v>442</v>
      </c>
      <c r="X84" s="606">
        <f t="shared" si="233"/>
        <v>-140</v>
      </c>
      <c r="Y84" s="606">
        <f t="shared" si="233"/>
        <v>-45</v>
      </c>
      <c r="Z84" s="606">
        <f t="shared" si="233"/>
        <v>899</v>
      </c>
      <c r="AA84" s="606">
        <f t="shared" si="233"/>
        <v>440</v>
      </c>
      <c r="AB84" s="606">
        <f t="shared" si="233"/>
        <v>-38</v>
      </c>
      <c r="AC84" s="606">
        <f t="shared" si="233"/>
        <v>-1</v>
      </c>
      <c r="AD84" s="606">
        <f t="shared" si="233"/>
        <v>566</v>
      </c>
      <c r="AE84" s="606">
        <f t="shared" si="233"/>
        <v>644</v>
      </c>
      <c r="AF84" s="606">
        <f t="shared" si="233"/>
        <v>-22</v>
      </c>
      <c r="AG84" s="606">
        <f t="shared" si="233"/>
        <v>-186</v>
      </c>
      <c r="AH84" s="606">
        <f t="shared" ref="AH84:BN84" si="234">AH81+AH82</f>
        <v>607</v>
      </c>
      <c r="AI84" s="606">
        <f t="shared" si="234"/>
        <v>293</v>
      </c>
      <c r="AJ84" s="606">
        <f t="shared" si="234"/>
        <v>255</v>
      </c>
      <c r="AK84" s="606">
        <f t="shared" si="234"/>
        <v>262</v>
      </c>
      <c r="AL84" s="606">
        <f t="shared" si="234"/>
        <v>209</v>
      </c>
      <c r="AM84" s="606">
        <f t="shared" si="234"/>
        <v>1421</v>
      </c>
      <c r="AN84" s="606">
        <f t="shared" si="234"/>
        <v>854</v>
      </c>
      <c r="AO84" s="606">
        <f t="shared" si="234"/>
        <v>346</v>
      </c>
      <c r="AP84" s="606">
        <f t="shared" si="234"/>
        <v>418</v>
      </c>
      <c r="AQ84" s="606">
        <f t="shared" si="234"/>
        <v>365</v>
      </c>
      <c r="AR84" s="606">
        <f t="shared" si="234"/>
        <v>185</v>
      </c>
      <c r="AS84" s="606">
        <f t="shared" si="234"/>
        <v>211</v>
      </c>
      <c r="AT84" s="606">
        <f t="shared" si="234"/>
        <v>76</v>
      </c>
      <c r="AU84" s="606">
        <f t="shared" si="234"/>
        <v>204</v>
      </c>
      <c r="AV84" s="606">
        <f t="shared" si="234"/>
        <v>294</v>
      </c>
      <c r="AW84" s="606">
        <f t="shared" si="234"/>
        <v>1.2046519224338179</v>
      </c>
      <c r="AX84" s="606">
        <f t="shared" si="234"/>
        <v>110.34035124842964</v>
      </c>
      <c r="AY84" s="606">
        <f t="shared" si="234"/>
        <v>595.47246659210771</v>
      </c>
      <c r="AZ84" s="606">
        <f t="shared" si="234"/>
        <v>428.96773220817573</v>
      </c>
      <c r="BA84" s="606">
        <f t="shared" si="234"/>
        <v>30.824777985407692</v>
      </c>
      <c r="BB84" s="606">
        <f t="shared" si="234"/>
        <v>357.32681472386975</v>
      </c>
      <c r="BC84" s="606">
        <f t="shared" si="234"/>
        <v>673.51725525328209</v>
      </c>
      <c r="BD84" s="606">
        <f t="shared" si="234"/>
        <v>472.42139367704027</v>
      </c>
      <c r="BE84" s="606">
        <f t="shared" si="234"/>
        <v>127.48735655936576</v>
      </c>
      <c r="BF84" s="606">
        <f t="shared" si="234"/>
        <v>403.90583851290558</v>
      </c>
      <c r="BG84" s="606">
        <f t="shared" si="234"/>
        <v>715.92154167751187</v>
      </c>
      <c r="BH84" s="606">
        <f t="shared" si="234"/>
        <v>464.15026185332385</v>
      </c>
      <c r="BI84" s="606">
        <f t="shared" si="234"/>
        <v>209.20381795065782</v>
      </c>
      <c r="BJ84" s="606">
        <f t="shared" si="234"/>
        <v>490.22360355004929</v>
      </c>
      <c r="BK84" s="606">
        <f t="shared" si="234"/>
        <v>799.15774955604331</v>
      </c>
      <c r="BL84" s="606">
        <f t="shared" si="234"/>
        <v>563.07614907057132</v>
      </c>
      <c r="BM84" s="606">
        <f t="shared" si="234"/>
        <v>214.79356403490962</v>
      </c>
      <c r="BN84" s="606">
        <f t="shared" si="234"/>
        <v>506.83611566139143</v>
      </c>
      <c r="BO84" s="607"/>
      <c r="BP84" s="607">
        <f t="shared" ref="BP84:CF84" si="235">BP81+BP82</f>
        <v>-677</v>
      </c>
      <c r="BQ84" s="607">
        <f t="shared" si="235"/>
        <v>-276</v>
      </c>
      <c r="BR84" s="607">
        <f t="shared" si="235"/>
        <v>76</v>
      </c>
      <c r="BS84" s="607">
        <f t="shared" si="235"/>
        <v>98</v>
      </c>
      <c r="BT84" s="607">
        <f t="shared" si="235"/>
        <v>8</v>
      </c>
      <c r="BU84" s="607">
        <f t="shared" si="235"/>
        <v>875</v>
      </c>
      <c r="BV84" s="607">
        <f t="shared" si="235"/>
        <v>1156</v>
      </c>
      <c r="BW84" s="607">
        <f t="shared" si="235"/>
        <v>967</v>
      </c>
      <c r="BX84" s="607">
        <f t="shared" si="235"/>
        <v>1043</v>
      </c>
      <c r="BY84" s="196">
        <f t="shared" si="235"/>
        <v>1019</v>
      </c>
      <c r="BZ84" s="196">
        <f t="shared" si="235"/>
        <v>3039</v>
      </c>
      <c r="CA84" s="196">
        <f t="shared" si="235"/>
        <v>837</v>
      </c>
      <c r="CB84" s="196">
        <f t="shared" si="235"/>
        <v>609.54500317086365</v>
      </c>
      <c r="CC84" s="196">
        <f t="shared" si="235"/>
        <v>1412.5917915095597</v>
      </c>
      <c r="CD84" s="196">
        <f t="shared" si="235"/>
        <v>1677.3318440025942</v>
      </c>
      <c r="CE84" s="196">
        <f t="shared" si="235"/>
        <v>1879.4992250315431</v>
      </c>
      <c r="CF84" s="196">
        <f t="shared" si="235"/>
        <v>2083.8635783229156</v>
      </c>
    </row>
    <row r="86" spans="1:85" s="651" customFormat="1">
      <c r="A86" s="25" t="s">
        <v>480</v>
      </c>
      <c r="B86" s="600">
        <f t="shared" ref="B86:AG86" si="236">B84/B87</f>
        <v>9.0909090909090912E-2</v>
      </c>
      <c r="C86" s="600">
        <f t="shared" si="236"/>
        <v>0.28915662650602408</v>
      </c>
      <c r="D86" s="600">
        <f t="shared" si="236"/>
        <v>-0.61094224924012153</v>
      </c>
      <c r="E86" s="600">
        <f t="shared" si="236"/>
        <v>-0.96987951807228912</v>
      </c>
      <c r="F86" s="600">
        <f t="shared" si="236"/>
        <v>0.44940476190476192</v>
      </c>
      <c r="G86" s="600">
        <f t="shared" si="236"/>
        <v>0.65578635014836795</v>
      </c>
      <c r="H86" s="600">
        <f t="shared" si="236"/>
        <v>-1.0271903323262841</v>
      </c>
      <c r="I86" s="600">
        <f t="shared" si="236"/>
        <v>-0.61746987951807231</v>
      </c>
      <c r="J86" s="600">
        <f t="shared" si="236"/>
        <v>1.2048192771084338</v>
      </c>
      <c r="K86" s="600">
        <f t="shared" si="236"/>
        <v>0.62812500000000004</v>
      </c>
      <c r="L86" s="600">
        <f t="shared" si="236"/>
        <v>-1.2056962025316456</v>
      </c>
      <c r="M86" s="600">
        <f t="shared" si="236"/>
        <v>-0.14802631578947367</v>
      </c>
      <c r="N86" s="600">
        <f t="shared" si="236"/>
        <v>1.0521172638436482</v>
      </c>
      <c r="O86" s="600">
        <f t="shared" si="236"/>
        <v>0.71153846153846156</v>
      </c>
      <c r="P86" s="600">
        <f t="shared" si="236"/>
        <v>-0.88636363636363635</v>
      </c>
      <c r="Q86" s="600">
        <f t="shared" si="236"/>
        <v>-0.99676375404530748</v>
      </c>
      <c r="R86" s="600">
        <f t="shared" si="236"/>
        <v>1.1504702194357366</v>
      </c>
      <c r="S86" s="600">
        <f t="shared" si="236"/>
        <v>1.0403726708074534</v>
      </c>
      <c r="T86" s="600">
        <f t="shared" si="236"/>
        <v>9.316770186335404E-3</v>
      </c>
      <c r="U86" s="600">
        <f t="shared" si="236"/>
        <v>0.43962848297213625</v>
      </c>
      <c r="V86" s="600">
        <f t="shared" si="236"/>
        <v>1.1897590361445782</v>
      </c>
      <c r="W86" s="600">
        <f t="shared" si="236"/>
        <v>1.3194029850746269</v>
      </c>
      <c r="X86" s="600">
        <f t="shared" si="236"/>
        <v>-0.44871794871794873</v>
      </c>
      <c r="Y86" s="600">
        <f t="shared" si="236"/>
        <v>-0.14469453376205788</v>
      </c>
      <c r="Z86" s="600">
        <f t="shared" si="236"/>
        <v>2.7919254658385095</v>
      </c>
      <c r="AA86" s="600">
        <f t="shared" si="236"/>
        <v>1.3968253968253967</v>
      </c>
      <c r="AB86" s="600">
        <f t="shared" si="236"/>
        <v>-0.12624584717607973</v>
      </c>
      <c r="AC86" s="600">
        <f t="shared" si="236"/>
        <v>-3.3003300330033004E-3</v>
      </c>
      <c r="AD86" s="600">
        <f t="shared" si="236"/>
        <v>1.8141025641025641</v>
      </c>
      <c r="AE86" s="600">
        <f t="shared" si="236"/>
        <v>2.0575079872204474</v>
      </c>
      <c r="AF86" s="600">
        <f t="shared" si="236"/>
        <v>-7.1197411003236247E-2</v>
      </c>
      <c r="AG86" s="600">
        <f t="shared" si="236"/>
        <v>-0.60389610389610393</v>
      </c>
      <c r="AH86" s="600">
        <f t="shared" ref="AH86:BM86" si="237">AH84/AH87</f>
        <v>1.9517684887459807</v>
      </c>
      <c r="AI86" s="600">
        <f t="shared" si="237"/>
        <v>0.94516129032258067</v>
      </c>
      <c r="AJ86" s="600">
        <f t="shared" si="237"/>
        <v>0.83061889250814336</v>
      </c>
      <c r="AK86" s="600">
        <f t="shared" si="237"/>
        <v>0.86184210526315785</v>
      </c>
      <c r="AL86" s="600">
        <f t="shared" si="237"/>
        <v>0.69435215946843853</v>
      </c>
      <c r="AM86" s="600">
        <f t="shared" si="237"/>
        <v>4.7525083612040131</v>
      </c>
      <c r="AN86" s="600">
        <f t="shared" si="237"/>
        <v>2.8851351351351351</v>
      </c>
      <c r="AO86" s="600">
        <f t="shared" si="237"/>
        <v>1.1768707482993197</v>
      </c>
      <c r="AP86" s="600">
        <f t="shared" si="237"/>
        <v>1.4315068493150684</v>
      </c>
      <c r="AQ86" s="600">
        <f t="shared" si="237"/>
        <v>1.2542955326460481</v>
      </c>
      <c r="AR86" s="600">
        <f t="shared" si="237"/>
        <v>0.6313993174061433</v>
      </c>
      <c r="AS86" s="600">
        <f t="shared" si="237"/>
        <v>0.7226027397260274</v>
      </c>
      <c r="AT86" s="600">
        <f t="shared" si="237"/>
        <v>0.2638888888888889</v>
      </c>
      <c r="AU86" s="600">
        <f t="shared" si="237"/>
        <v>0.70588235294117652</v>
      </c>
      <c r="AV86" s="600">
        <f t="shared" si="237"/>
        <v>1.024390243902439</v>
      </c>
      <c r="AW86" s="600">
        <f t="shared" si="237"/>
        <v>4.1948508366513575E-3</v>
      </c>
      <c r="AX86" s="600">
        <f t="shared" si="237"/>
        <v>0.38617979552219417</v>
      </c>
      <c r="AY86" s="600">
        <f t="shared" si="237"/>
        <v>2.1172413201924871</v>
      </c>
      <c r="AZ86" s="600">
        <f t="shared" si="237"/>
        <v>1.5334288535747762</v>
      </c>
      <c r="BA86" s="600">
        <f t="shared" si="237"/>
        <v>0.11076493635952238</v>
      </c>
      <c r="BB86" s="600">
        <f t="shared" si="237"/>
        <v>1.2850611138197543</v>
      </c>
      <c r="BC86" s="600">
        <f t="shared" si="237"/>
        <v>2.4141168249026981</v>
      </c>
      <c r="BD86" s="600">
        <f t="shared" si="237"/>
        <v>1.6876907227614313</v>
      </c>
      <c r="BE86" s="600">
        <f t="shared" si="237"/>
        <v>0.45383612828101405</v>
      </c>
      <c r="BF86" s="600">
        <f t="shared" si="237"/>
        <v>1.4329512938117026</v>
      </c>
      <c r="BG86" s="600">
        <f t="shared" si="237"/>
        <v>2.5319888627114491</v>
      </c>
      <c r="BH86" s="600">
        <f t="shared" si="237"/>
        <v>1.6359356363277893</v>
      </c>
      <c r="BI86" s="600">
        <f t="shared" si="237"/>
        <v>0.73464929295364478</v>
      </c>
      <c r="BJ86" s="600">
        <f t="shared" si="237"/>
        <v>1.7158032105573919</v>
      </c>
      <c r="BK86" s="600">
        <f t="shared" si="237"/>
        <v>2.7887237147155624</v>
      </c>
      <c r="BL86" s="600">
        <f t="shared" si="237"/>
        <v>1.9590215492899512</v>
      </c>
      <c r="BM86" s="600">
        <f t="shared" si="237"/>
        <v>0.74490864981281524</v>
      </c>
      <c r="BN86" s="600">
        <f t="shared" ref="BN86" si="238">BN84/BN87</f>
        <v>1.75225788966364</v>
      </c>
      <c r="BO86" s="649"/>
      <c r="BP86" s="649">
        <f t="shared" ref="BP86:CF86" si="239">BP84/BP87</f>
        <v>-2.0798771121351765</v>
      </c>
      <c r="BQ86" s="649">
        <f t="shared" si="239"/>
        <v>-0.83069977426636565</v>
      </c>
      <c r="BR86" s="649">
        <f t="shared" si="239"/>
        <v>0.22822822822822822</v>
      </c>
      <c r="BS86" s="649">
        <f t="shared" si="239"/>
        <v>0.31435445068163592</v>
      </c>
      <c r="BT86" s="649">
        <f t="shared" si="239"/>
        <v>2.564102564102564E-2</v>
      </c>
      <c r="BU86" s="649">
        <f t="shared" si="239"/>
        <v>2.6943802925327174</v>
      </c>
      <c r="BV86" s="649">
        <f t="shared" si="239"/>
        <v>3.6124999999999998</v>
      </c>
      <c r="BW86" s="649">
        <f t="shared" si="239"/>
        <v>3.1421608448415923</v>
      </c>
      <c r="BX86" s="649">
        <f t="shared" si="239"/>
        <v>3.3618049959709912</v>
      </c>
      <c r="BY86" s="217">
        <f t="shared" si="239"/>
        <v>3.3355155482815055</v>
      </c>
      <c r="BZ86" s="217">
        <f t="shared" si="239"/>
        <v>10.292972057578323</v>
      </c>
      <c r="CA86" s="217">
        <f t="shared" si="239"/>
        <v>2.8762886597938144</v>
      </c>
      <c r="CB86" s="217">
        <f t="shared" si="239"/>
        <v>2.1221925383008871</v>
      </c>
      <c r="CC86" s="217">
        <f t="shared" si="239"/>
        <v>5.0569560829784042</v>
      </c>
      <c r="CD86" s="217">
        <f t="shared" si="239"/>
        <v>5.9814272043818901</v>
      </c>
      <c r="CE86" s="217">
        <f t="shared" si="239"/>
        <v>6.6124250469145389</v>
      </c>
      <c r="CF86" s="217">
        <f t="shared" si="239"/>
        <v>7.2382065797363522</v>
      </c>
      <c r="CG86" s="650"/>
    </row>
    <row r="87" spans="1:85">
      <c r="A87" s="8" t="s">
        <v>5</v>
      </c>
      <c r="B87" s="269">
        <f>Drivers!B$302</f>
        <v>330</v>
      </c>
      <c r="C87" s="269">
        <f>Drivers!C$302</f>
        <v>332</v>
      </c>
      <c r="D87" s="269">
        <f>Drivers!D$302</f>
        <v>329</v>
      </c>
      <c r="E87" s="269">
        <f>Drivers!E$302</f>
        <v>332</v>
      </c>
      <c r="F87" s="269">
        <f>Drivers!F$302</f>
        <v>336</v>
      </c>
      <c r="G87" s="269">
        <f>Drivers!G$302</f>
        <v>337</v>
      </c>
      <c r="H87" s="269">
        <f>Drivers!H$302</f>
        <v>331</v>
      </c>
      <c r="I87" s="269">
        <f>Drivers!I$302</f>
        <v>332</v>
      </c>
      <c r="J87" s="269">
        <f>Drivers!J$302</f>
        <v>332</v>
      </c>
      <c r="K87" s="269">
        <f>Drivers!K$302</f>
        <v>320</v>
      </c>
      <c r="L87" s="269">
        <f>Drivers!L$302</f>
        <v>316</v>
      </c>
      <c r="M87" s="269">
        <f>Drivers!M$302</f>
        <v>304</v>
      </c>
      <c r="N87" s="269">
        <f>Drivers!N$302</f>
        <v>307</v>
      </c>
      <c r="O87" s="269">
        <f>Drivers!O$302</f>
        <v>312</v>
      </c>
      <c r="P87" s="269">
        <f>Drivers!P$302</f>
        <v>308</v>
      </c>
      <c r="Q87" s="269">
        <f>Drivers!Q$302</f>
        <v>309</v>
      </c>
      <c r="R87" s="269">
        <f>Drivers!R$302</f>
        <v>319</v>
      </c>
      <c r="S87" s="269">
        <f>Drivers!S$302</f>
        <v>322</v>
      </c>
      <c r="T87" s="269">
        <f>Drivers!T$302</f>
        <v>322</v>
      </c>
      <c r="U87" s="269">
        <f>Drivers!U$302</f>
        <v>323</v>
      </c>
      <c r="V87" s="269">
        <f>Drivers!V$302</f>
        <v>332</v>
      </c>
      <c r="W87" s="269">
        <f>Drivers!W$302</f>
        <v>335</v>
      </c>
      <c r="X87" s="269">
        <f>Drivers!X$302</f>
        <v>312</v>
      </c>
      <c r="Y87" s="269">
        <f>Drivers!Y$302</f>
        <v>311</v>
      </c>
      <c r="Z87" s="269">
        <f>Drivers!Z$302</f>
        <v>322</v>
      </c>
      <c r="AA87" s="269">
        <f>Drivers!AA$302</f>
        <v>315</v>
      </c>
      <c r="AB87" s="269">
        <f>Drivers!AB$302</f>
        <v>301</v>
      </c>
      <c r="AC87" s="269">
        <f>Drivers!AC$302</f>
        <v>303</v>
      </c>
      <c r="AD87" s="269">
        <f>Drivers!AD$302</f>
        <v>312</v>
      </c>
      <c r="AE87" s="269">
        <f>Drivers!AE$302</f>
        <v>313</v>
      </c>
      <c r="AF87" s="269">
        <f>Drivers!AF$302</f>
        <v>309</v>
      </c>
      <c r="AG87" s="269">
        <f>Drivers!AG$302</f>
        <v>308</v>
      </c>
      <c r="AH87" s="269">
        <f>Drivers!AH$302</f>
        <v>311</v>
      </c>
      <c r="AI87" s="269">
        <f>Drivers!AI$302</f>
        <v>310</v>
      </c>
      <c r="AJ87" s="269">
        <f>Drivers!AJ$302</f>
        <v>307</v>
      </c>
      <c r="AK87" s="269">
        <f>Drivers!AK$302</f>
        <v>304</v>
      </c>
      <c r="AL87" s="269">
        <f>Drivers!AL$302</f>
        <v>301</v>
      </c>
      <c r="AM87" s="269">
        <f>Drivers!AM$302</f>
        <v>299</v>
      </c>
      <c r="AN87" s="269">
        <f>Drivers!AN$302</f>
        <v>296</v>
      </c>
      <c r="AO87" s="269">
        <f>Drivers!AO$302</f>
        <v>294</v>
      </c>
      <c r="AP87" s="269">
        <f>Drivers!AP$302</f>
        <v>292</v>
      </c>
      <c r="AQ87" s="269">
        <f>Drivers!AQ$302</f>
        <v>291</v>
      </c>
      <c r="AR87" s="269">
        <f>Drivers!AR$302</f>
        <v>293</v>
      </c>
      <c r="AS87" s="269">
        <f>Drivers!AS$302</f>
        <v>292</v>
      </c>
      <c r="AT87" s="269">
        <f>Drivers!AT$302</f>
        <v>288</v>
      </c>
      <c r="AU87" s="269">
        <f>Drivers!AU$302</f>
        <v>289</v>
      </c>
      <c r="AV87" s="269">
        <f>Drivers!AV$302</f>
        <v>287</v>
      </c>
      <c r="AW87" s="269">
        <f>Drivers!AW$302</f>
        <v>287.17395906154815</v>
      </c>
      <c r="AX87" s="269">
        <f>Drivers!AX$302</f>
        <v>285.7227450214657</v>
      </c>
      <c r="AY87" s="269">
        <f>Drivers!AY$302</f>
        <v>281.24921845846598</v>
      </c>
      <c r="AZ87" s="269">
        <f>Drivers!AZ$302</f>
        <v>279.74413759605022</v>
      </c>
      <c r="BA87" s="269">
        <f>Drivers!BA$302</f>
        <v>278.29003472142301</v>
      </c>
      <c r="BB87" s="269">
        <f>Drivers!BB$302</f>
        <v>278.06211773208264</v>
      </c>
      <c r="BC87" s="269">
        <f>Drivers!BC$302</f>
        <v>278.99116078627571</v>
      </c>
      <c r="BD87" s="269">
        <f>Drivers!BD$302</f>
        <v>279.92178146482638</v>
      </c>
      <c r="BE87" s="269">
        <f>Drivers!BE$302</f>
        <v>280.91055033949601</v>
      </c>
      <c r="BF87" s="269">
        <f>Drivers!BF$302</f>
        <v>281.86990043360186</v>
      </c>
      <c r="BG87" s="269">
        <f>Drivers!BG$302</f>
        <v>282.75066775406265</v>
      </c>
      <c r="BH87" s="269">
        <f>Drivers!BH$302</f>
        <v>283.72159120832487</v>
      </c>
      <c r="BI87" s="269">
        <f>Drivers!BI$302</f>
        <v>284.7669220636659</v>
      </c>
      <c r="BJ87" s="269">
        <f>Drivers!BJ$302</f>
        <v>285.7108557284937</v>
      </c>
      <c r="BK87" s="269">
        <f>Drivers!BK$302</f>
        <v>286.56755968296198</v>
      </c>
      <c r="BL87" s="269">
        <f>Drivers!BL$302</f>
        <v>287.42723594574989</v>
      </c>
      <c r="BM87" s="269">
        <f>Drivers!BM$302</f>
        <v>288.34886544663448</v>
      </c>
      <c r="BN87" s="269">
        <f>Drivers!BN$302</f>
        <v>289.24744391288357</v>
      </c>
      <c r="BO87" s="269"/>
      <c r="BP87" s="269">
        <v>325.5</v>
      </c>
      <c r="BQ87" s="269">
        <f>AVERAGE(C87:F87)</f>
        <v>332.25</v>
      </c>
      <c r="BR87" s="269">
        <f>AVERAGE(G87:J87)</f>
        <v>333</v>
      </c>
      <c r="BS87" s="269">
        <f>AVERAGE(K87:N87)</f>
        <v>311.75</v>
      </c>
      <c r="BT87" s="269">
        <f>AVERAGE(O87:R87)</f>
        <v>312</v>
      </c>
      <c r="BU87" s="269">
        <f>AVERAGE(S87:V87)</f>
        <v>324.75</v>
      </c>
      <c r="BV87" s="269">
        <f>AVERAGE(W87:Z87)</f>
        <v>320</v>
      </c>
      <c r="BW87" s="269">
        <f>AVERAGE(AA87:AD87)</f>
        <v>307.75</v>
      </c>
      <c r="BX87" s="269">
        <f>AVERAGE(AE87:AH87)</f>
        <v>310.25</v>
      </c>
      <c r="BY87" s="210">
        <f>AVERAGE(AI87:AL87)</f>
        <v>305.5</v>
      </c>
      <c r="BZ87" s="210">
        <f>AVERAGE(AM87:AP87)</f>
        <v>295.25</v>
      </c>
      <c r="CA87" s="210">
        <f>AVERAGE(AQ87:AT87)</f>
        <v>291</v>
      </c>
      <c r="CB87" s="210">
        <f>AVERAGE(AU87:AX87)</f>
        <v>287.22417602075348</v>
      </c>
      <c r="CC87" s="210">
        <f>AVERAGE(AY87:BB87)</f>
        <v>279.33637712700545</v>
      </c>
      <c r="CD87" s="210">
        <f>AVERAGE(BC87:BF87)</f>
        <v>280.42334825604996</v>
      </c>
      <c r="CE87" s="210">
        <f>AVERAGE(BG87:BJ87)</f>
        <v>284.23750918863675</v>
      </c>
      <c r="CF87" s="210">
        <f>AVERAGE(BK87:BN87)</f>
        <v>287.89777624705749</v>
      </c>
    </row>
    <row r="88" spans="1:85">
      <c r="A88" s="8"/>
      <c r="B88" s="269"/>
      <c r="C88" s="269"/>
      <c r="D88" s="269"/>
      <c r="E88" s="269"/>
      <c r="F88" s="269"/>
      <c r="G88" s="269"/>
      <c r="H88" s="269"/>
      <c r="I88" s="269"/>
      <c r="J88" s="269"/>
      <c r="K88" s="269"/>
      <c r="L88" s="269"/>
      <c r="M88" s="269"/>
      <c r="N88" s="269"/>
      <c r="O88" s="269"/>
      <c r="P88" s="269"/>
      <c r="Q88" s="269"/>
      <c r="R88" s="269"/>
      <c r="S88" s="269"/>
      <c r="T88" s="269"/>
      <c r="U88" s="269"/>
      <c r="V88" s="269"/>
      <c r="W88" s="269"/>
      <c r="X88" s="269"/>
      <c r="Y88" s="269"/>
      <c r="Z88" s="269"/>
      <c r="AA88" s="269"/>
      <c r="AB88" s="269"/>
      <c r="AC88" s="269"/>
      <c r="AD88" s="269"/>
      <c r="AE88" s="269"/>
      <c r="AF88" s="269"/>
      <c r="AG88" s="269"/>
      <c r="AH88" s="269"/>
      <c r="AI88" s="269"/>
      <c r="AJ88" s="269"/>
      <c r="AK88" s="269"/>
      <c r="AL88" s="269"/>
      <c r="AM88" s="269"/>
      <c r="AN88" s="269"/>
      <c r="AO88" s="269"/>
      <c r="AP88" s="269"/>
      <c r="AQ88" s="269"/>
      <c r="AR88" s="269"/>
      <c r="AS88" s="269"/>
      <c r="AT88" s="269"/>
      <c r="AU88" s="269"/>
      <c r="AV88" s="269"/>
      <c r="AW88" s="269"/>
      <c r="AX88" s="269"/>
      <c r="AY88" s="269"/>
      <c r="AZ88" s="269"/>
      <c r="BA88" s="269"/>
      <c r="BB88" s="269"/>
      <c r="BC88" s="269"/>
      <c r="BD88" s="269"/>
      <c r="BE88" s="269"/>
      <c r="BF88" s="269"/>
      <c r="BG88" s="269"/>
      <c r="BH88" s="269"/>
      <c r="BI88" s="269"/>
      <c r="BJ88" s="269"/>
      <c r="BK88" s="269"/>
      <c r="BL88" s="269"/>
      <c r="BM88" s="269"/>
      <c r="BN88" s="269"/>
      <c r="BO88" s="269"/>
      <c r="BP88" s="269"/>
      <c r="BQ88" s="269"/>
      <c r="BR88" s="269"/>
      <c r="BS88" s="269"/>
      <c r="BT88" s="269"/>
      <c r="BU88" s="269"/>
      <c r="BV88" s="269"/>
      <c r="BW88" s="269"/>
      <c r="BX88" s="269"/>
      <c r="BY88" s="210"/>
      <c r="BZ88" s="210"/>
      <c r="CA88" s="210"/>
      <c r="CB88" s="210"/>
      <c r="CC88" s="210"/>
      <c r="CD88" s="210"/>
      <c r="CE88" s="210"/>
      <c r="CF88" s="210"/>
    </row>
    <row r="89" spans="1:85" s="12" customFormat="1">
      <c r="A89" s="634" t="s">
        <v>290</v>
      </c>
      <c r="BY89" s="304"/>
      <c r="BZ89" s="304"/>
      <c r="CA89" s="304"/>
      <c r="CB89" s="305"/>
      <c r="CC89" s="305"/>
      <c r="CD89" s="305"/>
      <c r="CE89" s="305"/>
      <c r="CF89" s="305"/>
    </row>
    <row r="90" spans="1:85" s="132" customFormat="1">
      <c r="A90" s="266" t="s">
        <v>289</v>
      </c>
      <c r="B90" s="235" t="s">
        <v>17</v>
      </c>
      <c r="C90" s="235" t="s">
        <v>17</v>
      </c>
      <c r="D90" s="235" t="s">
        <v>17</v>
      </c>
      <c r="E90" s="235" t="s">
        <v>17</v>
      </c>
      <c r="F90" s="235">
        <f t="shared" ref="F90:AK90" si="240">F63/B63-1</f>
        <v>0.11338100102145043</v>
      </c>
      <c r="G90" s="235">
        <f t="shared" si="240"/>
        <v>0.2257668711656442</v>
      </c>
      <c r="H90" s="235">
        <f t="shared" si="240"/>
        <v>0.13312202852614896</v>
      </c>
      <c r="I90" s="235">
        <f t="shared" si="240"/>
        <v>7.5973409306742123E-3</v>
      </c>
      <c r="J90" s="235">
        <f t="shared" si="240"/>
        <v>0.2550458715596331</v>
      </c>
      <c r="K90" s="235">
        <f t="shared" si="240"/>
        <v>-4.4044044044044051E-2</v>
      </c>
      <c r="L90" s="235">
        <f t="shared" si="240"/>
        <v>-5.5944055944056048E-3</v>
      </c>
      <c r="M90" s="235">
        <f t="shared" si="240"/>
        <v>-0.13100848256361919</v>
      </c>
      <c r="N90" s="235">
        <f t="shared" si="240"/>
        <v>-0.11622807017543857</v>
      </c>
      <c r="O90" s="235">
        <f t="shared" si="240"/>
        <v>-6.2827225130890341E-3</v>
      </c>
      <c r="P90" s="235">
        <f t="shared" si="240"/>
        <v>-2.2503516174402272E-2</v>
      </c>
      <c r="Q90" s="235">
        <f t="shared" si="240"/>
        <v>-0.12364425162689807</v>
      </c>
      <c r="R90" s="235">
        <f t="shared" si="240"/>
        <v>-7.1133167907361461E-2</v>
      </c>
      <c r="S90" s="235">
        <f t="shared" si="240"/>
        <v>0.27924130663856683</v>
      </c>
      <c r="T90" s="235">
        <f t="shared" si="240"/>
        <v>0.42446043165467628</v>
      </c>
      <c r="U90" s="235">
        <f t="shared" si="240"/>
        <v>0.39356435643564347</v>
      </c>
      <c r="V90" s="235">
        <f t="shared" si="240"/>
        <v>5.5209260908281488E-2</v>
      </c>
      <c r="W90" s="235">
        <f t="shared" si="240"/>
        <v>-9.0609555189455904E-3</v>
      </c>
      <c r="X90" s="235">
        <f t="shared" si="240"/>
        <v>-0.1767676767676768</v>
      </c>
      <c r="Y90" s="235">
        <f t="shared" si="240"/>
        <v>-4.9733570159857909E-2</v>
      </c>
      <c r="Z90" s="235">
        <f t="shared" si="240"/>
        <v>0.10379746835443049</v>
      </c>
      <c r="AA90" s="235">
        <f t="shared" si="240"/>
        <v>5.652535328345798E-2</v>
      </c>
      <c r="AB90" s="235">
        <f t="shared" si="240"/>
        <v>0.10184049079754609</v>
      </c>
      <c r="AC90" s="235">
        <f t="shared" si="240"/>
        <v>7.3831775700934577E-2</v>
      </c>
      <c r="AD90" s="235">
        <f t="shared" si="240"/>
        <v>0.16743119266055051</v>
      </c>
      <c r="AE90" s="235">
        <f t="shared" si="240"/>
        <v>0.14004720692368222</v>
      </c>
      <c r="AF90" s="235">
        <f t="shared" si="240"/>
        <v>6.7928730512249347E-2</v>
      </c>
      <c r="AG90" s="235">
        <f t="shared" si="240"/>
        <v>9.5735422106180135E-3</v>
      </c>
      <c r="AH90" s="235">
        <f t="shared" si="240"/>
        <v>3.6018336607727575E-2</v>
      </c>
      <c r="AI90" s="235">
        <f t="shared" si="240"/>
        <v>-0.21532091097308492</v>
      </c>
      <c r="AJ90" s="235">
        <f t="shared" si="240"/>
        <v>0.34098018769551608</v>
      </c>
      <c r="AK90" s="235">
        <f t="shared" si="240"/>
        <v>0.11120689655172411</v>
      </c>
      <c r="AL90" s="235">
        <f t="shared" ref="AL90:BN90" si="241">AL63/AH63-1</f>
        <v>-0.21744627054361565</v>
      </c>
      <c r="AM90" s="235">
        <f t="shared" si="241"/>
        <v>6.3324538258575203E-2</v>
      </c>
      <c r="AN90" s="235">
        <f t="shared" si="241"/>
        <v>4.8211508553654747E-2</v>
      </c>
      <c r="AO90" s="235">
        <f t="shared" si="241"/>
        <v>0.23584173778122586</v>
      </c>
      <c r="AP90" s="235">
        <f t="shared" si="241"/>
        <v>0.12035541195476585</v>
      </c>
      <c r="AQ90" s="235">
        <f t="shared" si="241"/>
        <v>0.20678246484698093</v>
      </c>
      <c r="AR90" s="235">
        <f t="shared" si="241"/>
        <v>-0.14614243323442133</v>
      </c>
      <c r="AS90" s="235">
        <f t="shared" si="241"/>
        <v>5.0219711236660469E-2</v>
      </c>
      <c r="AT90" s="235">
        <f t="shared" si="241"/>
        <v>-2.9560201874549441E-2</v>
      </c>
      <c r="AU90" s="235">
        <f t="shared" si="241"/>
        <v>6.3056888279643619E-2</v>
      </c>
      <c r="AV90" s="235">
        <f t="shared" si="241"/>
        <v>0.58644656820156382</v>
      </c>
      <c r="AW90" s="235">
        <f t="shared" si="241"/>
        <v>4.1516063956963611E-2</v>
      </c>
      <c r="AX90" s="235">
        <f t="shared" si="241"/>
        <v>0.34151627971768228</v>
      </c>
      <c r="AY90" s="235">
        <f t="shared" si="241"/>
        <v>0.33641604846935969</v>
      </c>
      <c r="AZ90" s="235">
        <f t="shared" si="241"/>
        <v>0.16940022654515485</v>
      </c>
      <c r="BA90" s="235">
        <f t="shared" si="241"/>
        <v>0.13197943596458739</v>
      </c>
      <c r="BB90" s="235">
        <f t="shared" si="241"/>
        <v>4.9847078093684161E-2</v>
      </c>
      <c r="BC90" s="235">
        <f t="shared" si="241"/>
        <v>2.2719030027028131E-2</v>
      </c>
      <c r="BD90" s="235">
        <f t="shared" si="241"/>
        <v>3.1264449540919559E-2</v>
      </c>
      <c r="BE90" s="235">
        <f t="shared" si="241"/>
        <v>4.5405710713378733E-2</v>
      </c>
      <c r="BF90" s="235">
        <f t="shared" si="241"/>
        <v>4.6277642857907475E-2</v>
      </c>
      <c r="BG90" s="235">
        <f t="shared" si="241"/>
        <v>4.0037689505254548E-2</v>
      </c>
      <c r="BH90" s="235">
        <f t="shared" si="241"/>
        <v>0.14340884283554245</v>
      </c>
      <c r="BI90" s="235">
        <f t="shared" si="241"/>
        <v>0.11265746491418893</v>
      </c>
      <c r="BJ90" s="235">
        <f t="shared" si="241"/>
        <v>9.2104008318594444E-2</v>
      </c>
      <c r="BK90" s="235">
        <f t="shared" si="241"/>
        <v>7.1793447127161736E-2</v>
      </c>
      <c r="BL90" s="235">
        <f t="shared" si="241"/>
        <v>-2.8800807591583211E-2</v>
      </c>
      <c r="BM90" s="235">
        <f t="shared" si="241"/>
        <v>2.2889713572435966E-2</v>
      </c>
      <c r="BN90" s="235">
        <f t="shared" si="241"/>
        <v>3.3505375339465848E-2</v>
      </c>
      <c r="BO90" s="160"/>
      <c r="BP90" s="160" t="s">
        <v>17</v>
      </c>
      <c r="BQ90" s="160">
        <f t="shared" ref="BQ90:CF90" si="242">BQ63/BP63-1</f>
        <v>-1.7788724685276369E-2</v>
      </c>
      <c r="BR90" s="160">
        <f t="shared" si="242"/>
        <v>0.15436054611312344</v>
      </c>
      <c r="BS90" s="160">
        <f t="shared" si="242"/>
        <v>-8.3514361573738816E-2</v>
      </c>
      <c r="BT90" s="160">
        <f t="shared" si="242"/>
        <v>-5.8467210956017923E-2</v>
      </c>
      <c r="BU90" s="160">
        <f t="shared" si="242"/>
        <v>0.26293706293706287</v>
      </c>
      <c r="BV90" s="160">
        <f t="shared" si="242"/>
        <v>-2.635658914728678E-2</v>
      </c>
      <c r="BW90" s="160">
        <f t="shared" si="242"/>
        <v>0.10213830755232034</v>
      </c>
      <c r="BX90" s="160">
        <f t="shared" si="242"/>
        <v>6.2951496388028882E-2</v>
      </c>
      <c r="BY90" s="160">
        <f t="shared" si="242"/>
        <v>-3.8834951456310662E-2</v>
      </c>
      <c r="BZ90" s="160">
        <f t="shared" si="242"/>
        <v>0.11858585858585857</v>
      </c>
      <c r="CA90" s="160">
        <f t="shared" si="242"/>
        <v>1.6615495755824439E-2</v>
      </c>
      <c r="CB90" s="160">
        <f t="shared" si="242"/>
        <v>0.23026066574880089</v>
      </c>
      <c r="CC90" s="160">
        <f t="shared" si="242"/>
        <v>0.16621799454405273</v>
      </c>
      <c r="CD90" s="160">
        <f t="shared" si="242"/>
        <v>3.6048882424569273E-2</v>
      </c>
      <c r="CE90" s="160">
        <f t="shared" si="242"/>
        <v>9.7480198362430048E-2</v>
      </c>
      <c r="CF90" s="160">
        <f t="shared" si="242"/>
        <v>2.2962050268984457E-2</v>
      </c>
    </row>
    <row r="91" spans="1:85">
      <c r="A91" s="8" t="s">
        <v>121</v>
      </c>
      <c r="B91" s="235" t="s">
        <v>17</v>
      </c>
      <c r="C91" s="235" t="s">
        <v>17</v>
      </c>
      <c r="D91" s="235" t="s">
        <v>17</v>
      </c>
      <c r="E91" s="235" t="s">
        <v>17</v>
      </c>
      <c r="F91" s="235">
        <f t="shared" ref="F91:O92" si="243">IF(AND(B65&lt;0,F65&gt;0),"n/a",F65/B65-1)</f>
        <v>0.10067114093959728</v>
      </c>
      <c r="G91" s="235">
        <f t="shared" si="243"/>
        <v>8.1081081081081141E-2</v>
      </c>
      <c r="H91" s="235">
        <f t="shared" si="243"/>
        <v>0.19008264462809921</v>
      </c>
      <c r="I91" s="235">
        <f t="shared" si="243"/>
        <v>-5.8020477815699634E-2</v>
      </c>
      <c r="J91" s="235">
        <f t="shared" si="243"/>
        <v>0.14024390243902429</v>
      </c>
      <c r="K91" s="235">
        <f t="shared" si="243"/>
        <v>-0.14583333333333337</v>
      </c>
      <c r="L91" s="235">
        <f t="shared" si="243"/>
        <v>3.009259259259256E-2</v>
      </c>
      <c r="M91" s="235">
        <f t="shared" si="243"/>
        <v>-0.22282608695652173</v>
      </c>
      <c r="N91" s="235">
        <f t="shared" si="243"/>
        <v>-0.1737967914438503</v>
      </c>
      <c r="O91" s="235">
        <f t="shared" si="243"/>
        <v>-5.3658536585365901E-2</v>
      </c>
      <c r="P91" s="235">
        <f t="shared" ref="P91:Y92" si="244">IF(AND(L65&lt;0,P65&gt;0),"n/a",P65/L65-1)</f>
        <v>-7.1910112359550582E-2</v>
      </c>
      <c r="Q91" s="235">
        <f t="shared" si="244"/>
        <v>0.20512820512820507</v>
      </c>
      <c r="R91" s="235">
        <f t="shared" si="244"/>
        <v>-0.27831715210355989</v>
      </c>
      <c r="S91" s="235">
        <f t="shared" si="244"/>
        <v>0.89175257731958757</v>
      </c>
      <c r="T91" s="235">
        <f t="shared" si="244"/>
        <v>3.3898305084745672E-2</v>
      </c>
      <c r="U91" s="235">
        <f t="shared" si="244"/>
        <v>-0.22437137330754353</v>
      </c>
      <c r="V91" s="235">
        <f t="shared" si="244"/>
        <v>4.9327354260089606E-2</v>
      </c>
      <c r="W91" s="235">
        <f t="shared" si="244"/>
        <v>-0.52861035422343328</v>
      </c>
      <c r="X91" s="235">
        <f t="shared" si="244"/>
        <v>-4.2154566744730726E-2</v>
      </c>
      <c r="Y91" s="235">
        <f t="shared" si="244"/>
        <v>0.36159600997506236</v>
      </c>
      <c r="Z91" s="235">
        <f t="shared" ref="Z91:AI92" si="245">IF(AND(V65&lt;0,Z65&gt;0),"n/a",Z65/V65-1)</f>
        <v>-3.4188034188034178E-2</v>
      </c>
      <c r="AA91" s="235">
        <f t="shared" si="245"/>
        <v>3.4682080924855585E-2</v>
      </c>
      <c r="AB91" s="235">
        <f t="shared" si="245"/>
        <v>-1.9559902200488977E-2</v>
      </c>
      <c r="AC91" s="235">
        <f t="shared" si="245"/>
        <v>-5.4945054945054972E-2</v>
      </c>
      <c r="AD91" s="235">
        <f t="shared" si="245"/>
        <v>-0.10619469026548678</v>
      </c>
      <c r="AE91" s="235">
        <f t="shared" si="245"/>
        <v>-0.13966480446927376</v>
      </c>
      <c r="AF91" s="235">
        <f t="shared" si="245"/>
        <v>-2.9925187032418976E-2</v>
      </c>
      <c r="AG91" s="235">
        <f t="shared" si="245"/>
        <v>-2.9069767441860517E-2</v>
      </c>
      <c r="AH91" s="235">
        <f t="shared" si="245"/>
        <v>0.15346534653465338</v>
      </c>
      <c r="AI91" s="235">
        <f t="shared" si="245"/>
        <v>0.39610389610389607</v>
      </c>
      <c r="AJ91" s="235">
        <f t="shared" ref="AJ91:AS92" si="246">IF(AND(AF65&lt;0,AJ65&gt;0),"n/a",AJ65/AF65-1)</f>
        <v>7.455012853470433E-2</v>
      </c>
      <c r="AK91" s="235">
        <f t="shared" si="246"/>
        <v>-0.17564870259481036</v>
      </c>
      <c r="AL91" s="235">
        <f t="shared" si="246"/>
        <v>0.18454935622317592</v>
      </c>
      <c r="AM91" s="235">
        <f t="shared" si="246"/>
        <v>-0.13023255813953494</v>
      </c>
      <c r="AN91" s="235">
        <f t="shared" si="246"/>
        <v>-3.1100478468899517E-2</v>
      </c>
      <c r="AO91" s="235">
        <f t="shared" si="246"/>
        <v>0.23002421307506049</v>
      </c>
      <c r="AP91" s="235">
        <f t="shared" si="246"/>
        <v>-2.5362318840579712E-2</v>
      </c>
      <c r="AQ91" s="235">
        <f t="shared" si="246"/>
        <v>0.54010695187165769</v>
      </c>
      <c r="AR91" s="235">
        <f t="shared" si="246"/>
        <v>-0.29382716049382718</v>
      </c>
      <c r="AS91" s="235">
        <f t="shared" si="246"/>
        <v>0.18307086614173218</v>
      </c>
      <c r="AT91" s="235">
        <f t="shared" ref="AT91:BC92" si="247">IF(AND(AP65&lt;0,AT65&gt;0),"n/a",AT65/AP65-1)</f>
        <v>0.18587360594795532</v>
      </c>
      <c r="AU91" s="235">
        <f t="shared" si="247"/>
        <v>9.375E-2</v>
      </c>
      <c r="AV91" s="235">
        <f t="shared" si="247"/>
        <v>0.72727272727272729</v>
      </c>
      <c r="AW91" s="235">
        <f t="shared" si="247"/>
        <v>4.4569976948142243E-2</v>
      </c>
      <c r="AX91" s="235">
        <f t="shared" si="247"/>
        <v>0.27493703818560467</v>
      </c>
      <c r="AY91" s="235">
        <f t="shared" si="247"/>
        <v>0.13648720899291633</v>
      </c>
      <c r="AZ91" s="235">
        <f t="shared" si="247"/>
        <v>8.1858917528490061E-2</v>
      </c>
      <c r="BA91" s="235">
        <f t="shared" si="247"/>
        <v>8.6379661057067514E-2</v>
      </c>
      <c r="BB91" s="235">
        <f t="shared" si="247"/>
        <v>-9.312416015868874E-2</v>
      </c>
      <c r="BC91" s="235">
        <f t="shared" si="247"/>
        <v>-5.6942158404056031E-2</v>
      </c>
      <c r="BD91" s="235">
        <f t="shared" ref="BD91:BM92" si="248">IF(AND(AZ65&lt;0,BD65&gt;0),"n/a",BD65/AZ65-1)</f>
        <v>-2.202430805431721E-2</v>
      </c>
      <c r="BE91" s="235">
        <f t="shared" si="248"/>
        <v>-3.1556301173755297E-2</v>
      </c>
      <c r="BF91" s="235">
        <f t="shared" si="248"/>
        <v>4.4137557848785924E-2</v>
      </c>
      <c r="BG91" s="235">
        <f t="shared" si="248"/>
        <v>4.9014662243770157E-2</v>
      </c>
      <c r="BH91" s="235">
        <f t="shared" si="248"/>
        <v>0.21894636548682089</v>
      </c>
      <c r="BI91" s="235">
        <f t="shared" si="248"/>
        <v>7.5744270694193983E-2</v>
      </c>
      <c r="BJ91" s="235">
        <f t="shared" si="248"/>
        <v>6.8408447535189376E-2</v>
      </c>
      <c r="BK91" s="235">
        <f t="shared" si="248"/>
        <v>6.4800425881837986E-2</v>
      </c>
      <c r="BL91" s="235">
        <f t="shared" si="248"/>
        <v>-9.0142144633334587E-2</v>
      </c>
      <c r="BM91" s="235">
        <f t="shared" si="248"/>
        <v>2.8472886026807531E-2</v>
      </c>
      <c r="BN91" s="235">
        <f t="shared" ref="BN91:BN92" si="249">IF(AND(BJ65&lt;0,BN65&gt;0),"n/a",BN65/BJ65-1)</f>
        <v>5.0576896132419114E-2</v>
      </c>
      <c r="BO91" s="160"/>
      <c r="BP91" s="160" t="s">
        <v>17</v>
      </c>
      <c r="BQ91" s="160">
        <f t="shared" ref="BQ91:CF91" si="250">IF(AND(BP65&lt;0,BQ65&gt;0),"n/a",BQ65/BP65-1)</f>
        <v>-0.19667738478027863</v>
      </c>
      <c r="BR91" s="160">
        <f t="shared" si="250"/>
        <v>6.6044029352901878E-2</v>
      </c>
      <c r="BS91" s="160">
        <f t="shared" si="250"/>
        <v>-0.13141426783479349</v>
      </c>
      <c r="BT91" s="160">
        <f t="shared" si="250"/>
        <v>-2.9538904899135465E-2</v>
      </c>
      <c r="BU91" s="160">
        <f t="shared" si="250"/>
        <v>6.0876020786933882E-2</v>
      </c>
      <c r="BV91" s="160">
        <f t="shared" si="250"/>
        <v>-5.2484254723582979E-2</v>
      </c>
      <c r="BW91" s="160">
        <f t="shared" si="250"/>
        <v>-4.1358936484490405E-2</v>
      </c>
      <c r="BX91" s="160">
        <f t="shared" si="250"/>
        <v>-1.6178736517719616E-2</v>
      </c>
      <c r="BY91" s="160">
        <f t="shared" si="250"/>
        <v>3.5238841033672585E-2</v>
      </c>
      <c r="BZ91" s="160">
        <f t="shared" si="250"/>
        <v>3.5552193645990826E-2</v>
      </c>
      <c r="CA91" s="160">
        <f t="shared" si="250"/>
        <v>9.1307523739956098E-2</v>
      </c>
      <c r="CB91" s="160">
        <f t="shared" si="250"/>
        <v>0.23393003435544935</v>
      </c>
      <c r="CC91" s="160">
        <f t="shared" si="250"/>
        <v>5.4128654198444259E-2</v>
      </c>
      <c r="CD91" s="160">
        <f t="shared" si="250"/>
        <v>-1.9244870491336052E-2</v>
      </c>
      <c r="CE91" s="160">
        <f t="shared" si="250"/>
        <v>0.10879876098458752</v>
      </c>
      <c r="CF91" s="160">
        <f t="shared" si="250"/>
        <v>3.1043739960214811E-3</v>
      </c>
    </row>
    <row r="92" spans="1:85">
      <c r="A92" s="8" t="s">
        <v>369</v>
      </c>
      <c r="B92" s="235" t="s">
        <v>17</v>
      </c>
      <c r="C92" s="235" t="s">
        <v>17</v>
      </c>
      <c r="D92" s="235" t="s">
        <v>17</v>
      </c>
      <c r="E92" s="235" t="s">
        <v>17</v>
      </c>
      <c r="F92" s="235">
        <f t="shared" si="243"/>
        <v>0.11894273127753308</v>
      </c>
      <c r="G92" s="235">
        <f t="shared" si="243"/>
        <v>0.2799325463743676</v>
      </c>
      <c r="H92" s="235">
        <f t="shared" si="243"/>
        <v>5.5970149253731449E-2</v>
      </c>
      <c r="I92" s="235">
        <f t="shared" si="243"/>
        <v>8.9935760171306223E-2</v>
      </c>
      <c r="J92" s="235">
        <f t="shared" si="243"/>
        <v>0.3044619422572179</v>
      </c>
      <c r="K92" s="235">
        <f t="shared" si="243"/>
        <v>-1.1857707509881465E-2</v>
      </c>
      <c r="L92" s="235">
        <f t="shared" si="243"/>
        <v>-6.0070671378091856E-2</v>
      </c>
      <c r="M92" s="235">
        <f t="shared" si="243"/>
        <v>-3.143418467583492E-2</v>
      </c>
      <c r="N92" s="235">
        <f t="shared" si="243"/>
        <v>-9.4567404426559309E-2</v>
      </c>
      <c r="O92" s="235">
        <f t="shared" si="243"/>
        <v>6.6666666666665986E-3</v>
      </c>
      <c r="P92" s="235">
        <f t="shared" si="244"/>
        <v>6.0150375939849621E-2</v>
      </c>
      <c r="Q92" s="235">
        <f t="shared" si="244"/>
        <v>-0.40973630831643004</v>
      </c>
      <c r="R92" s="235">
        <f t="shared" si="244"/>
        <v>0</v>
      </c>
      <c r="S92" s="235">
        <f t="shared" si="244"/>
        <v>0.12185430463576163</v>
      </c>
      <c r="T92" s="235">
        <f t="shared" si="244"/>
        <v>0.99645390070921991</v>
      </c>
      <c r="U92" s="235">
        <f t="shared" si="244"/>
        <v>1.4914089347079038</v>
      </c>
      <c r="V92" s="235">
        <f t="shared" si="244"/>
        <v>5.6666666666666643E-2</v>
      </c>
      <c r="W92" s="235">
        <f t="shared" si="244"/>
        <v>0.21605667060212519</v>
      </c>
      <c r="X92" s="235">
        <f t="shared" si="244"/>
        <v>-0.27886323268206037</v>
      </c>
      <c r="Y92" s="235">
        <f t="shared" si="244"/>
        <v>-0.27724137931034487</v>
      </c>
      <c r="Z92" s="235">
        <f t="shared" si="245"/>
        <v>0.13774973711882232</v>
      </c>
      <c r="AA92" s="235">
        <f t="shared" si="245"/>
        <v>6.0194174757281615E-2</v>
      </c>
      <c r="AB92" s="235">
        <f t="shared" si="245"/>
        <v>0.22413793103448265</v>
      </c>
      <c r="AC92" s="235">
        <f t="shared" si="245"/>
        <v>0.20801526717557262</v>
      </c>
      <c r="AD92" s="235">
        <f t="shared" si="245"/>
        <v>0.22458410351201485</v>
      </c>
      <c r="AE92" s="235">
        <f t="shared" si="245"/>
        <v>0.1858974358974359</v>
      </c>
      <c r="AF92" s="235">
        <f t="shared" si="245"/>
        <v>0.14688128772635811</v>
      </c>
      <c r="AG92" s="235">
        <f t="shared" si="245"/>
        <v>4.1074249605055346E-2</v>
      </c>
      <c r="AH92" s="235">
        <f t="shared" si="245"/>
        <v>1.8113207547169718E-2</v>
      </c>
      <c r="AI92" s="235">
        <f t="shared" si="245"/>
        <v>-0.28803088803088805</v>
      </c>
      <c r="AJ92" s="235">
        <f t="shared" si="246"/>
        <v>0.52280701754385972</v>
      </c>
      <c r="AK92" s="235">
        <f t="shared" si="246"/>
        <v>0.32928679817905926</v>
      </c>
      <c r="AL92" s="235">
        <f t="shared" si="246"/>
        <v>-0.28687916975537431</v>
      </c>
      <c r="AM92" s="235">
        <f t="shared" si="246"/>
        <v>0.10845986984815625</v>
      </c>
      <c r="AN92" s="235">
        <f t="shared" si="246"/>
        <v>8.6405529953917037E-2</v>
      </c>
      <c r="AO92" s="235">
        <f t="shared" si="246"/>
        <v>0.23858447488584478</v>
      </c>
      <c r="AP92" s="235">
        <f t="shared" si="246"/>
        <v>0.16216216216216206</v>
      </c>
      <c r="AQ92" s="235">
        <f t="shared" si="246"/>
        <v>0.14579256360078285</v>
      </c>
      <c r="AR92" s="235">
        <f t="shared" si="246"/>
        <v>-8.2714740190880209E-2</v>
      </c>
      <c r="AS92" s="235">
        <f t="shared" si="246"/>
        <v>-1.1981566820276512E-2</v>
      </c>
      <c r="AT92" s="235">
        <f t="shared" si="247"/>
        <v>-8.1395348837209336E-2</v>
      </c>
      <c r="AU92" s="235">
        <f t="shared" si="247"/>
        <v>5.5508112724167447E-2</v>
      </c>
      <c r="AV92" s="235">
        <f t="shared" si="247"/>
        <v>0.53988439306358371</v>
      </c>
      <c r="AW92" s="235">
        <f t="shared" si="247"/>
        <v>3.9803935498289533E-2</v>
      </c>
      <c r="AX92" s="235">
        <f t="shared" si="247"/>
        <v>0.36219668677584438</v>
      </c>
      <c r="AY92" s="235">
        <f t="shared" si="247"/>
        <v>0.38736878668544361</v>
      </c>
      <c r="AZ92" s="235">
        <f t="shared" si="247"/>
        <v>0.20186674805734128</v>
      </c>
      <c r="BA92" s="235">
        <f t="shared" si="247"/>
        <v>0.1576614138615442</v>
      </c>
      <c r="BB92" s="235">
        <f t="shared" si="247"/>
        <v>9.1411125967432838E-2</v>
      </c>
      <c r="BC92" s="235">
        <f t="shared" si="247"/>
        <v>3.934976707728266E-2</v>
      </c>
      <c r="BD92" s="235">
        <f t="shared" si="248"/>
        <v>4.9054313562450824E-2</v>
      </c>
      <c r="BE92" s="235">
        <f t="shared" si="248"/>
        <v>8.6082086363062249E-2</v>
      </c>
      <c r="BF92" s="235">
        <f t="shared" si="248"/>
        <v>4.6794606068607969E-2</v>
      </c>
      <c r="BG92" s="235">
        <f t="shared" si="248"/>
        <v>3.8337210675044364E-2</v>
      </c>
      <c r="BH92" s="235">
        <f t="shared" si="248"/>
        <v>0.11990007551695658</v>
      </c>
      <c r="BI92" s="235">
        <f t="shared" si="248"/>
        <v>0.13005385719142137</v>
      </c>
      <c r="BJ92" s="235">
        <f t="shared" si="248"/>
        <v>9.7813426397490577E-2</v>
      </c>
      <c r="BK92" s="235">
        <f t="shared" si="248"/>
        <v>7.3131734287794403E-2</v>
      </c>
      <c r="BL92" s="235">
        <f t="shared" si="248"/>
        <v>-8.0217579406672845E-3</v>
      </c>
      <c r="BM92" s="235">
        <f t="shared" si="248"/>
        <v>2.0384939801792346E-2</v>
      </c>
      <c r="BN92" s="235">
        <f t="shared" si="249"/>
        <v>2.9502188675387453E-2</v>
      </c>
      <c r="BO92" s="160"/>
      <c r="BP92" s="160" t="s">
        <v>17</v>
      </c>
      <c r="BQ92" s="160">
        <f t="shared" ref="BQ92:CF92" si="251">IF(AND(BP66&lt;0,BQ66&gt;0),"n/a",BQ66/BP66-1)</f>
        <v>0.16890380313199116</v>
      </c>
      <c r="BR92" s="160">
        <f>IF(AND(BQ66&lt;0,BR66&gt;0),"n/a",BR66/BQ66-1)</f>
        <v>0.21770334928229662</v>
      </c>
      <c r="BS92" s="160">
        <f t="shared" si="251"/>
        <v>-5.3438113948919397E-2</v>
      </c>
      <c r="BT92" s="160">
        <f t="shared" si="251"/>
        <v>-7.5134910751349149E-2</v>
      </c>
      <c r="BU92" s="160">
        <f t="shared" si="251"/>
        <v>0.3850987432675046</v>
      </c>
      <c r="BV92" s="160">
        <f t="shared" si="251"/>
        <v>-1.4257939079714843E-2</v>
      </c>
      <c r="BW92" s="160">
        <f t="shared" si="251"/>
        <v>0.16600920447074285</v>
      </c>
      <c r="BX92" s="160">
        <f t="shared" si="251"/>
        <v>9.190865520157887E-2</v>
      </c>
      <c r="BY92" s="160">
        <f t="shared" si="251"/>
        <v>-6.3258455977278638E-2</v>
      </c>
      <c r="BZ92" s="160">
        <f t="shared" si="251"/>
        <v>0.14884233737596464</v>
      </c>
      <c r="CA92" s="160">
        <f t="shared" si="251"/>
        <v>-7.9174664107485304E-3</v>
      </c>
      <c r="CB92" s="160">
        <f t="shared" si="251"/>
        <v>0.22893490113009896</v>
      </c>
      <c r="CC92" s="160">
        <f t="shared" si="251"/>
        <v>0.20688114786657663</v>
      </c>
      <c r="CD92" s="160">
        <f t="shared" si="251"/>
        <v>5.3569197969251858E-2</v>
      </c>
      <c r="CE92" s="160">
        <f t="shared" si="251"/>
        <v>9.4141673174167773E-2</v>
      </c>
      <c r="CF92" s="160">
        <f t="shared" si="251"/>
        <v>2.889773708175869E-2</v>
      </c>
    </row>
    <row r="93" spans="1:85">
      <c r="A93" s="127" t="s">
        <v>377</v>
      </c>
      <c r="B93" s="235" t="s">
        <v>17</v>
      </c>
      <c r="C93" s="235" t="s">
        <v>17</v>
      </c>
      <c r="D93" s="235" t="s">
        <v>17</v>
      </c>
      <c r="E93" s="235" t="s">
        <v>17</v>
      </c>
      <c r="F93" s="235">
        <f t="shared" ref="F93:AI93" si="252">IF(AND(B78&lt;0,F78&gt;0),"n/a",F78/B78-1)</f>
        <v>0.74698795180722888</v>
      </c>
      <c r="G93" s="235">
        <f t="shared" si="252"/>
        <v>1.3163265306122449</v>
      </c>
      <c r="H93" s="235">
        <f t="shared" si="252"/>
        <v>0.48412698412698418</v>
      </c>
      <c r="I93" s="235">
        <f t="shared" si="252"/>
        <v>-0.39603960396039606</v>
      </c>
      <c r="J93" s="235">
        <f t="shared" si="252"/>
        <v>1.5172413793103448</v>
      </c>
      <c r="K93" s="235">
        <f t="shared" si="252"/>
        <v>-5.2863436123347984E-2</v>
      </c>
      <c r="L93" s="235">
        <f t="shared" si="252"/>
        <v>-2.6737967914438499E-2</v>
      </c>
      <c r="M93" s="235">
        <f t="shared" si="252"/>
        <v>-0.78688524590163933</v>
      </c>
      <c r="N93" s="235">
        <f t="shared" si="252"/>
        <v>-0.15342465753424661</v>
      </c>
      <c r="O93" s="235">
        <f t="shared" si="252"/>
        <v>8.3720930232558111E-2</v>
      </c>
      <c r="P93" s="235">
        <f t="shared" si="252"/>
        <v>-0.30769230769230771</v>
      </c>
      <c r="Q93" s="235">
        <f t="shared" si="252"/>
        <v>6.4871794871794872</v>
      </c>
      <c r="R93" s="235">
        <f t="shared" si="252"/>
        <v>0.11326860841423958</v>
      </c>
      <c r="S93" s="235">
        <f t="shared" si="252"/>
        <v>0.55364806866952798</v>
      </c>
      <c r="T93" s="235" t="str">
        <f t="shared" si="252"/>
        <v>n/a</v>
      </c>
      <c r="U93" s="235" t="str">
        <f t="shared" si="252"/>
        <v>n/a</v>
      </c>
      <c r="V93" s="235">
        <f t="shared" si="252"/>
        <v>0.16279069767441867</v>
      </c>
      <c r="W93" s="235">
        <f t="shared" si="252"/>
        <v>0.41436464088397784</v>
      </c>
      <c r="X93" s="235">
        <f t="shared" si="252"/>
        <v>-5.958333333333333</v>
      </c>
      <c r="Y93" s="235">
        <f t="shared" si="252"/>
        <v>-1.191358024691358</v>
      </c>
      <c r="Z93" s="235">
        <f t="shared" si="252"/>
        <v>0.34000000000000008</v>
      </c>
      <c r="AA93" s="235">
        <f t="shared" si="252"/>
        <v>9.375E-2</v>
      </c>
      <c r="AB93" s="235">
        <f t="shared" si="252"/>
        <v>-0.58823529411764708</v>
      </c>
      <c r="AC93" s="235">
        <f t="shared" si="252"/>
        <v>-0.87096774193548387</v>
      </c>
      <c r="AD93" s="235">
        <f t="shared" si="252"/>
        <v>0.33768656716417911</v>
      </c>
      <c r="AE93" s="235">
        <f t="shared" si="252"/>
        <v>0.32678571428571423</v>
      </c>
      <c r="AF93" s="235">
        <f t="shared" si="252"/>
        <v>-0.16326530612244894</v>
      </c>
      <c r="AG93" s="235">
        <f t="shared" si="252"/>
        <v>4.25</v>
      </c>
      <c r="AH93" s="235">
        <f t="shared" si="252"/>
        <v>5.0209205020920411E-2</v>
      </c>
      <c r="AI93" s="235">
        <f t="shared" si="252"/>
        <v>-0.59623149394347241</v>
      </c>
      <c r="AJ93" s="235" t="str">
        <f t="shared" ref="AJ93" si="253">IF(AND(AF78&lt;0,AJ78&gt;0),"n/a",AJ78/AF78-1)</f>
        <v>n/a</v>
      </c>
      <c r="AK93" s="235" t="str">
        <f t="shared" ref="AK93" si="254">IF(AND(AG78&lt;0,AK78&gt;0),"n/a",AK78/AG78-1)</f>
        <v>n/a</v>
      </c>
      <c r="AL93" s="235">
        <f t="shared" ref="AL93" si="255">IF(AND(AH78&lt;0,AL78&gt;0),"n/a",AL78/AH78-1)</f>
        <v>-0.73970783532536521</v>
      </c>
      <c r="AM93" s="235">
        <f t="shared" ref="AM93:BN93" si="256">IF(AND(AI78&lt;0,AM78&gt;0),"n/a",AM78/AI78-1)</f>
        <v>0.3833333333333333</v>
      </c>
      <c r="AN93" s="235">
        <f t="shared" si="256"/>
        <v>3.8759689922480689E-2</v>
      </c>
      <c r="AO93" s="235">
        <f t="shared" si="256"/>
        <v>0.49173553719008267</v>
      </c>
      <c r="AP93" s="235">
        <f t="shared" si="256"/>
        <v>1.045918367346939</v>
      </c>
      <c r="AQ93" s="235">
        <f t="shared" si="256"/>
        <v>0.13493975903614452</v>
      </c>
      <c r="AR93" s="235">
        <f t="shared" si="256"/>
        <v>-0.44402985074626866</v>
      </c>
      <c r="AS93" s="235">
        <f t="shared" si="256"/>
        <v>-0.3047091412742382</v>
      </c>
      <c r="AT93" s="235">
        <f t="shared" si="256"/>
        <v>-0.56359102244389025</v>
      </c>
      <c r="AU93" s="235">
        <f t="shared" si="256"/>
        <v>-0.31634819532908709</v>
      </c>
      <c r="AV93" s="235">
        <f t="shared" si="256"/>
        <v>1.2818791946308723</v>
      </c>
      <c r="AW93" s="235">
        <f t="shared" si="256"/>
        <v>-0.91473829009868246</v>
      </c>
      <c r="AX93" s="235">
        <f t="shared" si="256"/>
        <v>0.67775627007679629</v>
      </c>
      <c r="AY93" s="235">
        <f t="shared" si="256"/>
        <v>1.30760701287632</v>
      </c>
      <c r="AZ93" s="235">
        <f t="shared" si="256"/>
        <v>0.58407452942095683</v>
      </c>
      <c r="BA93" s="235">
        <f t="shared" si="256"/>
        <v>1.6659801004682584</v>
      </c>
      <c r="BB93" s="235">
        <f t="shared" si="256"/>
        <v>0.54386640867969027</v>
      </c>
      <c r="BC93" s="235">
        <f t="shared" si="256"/>
        <v>0.12861953127006309</v>
      </c>
      <c r="BD93" s="235">
        <f t="shared" si="256"/>
        <v>0.10173272889339668</v>
      </c>
      <c r="BE93" s="235">
        <f t="shared" si="256"/>
        <v>2.0276399637488796</v>
      </c>
      <c r="BF93" s="235">
        <f t="shared" si="256"/>
        <v>0.1227125266002882</v>
      </c>
      <c r="BG93" s="235">
        <f t="shared" si="256"/>
        <v>6.0254046642173265E-2</v>
      </c>
      <c r="BH93" s="235">
        <f t="shared" si="256"/>
        <v>-1.9059998694884728E-2</v>
      </c>
      <c r="BI93" s="235">
        <f t="shared" si="256"/>
        <v>0.56958112468175215</v>
      </c>
      <c r="BJ93" s="235">
        <f t="shared" si="256"/>
        <v>0.20420423906936525</v>
      </c>
      <c r="BK93" s="235">
        <f t="shared" si="256"/>
        <v>0.11262184503027939</v>
      </c>
      <c r="BL93" s="235">
        <f t="shared" si="256"/>
        <v>0.204887951569382</v>
      </c>
      <c r="BM93" s="235">
        <f t="shared" si="256"/>
        <v>2.0151791325398793E-2</v>
      </c>
      <c r="BN93" s="235">
        <f t="shared" si="256"/>
        <v>3.0814768855039087E-2</v>
      </c>
      <c r="BO93" s="160"/>
      <c r="BP93" s="160" t="s">
        <v>17</v>
      </c>
      <c r="BQ93" s="160">
        <f t="shared" ref="BQ93:CF93" si="257">IF(AND(BP78&lt;0,BQ78&gt;0),"n/a",BQ78/BP78-1)</f>
        <v>-0.54518950437317781</v>
      </c>
      <c r="BR93" s="160" t="str">
        <f>IF(AND(BQ78&lt;0,BR78&gt;0),"n/a",BR78/BQ78-1)</f>
        <v>n/a</v>
      </c>
      <c r="BS93" s="160">
        <f t="shared" si="257"/>
        <v>2.4571428571428573</v>
      </c>
      <c r="BT93" s="160">
        <f t="shared" si="257"/>
        <v>-0.72727272727272729</v>
      </c>
      <c r="BU93" s="160">
        <f t="shared" si="257"/>
        <v>27.727272727272727</v>
      </c>
      <c r="BV93" s="160">
        <f t="shared" si="257"/>
        <v>-5.2742616033755296E-2</v>
      </c>
      <c r="BW93" s="160">
        <f t="shared" si="257"/>
        <v>0.36302895322939865</v>
      </c>
      <c r="BX93" s="160">
        <f t="shared" si="257"/>
        <v>0.17156862745098045</v>
      </c>
      <c r="BY93" s="160">
        <f t="shared" si="257"/>
        <v>-0.30543933054393302</v>
      </c>
      <c r="BZ93" s="160">
        <f t="shared" si="257"/>
        <v>0.45080321285140568</v>
      </c>
      <c r="CA93" s="160">
        <f t="shared" si="257"/>
        <v>-0.27612456747404845</v>
      </c>
      <c r="CB93" s="160">
        <f t="shared" si="257"/>
        <v>-6.595790014467473E-2</v>
      </c>
      <c r="CC93" s="160">
        <f t="shared" si="257"/>
        <v>0.83414983662639886</v>
      </c>
      <c r="CD93" s="160">
        <f t="shared" si="257"/>
        <v>0.17950624385825642</v>
      </c>
      <c r="CE93" s="160">
        <f t="shared" si="257"/>
        <v>0.11427225208351999</v>
      </c>
      <c r="CF93" s="160">
        <f t="shared" si="257"/>
        <v>0.10349283464836945</v>
      </c>
    </row>
    <row r="94" spans="1:85">
      <c r="A94" s="8" t="s">
        <v>212</v>
      </c>
      <c r="B94" s="235" t="s">
        <v>17</v>
      </c>
      <c r="C94" s="235" t="s">
        <v>17</v>
      </c>
      <c r="D94" s="235" t="s">
        <v>17</v>
      </c>
      <c r="E94" s="235" t="s">
        <v>17</v>
      </c>
      <c r="F94" s="235">
        <f t="shared" ref="F94:AI94" si="258">IF(AND(B81&lt;0,F81&gt;0),"n/a",F81/B81-1)</f>
        <v>0.86250000000000004</v>
      </c>
      <c r="G94" s="235">
        <f t="shared" si="258"/>
        <v>1.4731182795698925</v>
      </c>
      <c r="H94" s="235">
        <f t="shared" si="258"/>
        <v>0.74311926605504586</v>
      </c>
      <c r="I94" s="235">
        <f t="shared" si="258"/>
        <v>-0.36303630363036299</v>
      </c>
      <c r="J94" s="235">
        <f t="shared" si="258"/>
        <v>1.4228187919463089</v>
      </c>
      <c r="K94" s="235">
        <f t="shared" si="258"/>
        <v>-8.6956521739130488E-2</v>
      </c>
      <c r="L94" s="235">
        <f t="shared" si="258"/>
        <v>-3.157894736842104E-2</v>
      </c>
      <c r="M94" s="235">
        <f t="shared" si="258"/>
        <v>-0.82901554404145084</v>
      </c>
      <c r="N94" s="235">
        <f t="shared" si="258"/>
        <v>-8.5872576177285276E-2</v>
      </c>
      <c r="O94" s="235">
        <f t="shared" si="258"/>
        <v>8.5714285714285632E-2</v>
      </c>
      <c r="P94" s="235">
        <f t="shared" si="258"/>
        <v>-0.29347826086956519</v>
      </c>
      <c r="Q94" s="235">
        <f t="shared" si="258"/>
        <v>8.0303030303030312</v>
      </c>
      <c r="R94" s="235">
        <f t="shared" si="258"/>
        <v>2.1212121212121238E-2</v>
      </c>
      <c r="S94" s="235">
        <f t="shared" si="258"/>
        <v>0.55263157894736836</v>
      </c>
      <c r="T94" s="235" t="str">
        <f t="shared" si="258"/>
        <v>n/a</v>
      </c>
      <c r="U94" s="235" t="str">
        <f t="shared" si="258"/>
        <v>n/a</v>
      </c>
      <c r="V94" s="235">
        <f t="shared" si="258"/>
        <v>0.17804154302670616</v>
      </c>
      <c r="W94" s="235">
        <f t="shared" si="258"/>
        <v>0.43785310734463279</v>
      </c>
      <c r="X94" s="235">
        <f t="shared" si="258"/>
        <v>-8.1111111111111107</v>
      </c>
      <c r="Y94" s="235">
        <f t="shared" si="258"/>
        <v>-1.1923076923076923</v>
      </c>
      <c r="Z94" s="235">
        <f t="shared" si="258"/>
        <v>0.32493702770780852</v>
      </c>
      <c r="AA94" s="235">
        <f t="shared" si="258"/>
        <v>8.4479371316306562E-2</v>
      </c>
      <c r="AB94" s="235">
        <f t="shared" si="258"/>
        <v>-0.59375</v>
      </c>
      <c r="AC94" s="235">
        <f t="shared" si="258"/>
        <v>-0.8</v>
      </c>
      <c r="AD94" s="235">
        <f t="shared" si="258"/>
        <v>0.3612167300380229</v>
      </c>
      <c r="AE94" s="235">
        <f t="shared" si="258"/>
        <v>0.35688405797101441</v>
      </c>
      <c r="AF94" s="235">
        <f t="shared" si="258"/>
        <v>-0.26923076923076927</v>
      </c>
      <c r="AG94" s="235">
        <f t="shared" si="258"/>
        <v>1.6666666666666665</v>
      </c>
      <c r="AH94" s="235">
        <f t="shared" si="258"/>
        <v>5.307262569832405E-2</v>
      </c>
      <c r="AI94" s="235">
        <f t="shared" si="258"/>
        <v>-0.57409879839786382</v>
      </c>
      <c r="AJ94" s="235" t="str">
        <f t="shared" ref="AJ94" si="259">IF(AND(AF81&lt;0,AJ81&gt;0),"n/a",AJ81/AF81-1)</f>
        <v>n/a</v>
      </c>
      <c r="AK94" s="235" t="str">
        <f t="shared" ref="AK94" si="260">IF(AND(AG81&lt;0,AK81&gt;0),"n/a",AK81/AG81-1)</f>
        <v>n/a</v>
      </c>
      <c r="AL94" s="235">
        <f t="shared" ref="AL94" si="261">IF(AND(AH81&lt;0,AL81&gt;0),"n/a",AL81/AH81-1)</f>
        <v>-0.70954907161803715</v>
      </c>
      <c r="AM94" s="235">
        <f t="shared" ref="AM94:BN94" si="262">IF(AND(AI81&lt;0,AM81&gt;0),"n/a",AM81/AI81-1)</f>
        <v>0.36677115987460818</v>
      </c>
      <c r="AN94" s="235">
        <f t="shared" si="262"/>
        <v>2.8985507246376718E-2</v>
      </c>
      <c r="AO94" s="235">
        <f t="shared" si="262"/>
        <v>0.41132075471698104</v>
      </c>
      <c r="AP94" s="235">
        <f t="shared" si="262"/>
        <v>0.8904109589041096</v>
      </c>
      <c r="AQ94" s="235">
        <f t="shared" si="262"/>
        <v>7.3394495412844041E-2</v>
      </c>
      <c r="AR94" s="235">
        <f t="shared" si="262"/>
        <v>-0.51056338028169013</v>
      </c>
      <c r="AS94" s="235">
        <f t="shared" si="262"/>
        <v>-0.34491978609625673</v>
      </c>
      <c r="AT94" s="235">
        <f t="shared" si="262"/>
        <v>-0.60144927536231885</v>
      </c>
      <c r="AU94" s="235">
        <f t="shared" si="262"/>
        <v>-0.34188034188034189</v>
      </c>
      <c r="AV94" s="235">
        <f t="shared" si="262"/>
        <v>1.3453237410071943</v>
      </c>
      <c r="AW94" s="235">
        <f t="shared" si="262"/>
        <v>-0.99206944093196958</v>
      </c>
      <c r="AX94" s="235">
        <f t="shared" si="262"/>
        <v>0.67182350376408517</v>
      </c>
      <c r="AY94" s="235">
        <f t="shared" si="262"/>
        <v>1.3577465417805974</v>
      </c>
      <c r="AZ94" s="235">
        <f t="shared" si="262"/>
        <v>0.60469748693766179</v>
      </c>
      <c r="BA94" s="235">
        <f t="shared" si="262"/>
        <v>18.347115144509189</v>
      </c>
      <c r="BB94" s="235">
        <f t="shared" si="262"/>
        <v>0.57971006352417431</v>
      </c>
      <c r="BC94" s="235">
        <f t="shared" si="262"/>
        <v>0.13106363944554</v>
      </c>
      <c r="BD94" s="235">
        <f t="shared" si="262"/>
        <v>0.10129820545051316</v>
      </c>
      <c r="BE94" s="235">
        <f t="shared" si="262"/>
        <v>3.1358726612635355</v>
      </c>
      <c r="BF94" s="235">
        <f t="shared" si="262"/>
        <v>0.13035412364736909</v>
      </c>
      <c r="BG94" s="235">
        <f t="shared" si="262"/>
        <v>6.295946554225007E-2</v>
      </c>
      <c r="BH94" s="235">
        <f t="shared" si="262"/>
        <v>-1.7507953565224721E-2</v>
      </c>
      <c r="BI94" s="235">
        <f t="shared" si="262"/>
        <v>0.64097698467251507</v>
      </c>
      <c r="BJ94" s="235">
        <f t="shared" si="262"/>
        <v>0.21370764372940765</v>
      </c>
      <c r="BK94" s="235">
        <f t="shared" si="262"/>
        <v>0.11626442708162754</v>
      </c>
      <c r="BL94" s="235">
        <f t="shared" si="262"/>
        <v>0.21313332200275492</v>
      </c>
      <c r="BM94" s="235">
        <f t="shared" si="262"/>
        <v>2.6719139923011337E-2</v>
      </c>
      <c r="BN94" s="235">
        <f t="shared" si="262"/>
        <v>3.3887621875077878E-2</v>
      </c>
      <c r="BO94" s="160"/>
      <c r="BP94" s="160" t="s">
        <v>17</v>
      </c>
      <c r="BQ94" s="160">
        <f t="shared" ref="BQ94:CF94" si="263">IF(AND(BP81&lt;0,BQ81&gt;0),"n/a",BQ81/BP81-1)</f>
        <v>-0.60481586402266285</v>
      </c>
      <c r="BR94" s="160" t="str">
        <f>IF(AND(BQ81&lt;0,BR81&gt;0),"n/a",BR81/BQ81-1)</f>
        <v>n/a</v>
      </c>
      <c r="BS94" s="160">
        <f t="shared" si="263"/>
        <v>6.7222222222222223</v>
      </c>
      <c r="BT94" s="160">
        <f t="shared" si="263"/>
        <v>-0.94964028776978415</v>
      </c>
      <c r="BU94" s="160">
        <f t="shared" si="263"/>
        <v>131.14285714285714</v>
      </c>
      <c r="BV94" s="160">
        <f t="shared" si="263"/>
        <v>-5.1891891891891917E-2</v>
      </c>
      <c r="BW94" s="160">
        <f t="shared" si="263"/>
        <v>0.37970353477765117</v>
      </c>
      <c r="BX94" s="160">
        <f t="shared" si="263"/>
        <v>0.19752066115702482</v>
      </c>
      <c r="BY94" s="160">
        <f t="shared" si="263"/>
        <v>-0.25534851621808141</v>
      </c>
      <c r="BZ94" s="160">
        <f t="shared" si="263"/>
        <v>0.39759036144578319</v>
      </c>
      <c r="CA94" s="160">
        <f t="shared" si="263"/>
        <v>-0.3255968169761273</v>
      </c>
      <c r="CB94" s="160">
        <f t="shared" si="263"/>
        <v>-0.10344752694912318</v>
      </c>
      <c r="CC94" s="160">
        <f t="shared" si="263"/>
        <v>0.88932277615166244</v>
      </c>
      <c r="CD94" s="160">
        <f t="shared" si="263"/>
        <v>0.18741440668441145</v>
      </c>
      <c r="CE94" s="160">
        <f t="shared" si="263"/>
        <v>0.12052914976354323</v>
      </c>
      <c r="CF94" s="160">
        <f t="shared" si="263"/>
        <v>0.10873340652106034</v>
      </c>
    </row>
    <row r="95" spans="1:85">
      <c r="A95" s="8" t="s">
        <v>220</v>
      </c>
      <c r="B95" s="235" t="s">
        <v>17</v>
      </c>
      <c r="C95" s="235" t="s">
        <v>17</v>
      </c>
      <c r="D95" s="235" t="s">
        <v>17</v>
      </c>
      <c r="E95" s="235" t="s">
        <v>17</v>
      </c>
      <c r="F95" s="235">
        <f t="shared" ref="F95:AI95" si="264">IF(AND(B84&lt;0,F84&gt;0),"n/a",F84/B84-1)</f>
        <v>4.0333333333333332</v>
      </c>
      <c r="G95" s="235">
        <f t="shared" si="264"/>
        <v>1.3020833333333335</v>
      </c>
      <c r="H95" s="235">
        <f t="shared" si="264"/>
        <v>0.691542288557214</v>
      </c>
      <c r="I95" s="235">
        <f t="shared" si="264"/>
        <v>-0.36335403726708071</v>
      </c>
      <c r="J95" s="235">
        <f t="shared" si="264"/>
        <v>1.6490066225165565</v>
      </c>
      <c r="K95" s="235">
        <f t="shared" si="264"/>
        <v>-9.0497737556561098E-2</v>
      </c>
      <c r="L95" s="235">
        <f t="shared" si="264"/>
        <v>0.12058823529411766</v>
      </c>
      <c r="M95" s="235">
        <f t="shared" si="264"/>
        <v>-0.78048780487804881</v>
      </c>
      <c r="N95" s="235">
        <f t="shared" si="264"/>
        <v>-0.1925</v>
      </c>
      <c r="O95" s="235">
        <f t="shared" si="264"/>
        <v>0.10447761194029859</v>
      </c>
      <c r="P95" s="235">
        <f t="shared" si="264"/>
        <v>-0.28346456692913391</v>
      </c>
      <c r="Q95" s="235">
        <f t="shared" si="264"/>
        <v>5.8444444444444441</v>
      </c>
      <c r="R95" s="235">
        <f t="shared" si="264"/>
        <v>0.13622291021671828</v>
      </c>
      <c r="S95" s="235">
        <f t="shared" si="264"/>
        <v>0.50900900900900892</v>
      </c>
      <c r="T95" s="235" t="str">
        <f t="shared" si="264"/>
        <v>n/a</v>
      </c>
      <c r="U95" s="235" t="str">
        <f t="shared" si="264"/>
        <v>n/a</v>
      </c>
      <c r="V95" s="235">
        <f t="shared" si="264"/>
        <v>7.629427792915533E-2</v>
      </c>
      <c r="W95" s="235">
        <f t="shared" si="264"/>
        <v>0.31940298507462694</v>
      </c>
      <c r="X95" s="235">
        <f t="shared" si="264"/>
        <v>-47.666666666666664</v>
      </c>
      <c r="Y95" s="235">
        <f t="shared" si="264"/>
        <v>-1.3169014084507042</v>
      </c>
      <c r="Z95" s="235">
        <f t="shared" si="264"/>
        <v>1.2759493670886077</v>
      </c>
      <c r="AA95" s="235">
        <f t="shared" si="264"/>
        <v>-4.5248868778280382E-3</v>
      </c>
      <c r="AB95" s="235">
        <f t="shared" si="264"/>
        <v>-0.72857142857142865</v>
      </c>
      <c r="AC95" s="235">
        <f t="shared" si="264"/>
        <v>-0.97777777777777775</v>
      </c>
      <c r="AD95" s="235">
        <f t="shared" si="264"/>
        <v>-0.37041156840934375</v>
      </c>
      <c r="AE95" s="235">
        <f t="shared" si="264"/>
        <v>0.46363636363636362</v>
      </c>
      <c r="AF95" s="235">
        <f t="shared" si="264"/>
        <v>-0.42105263157894735</v>
      </c>
      <c r="AG95" s="235">
        <f t="shared" si="264"/>
        <v>185</v>
      </c>
      <c r="AH95" s="235">
        <f t="shared" si="264"/>
        <v>7.2438162544169682E-2</v>
      </c>
      <c r="AI95" s="235">
        <f t="shared" si="264"/>
        <v>-0.54503105590062106</v>
      </c>
      <c r="AJ95" s="235" t="str">
        <f t="shared" ref="AJ95" si="265">IF(AND(AF84&lt;0,AJ84&gt;0),"n/a",AJ84/AF84-1)</f>
        <v>n/a</v>
      </c>
      <c r="AK95" s="235" t="str">
        <f t="shared" ref="AK95" si="266">IF(AND(AG84&lt;0,AK84&gt;0),"n/a",AK84/AG84-1)</f>
        <v>n/a</v>
      </c>
      <c r="AL95" s="235">
        <f t="shared" ref="AL95" si="267">IF(AND(AH84&lt;0,AL84&gt;0),"n/a",AL84/AH84-1)</f>
        <v>-0.6556836902800659</v>
      </c>
      <c r="AM95" s="235">
        <f t="shared" ref="AM95:BN95" si="268">IF(AND(AI84&lt;0,AM84&gt;0),"n/a",AM84/AI84-1)</f>
        <v>3.8498293515358366</v>
      </c>
      <c r="AN95" s="235">
        <f t="shared" si="268"/>
        <v>2.3490196078431373</v>
      </c>
      <c r="AO95" s="235">
        <f t="shared" si="268"/>
        <v>0.32061068702290085</v>
      </c>
      <c r="AP95" s="235">
        <f t="shared" si="268"/>
        <v>1</v>
      </c>
      <c r="AQ95" s="235">
        <f t="shared" si="268"/>
        <v>-0.74313863476425057</v>
      </c>
      <c r="AR95" s="235">
        <f t="shared" si="268"/>
        <v>-0.78337236533957844</v>
      </c>
      <c r="AS95" s="235">
        <f t="shared" si="268"/>
        <v>-0.39017341040462428</v>
      </c>
      <c r="AT95" s="235">
        <f t="shared" si="268"/>
        <v>-0.81818181818181812</v>
      </c>
      <c r="AU95" s="235">
        <f t="shared" si="268"/>
        <v>-0.44109589041095887</v>
      </c>
      <c r="AV95" s="235">
        <f t="shared" si="268"/>
        <v>0.58918918918918917</v>
      </c>
      <c r="AW95" s="235">
        <f t="shared" si="268"/>
        <v>-0.99429074918277816</v>
      </c>
      <c r="AX95" s="235">
        <f t="shared" si="268"/>
        <v>0.45184672695302153</v>
      </c>
      <c r="AY95" s="235">
        <f t="shared" si="268"/>
        <v>1.9189826793730771</v>
      </c>
      <c r="AZ95" s="235">
        <f t="shared" si="268"/>
        <v>0.45907391907542761</v>
      </c>
      <c r="BA95" s="235">
        <f t="shared" si="268"/>
        <v>24.588120029834734</v>
      </c>
      <c r="BB95" s="235">
        <f t="shared" si="268"/>
        <v>2.2384056302245567</v>
      </c>
      <c r="BC95" s="235">
        <f t="shared" si="268"/>
        <v>0.13106363944554</v>
      </c>
      <c r="BD95" s="235">
        <f t="shared" si="268"/>
        <v>0.10129820545051316</v>
      </c>
      <c r="BE95" s="235">
        <f t="shared" si="268"/>
        <v>3.1358726612635355</v>
      </c>
      <c r="BF95" s="235">
        <f t="shared" si="268"/>
        <v>0.13035412364736909</v>
      </c>
      <c r="BG95" s="235">
        <f t="shared" si="268"/>
        <v>6.2959465542249848E-2</v>
      </c>
      <c r="BH95" s="235">
        <f t="shared" si="268"/>
        <v>-1.7507953565224832E-2</v>
      </c>
      <c r="BI95" s="235">
        <f t="shared" si="268"/>
        <v>0.64097698467251507</v>
      </c>
      <c r="BJ95" s="235">
        <f t="shared" si="268"/>
        <v>0.21370764372940765</v>
      </c>
      <c r="BK95" s="235">
        <f t="shared" si="268"/>
        <v>0.11626442708162754</v>
      </c>
      <c r="BL95" s="235">
        <f t="shared" si="268"/>
        <v>0.21313332200275492</v>
      </c>
      <c r="BM95" s="235">
        <f t="shared" si="268"/>
        <v>2.6719139923011337E-2</v>
      </c>
      <c r="BN95" s="235">
        <f t="shared" si="268"/>
        <v>3.3887621875077878E-2</v>
      </c>
      <c r="BO95" s="160"/>
      <c r="BP95" s="160" t="s">
        <v>17</v>
      </c>
      <c r="BQ95" s="160">
        <f>IF(AND(BP84&lt;0,BQ84&gt;0),"n/a",BQ84/BP84-1)</f>
        <v>-0.59231905465288037</v>
      </c>
      <c r="BR95" s="160" t="str">
        <f>IF(AND(BQ84&lt;0,BR84&gt;0),"n/a",BR84/BQ84-1)</f>
        <v>n/a</v>
      </c>
      <c r="BS95" s="160">
        <f t="shared" ref="BS95:CF95" si="269">IF(AND(BR84&lt;0,BS84&gt;0),"n/a",BS84/BR84-1)</f>
        <v>0.28947368421052633</v>
      </c>
      <c r="BT95" s="160">
        <f t="shared" si="269"/>
        <v>-0.91836734693877553</v>
      </c>
      <c r="BU95" s="160">
        <f t="shared" si="269"/>
        <v>108.375</v>
      </c>
      <c r="BV95" s="160">
        <f t="shared" si="269"/>
        <v>0.32114285714285717</v>
      </c>
      <c r="BW95" s="160">
        <f t="shared" si="269"/>
        <v>-0.16349480968858132</v>
      </c>
      <c r="BX95" s="160">
        <f t="shared" si="269"/>
        <v>7.8593588417787075E-2</v>
      </c>
      <c r="BY95" s="160">
        <f t="shared" si="269"/>
        <v>-2.3010546500479401E-2</v>
      </c>
      <c r="BZ95" s="160">
        <f t="shared" si="269"/>
        <v>1.9823356231599609</v>
      </c>
      <c r="CA95" s="160">
        <f t="shared" si="269"/>
        <v>-0.72458045409674243</v>
      </c>
      <c r="CB95" s="160">
        <f t="shared" si="269"/>
        <v>-0.27175029489741498</v>
      </c>
      <c r="CC95" s="160">
        <f t="shared" si="269"/>
        <v>1.3174528281935425</v>
      </c>
      <c r="CD95" s="160">
        <f t="shared" si="269"/>
        <v>0.18741440668441189</v>
      </c>
      <c r="CE95" s="160">
        <f t="shared" si="269"/>
        <v>0.12052914976354323</v>
      </c>
      <c r="CF95" s="160">
        <f t="shared" si="269"/>
        <v>0.10873340652106034</v>
      </c>
    </row>
    <row r="96" spans="1:85">
      <c r="A96" s="8" t="s">
        <v>379</v>
      </c>
      <c r="B96" s="235" t="s">
        <v>17</v>
      </c>
      <c r="C96" s="235" t="s">
        <v>17</v>
      </c>
      <c r="D96" s="235" t="s">
        <v>17</v>
      </c>
      <c r="E96" s="235" t="s">
        <v>17</v>
      </c>
      <c r="F96" s="235">
        <f t="shared" ref="F96:AI96" si="270">IF(AND(B86&lt;0,F86&gt;0),"n/a",F86/B86-1)</f>
        <v>3.9434523809523814</v>
      </c>
      <c r="G96" s="235">
        <f t="shared" si="270"/>
        <v>1.2679277942631058</v>
      </c>
      <c r="H96" s="235">
        <f t="shared" si="270"/>
        <v>0.68132148923058455</v>
      </c>
      <c r="I96" s="235">
        <f t="shared" si="270"/>
        <v>-0.36335403726708071</v>
      </c>
      <c r="J96" s="235">
        <f t="shared" si="270"/>
        <v>1.680922364956515</v>
      </c>
      <c r="K96" s="235">
        <f t="shared" si="270"/>
        <v>-4.2180429864253299E-2</v>
      </c>
      <c r="L96" s="235">
        <f t="shared" si="270"/>
        <v>0.17378071481757251</v>
      </c>
      <c r="M96" s="235">
        <f t="shared" si="270"/>
        <v>-0.76026957637997439</v>
      </c>
      <c r="N96" s="235">
        <f t="shared" si="270"/>
        <v>-0.12674267100977199</v>
      </c>
      <c r="O96" s="235">
        <f t="shared" si="270"/>
        <v>0.13279755070799837</v>
      </c>
      <c r="P96" s="235">
        <f t="shared" si="270"/>
        <v>-0.26485325697924123</v>
      </c>
      <c r="Q96" s="235">
        <f t="shared" si="270"/>
        <v>5.7336929162171888</v>
      </c>
      <c r="R96" s="235">
        <f t="shared" si="270"/>
        <v>9.3480982559662973E-2</v>
      </c>
      <c r="S96" s="235">
        <f t="shared" si="270"/>
        <v>0.46214537518885335</v>
      </c>
      <c r="T96" s="235" t="str">
        <f t="shared" si="270"/>
        <v>n/a</v>
      </c>
      <c r="U96" s="235" t="str">
        <f t="shared" si="270"/>
        <v>n/a</v>
      </c>
      <c r="V96" s="235">
        <f t="shared" si="270"/>
        <v>3.4150224877712576E-2</v>
      </c>
      <c r="W96" s="235">
        <f t="shared" si="270"/>
        <v>0.26820227222098469</v>
      </c>
      <c r="X96" s="235">
        <f t="shared" si="270"/>
        <v>-49.162393162393165</v>
      </c>
      <c r="Y96" s="235">
        <f t="shared" si="270"/>
        <v>-1.329129115529188</v>
      </c>
      <c r="Z96" s="235">
        <f t="shared" si="270"/>
        <v>1.3466310244516082</v>
      </c>
      <c r="AA96" s="235">
        <f t="shared" si="270"/>
        <v>5.8679882209293766E-2</v>
      </c>
      <c r="AB96" s="235">
        <f t="shared" si="270"/>
        <v>-0.71865211200759371</v>
      </c>
      <c r="AC96" s="235">
        <f t="shared" si="270"/>
        <v>-0.97719105243857718</v>
      </c>
      <c r="AD96" s="235">
        <f t="shared" si="270"/>
        <v>-0.35023245201220732</v>
      </c>
      <c r="AE96" s="235">
        <f t="shared" si="270"/>
        <v>0.4729886726691841</v>
      </c>
      <c r="AF96" s="235">
        <f t="shared" si="270"/>
        <v>-0.43604156021120755</v>
      </c>
      <c r="AG96" s="235">
        <f t="shared" si="270"/>
        <v>181.98051948051949</v>
      </c>
      <c r="AH96" s="235">
        <f t="shared" si="270"/>
        <v>7.5886516764568812E-2</v>
      </c>
      <c r="AI96" s="235">
        <f t="shared" si="270"/>
        <v>-0.54062813063514326</v>
      </c>
      <c r="AJ96" s="235" t="str">
        <f t="shared" ref="AJ96" si="271">IF(AND(AF86&lt;0,AJ86&gt;0),"n/a",AJ86/AF86-1)</f>
        <v>n/a</v>
      </c>
      <c r="AK96" s="235" t="str">
        <f t="shared" ref="AK96" si="272">IF(AND(AG86&lt;0,AK86&gt;0),"n/a",AK86/AG86-1)</f>
        <v>n/a</v>
      </c>
      <c r="AL96" s="235">
        <f t="shared" ref="AL96" si="273">IF(AND(AH86&lt;0,AL86&gt;0),"n/a",AL86/AH86-1)</f>
        <v>-0.64424461022292523</v>
      </c>
      <c r="AM96" s="235">
        <f t="shared" ref="AM96:BN96" si="274">IF(AND(AI86&lt;0,AM86&gt;0),"n/a",AM86/AI86-1)</f>
        <v>4.0282511671441776</v>
      </c>
      <c r="AN96" s="235">
        <f t="shared" si="274"/>
        <v>2.4734764175940644</v>
      </c>
      <c r="AO96" s="235">
        <f t="shared" si="274"/>
        <v>0.36552941787401982</v>
      </c>
      <c r="AP96" s="235">
        <f t="shared" si="274"/>
        <v>1.0616438356164384</v>
      </c>
      <c r="AQ96" s="235">
        <f t="shared" si="274"/>
        <v>-0.73607715393302708</v>
      </c>
      <c r="AR96" s="235">
        <f t="shared" si="274"/>
        <v>-0.78115433495056386</v>
      </c>
      <c r="AS96" s="235">
        <f t="shared" si="274"/>
        <v>-0.3859965159553409</v>
      </c>
      <c r="AT96" s="235">
        <f t="shared" si="274"/>
        <v>-0.81565656565656564</v>
      </c>
      <c r="AU96" s="235">
        <f t="shared" si="274"/>
        <v>-0.43722804190169218</v>
      </c>
      <c r="AV96" s="235">
        <f t="shared" si="274"/>
        <v>0.62241265655899825</v>
      </c>
      <c r="AW96" s="235">
        <f t="shared" si="274"/>
        <v>-0.99419480358150614</v>
      </c>
      <c r="AX96" s="235">
        <f t="shared" si="274"/>
        <v>0.46341817250515671</v>
      </c>
      <c r="AY96" s="235">
        <f t="shared" si="274"/>
        <v>1.9994252036060232</v>
      </c>
      <c r="AZ96" s="235">
        <f t="shared" si="274"/>
        <v>0.49691864277537667</v>
      </c>
      <c r="BA96" s="235">
        <f t="shared" si="274"/>
        <v>25.404976165479869</v>
      </c>
      <c r="BB96" s="235">
        <f t="shared" si="274"/>
        <v>2.3276238910481801</v>
      </c>
      <c r="BC96" s="235">
        <f t="shared" si="274"/>
        <v>0.14021807617245097</v>
      </c>
      <c r="BD96" s="235">
        <f t="shared" si="274"/>
        <v>0.10059929994602301</v>
      </c>
      <c r="BE96" s="235">
        <f t="shared" si="274"/>
        <v>3.0972905614096717</v>
      </c>
      <c r="BF96" s="235">
        <f t="shared" si="274"/>
        <v>0.11508416090216533</v>
      </c>
      <c r="BG96" s="235">
        <f t="shared" si="274"/>
        <v>4.8826153147539575E-2</v>
      </c>
      <c r="BH96" s="235">
        <f t="shared" si="274"/>
        <v>-3.0666214926488022E-2</v>
      </c>
      <c r="BI96" s="235">
        <f t="shared" si="274"/>
        <v>0.61875453974160477</v>
      </c>
      <c r="BJ96" s="235">
        <f t="shared" si="274"/>
        <v>0.19739115904860438</v>
      </c>
      <c r="BK96" s="235">
        <f t="shared" si="274"/>
        <v>0.10139651709572761</v>
      </c>
      <c r="BL96" s="235">
        <f t="shared" si="274"/>
        <v>0.1974930466625191</v>
      </c>
      <c r="BM96" s="235">
        <f t="shared" si="274"/>
        <v>1.3964972072487702E-2</v>
      </c>
      <c r="BN96" s="235">
        <f t="shared" si="274"/>
        <v>2.1246422015031463E-2</v>
      </c>
      <c r="BO96" s="160"/>
      <c r="BP96" s="160" t="s">
        <v>17</v>
      </c>
      <c r="BQ96" s="160">
        <f t="shared" ref="BQ96:CF96" si="275">IF(AND(BP86&lt;0,BQ86&gt;0),"n/a",BQ86/BP86-1)</f>
        <v>-0.60060151178182863</v>
      </c>
      <c r="BR96" s="160" t="str">
        <f t="shared" si="275"/>
        <v>n/a</v>
      </c>
      <c r="BS96" s="160">
        <f t="shared" si="275"/>
        <v>0.3773688431182205</v>
      </c>
      <c r="BT96" s="160">
        <f t="shared" si="275"/>
        <v>-0.91843275771847199</v>
      </c>
      <c r="BU96" s="160">
        <f t="shared" si="275"/>
        <v>104.08083140877598</v>
      </c>
      <c r="BV96" s="160">
        <f t="shared" si="275"/>
        <v>0.34075357142857143</v>
      </c>
      <c r="BW96" s="160">
        <f t="shared" si="275"/>
        <v>-0.13019769000924775</v>
      </c>
      <c r="BX96" s="160">
        <f t="shared" si="275"/>
        <v>6.9902262161398721E-2</v>
      </c>
      <c r="BY96" s="160">
        <f t="shared" si="275"/>
        <v>-7.8200394493412873E-3</v>
      </c>
      <c r="BZ96" s="160">
        <f t="shared" si="275"/>
        <v>2.085871406859841</v>
      </c>
      <c r="CA96" s="160">
        <f t="shared" si="275"/>
        <v>-0.72055800368406597</v>
      </c>
      <c r="CB96" s="160">
        <f t="shared" si="275"/>
        <v>-0.26217678775918984</v>
      </c>
      <c r="CC96" s="160">
        <f t="shared" si="275"/>
        <v>1.3828922172288887</v>
      </c>
      <c r="CD96" s="160">
        <f t="shared" si="275"/>
        <v>0.18281177574692298</v>
      </c>
      <c r="CE96" s="160">
        <f t="shared" si="275"/>
        <v>0.10549285663301067</v>
      </c>
      <c r="CF96" s="160">
        <f t="shared" si="275"/>
        <v>9.4637221349497702E-2</v>
      </c>
    </row>
    <row r="98" spans="1:84" s="12" customFormat="1">
      <c r="A98" s="634" t="s">
        <v>368</v>
      </c>
      <c r="BY98" s="304"/>
      <c r="BZ98" s="304"/>
      <c r="CA98" s="304"/>
      <c r="CB98" s="305"/>
      <c r="CC98" s="305"/>
      <c r="CD98" s="305"/>
      <c r="CE98" s="305"/>
      <c r="CF98" s="305"/>
    </row>
    <row r="99" spans="1:84" s="132" customFormat="1">
      <c r="A99" s="266" t="s">
        <v>289</v>
      </c>
      <c r="B99" s="235" t="s">
        <v>17</v>
      </c>
      <c r="C99" s="235">
        <f t="shared" ref="C99:AH99" si="276">C63/B63-1</f>
        <v>-0.16751787538304397</v>
      </c>
      <c r="D99" s="235">
        <f t="shared" si="276"/>
        <v>-0.2257668711656442</v>
      </c>
      <c r="E99" s="235">
        <f t="shared" si="276"/>
        <v>0.66877971473851039</v>
      </c>
      <c r="F99" s="235">
        <f t="shared" si="276"/>
        <v>3.5137701804368371E-2</v>
      </c>
      <c r="G99" s="235">
        <f t="shared" si="276"/>
        <v>-8.3486238532110124E-2</v>
      </c>
      <c r="H99" s="235">
        <f t="shared" si="276"/>
        <v>-0.28428428428428432</v>
      </c>
      <c r="I99" s="235">
        <f t="shared" si="276"/>
        <v>0.48391608391608387</v>
      </c>
      <c r="J99" s="235">
        <f t="shared" si="276"/>
        <v>0.28934967012252599</v>
      </c>
      <c r="K99" s="235">
        <f t="shared" si="276"/>
        <v>-0.30190058479532167</v>
      </c>
      <c r="L99" s="235">
        <f t="shared" si="276"/>
        <v>-0.2554973821989529</v>
      </c>
      <c r="M99" s="235">
        <f t="shared" si="276"/>
        <v>0.29676511954992968</v>
      </c>
      <c r="N99" s="235">
        <f t="shared" si="276"/>
        <v>0.31127982646420826</v>
      </c>
      <c r="O99" s="235">
        <f t="shared" si="276"/>
        <v>-0.21505376344086025</v>
      </c>
      <c r="P99" s="235">
        <f t="shared" si="276"/>
        <v>-0.26765015806111692</v>
      </c>
      <c r="Q99" s="235">
        <f t="shared" si="276"/>
        <v>0.16258992805755401</v>
      </c>
      <c r="R99" s="235">
        <f t="shared" si="276"/>
        <v>0.38985148514851486</v>
      </c>
      <c r="S99" s="235">
        <f t="shared" si="276"/>
        <v>8.1032947462154947E-2</v>
      </c>
      <c r="T99" s="235">
        <f t="shared" si="276"/>
        <v>-0.18451400329489287</v>
      </c>
      <c r="U99" s="235">
        <f t="shared" si="276"/>
        <v>0.13737373737373737</v>
      </c>
      <c r="V99" s="235">
        <f t="shared" si="276"/>
        <v>5.2397868561278926E-2</v>
      </c>
      <c r="W99" s="235">
        <f t="shared" si="276"/>
        <v>1.51898734177216E-2</v>
      </c>
      <c r="X99" s="235">
        <f t="shared" si="276"/>
        <v>-0.32252701579384868</v>
      </c>
      <c r="Y99" s="235">
        <f t="shared" si="276"/>
        <v>0.31288343558282206</v>
      </c>
      <c r="Z99" s="235">
        <f t="shared" si="276"/>
        <v>0.22242990654205608</v>
      </c>
      <c r="AA99" s="235">
        <f t="shared" si="276"/>
        <v>-2.828746177370034E-2</v>
      </c>
      <c r="AB99" s="235">
        <f t="shared" si="276"/>
        <v>-0.29346970889063728</v>
      </c>
      <c r="AC99" s="235">
        <f t="shared" si="276"/>
        <v>0.27951002227171484</v>
      </c>
      <c r="AD99" s="235">
        <f t="shared" si="276"/>
        <v>0.328981723237598</v>
      </c>
      <c r="AE99" s="235">
        <f t="shared" si="276"/>
        <v>-5.1080550098231869E-2</v>
      </c>
      <c r="AF99" s="235">
        <f t="shared" si="276"/>
        <v>-0.33816425120772942</v>
      </c>
      <c r="AG99" s="235">
        <f t="shared" si="276"/>
        <v>0.20959332638164763</v>
      </c>
      <c r="AH99" s="235">
        <f t="shared" si="276"/>
        <v>0.36379310344827576</v>
      </c>
      <c r="AI99" s="235">
        <f t="shared" ref="AI99:BN99" si="277">AI63/AH63-1</f>
        <v>-0.28128950695322374</v>
      </c>
      <c r="AJ99" s="235">
        <f t="shared" si="277"/>
        <v>0.13104661389621808</v>
      </c>
      <c r="AK99" s="235">
        <f t="shared" si="277"/>
        <v>2.3328149300154699E-3</v>
      </c>
      <c r="AL99" s="235">
        <f t="shared" si="277"/>
        <v>-3.9565554693560934E-2</v>
      </c>
      <c r="AM99" s="235">
        <f t="shared" si="277"/>
        <v>-2.342487883683364E-2</v>
      </c>
      <c r="AN99" s="235">
        <f t="shared" si="277"/>
        <v>0.11497105045492151</v>
      </c>
      <c r="AO99" s="235">
        <f t="shared" si="277"/>
        <v>0.18175074183976259</v>
      </c>
      <c r="AP99" s="235">
        <f t="shared" si="277"/>
        <v>-0.12931575643440052</v>
      </c>
      <c r="AQ99" s="235">
        <f t="shared" si="277"/>
        <v>5.1910598413842823E-2</v>
      </c>
      <c r="AR99" s="235">
        <f t="shared" si="277"/>
        <v>-0.21110349554489372</v>
      </c>
      <c r="AS99" s="235">
        <f t="shared" si="277"/>
        <v>0.45351867940920942</v>
      </c>
      <c r="AT99" s="235">
        <f t="shared" si="277"/>
        <v>-0.19545726240286909</v>
      </c>
      <c r="AU99" s="235">
        <f t="shared" si="277"/>
        <v>0.15230312035661209</v>
      </c>
      <c r="AV99" s="235">
        <f t="shared" si="277"/>
        <v>0.17730496453900702</v>
      </c>
      <c r="AW99" s="235">
        <f t="shared" si="277"/>
        <v>-4.5752259036144549E-2</v>
      </c>
      <c r="AX99" s="235">
        <f t="shared" si="277"/>
        <v>3.6284717601610117E-2</v>
      </c>
      <c r="AY99" s="235">
        <f t="shared" si="277"/>
        <v>0.1479222474064763</v>
      </c>
      <c r="AZ99" s="235">
        <f t="shared" si="277"/>
        <v>3.0173720093735534E-2</v>
      </c>
      <c r="BA99" s="235">
        <f t="shared" si="277"/>
        <v>-7.6288173144939297E-2</v>
      </c>
      <c r="BB99" s="235">
        <f t="shared" si="277"/>
        <v>-3.8904375572752281E-2</v>
      </c>
      <c r="BC99" s="235">
        <f t="shared" si="277"/>
        <v>0.11825993700506765</v>
      </c>
      <c r="BD99" s="235">
        <f t="shared" si="277"/>
        <v>3.8781427931297241E-2</v>
      </c>
      <c r="BE99" s="235">
        <f t="shared" si="277"/>
        <v>-6.3621732255348284E-2</v>
      </c>
      <c r="BF99" s="235">
        <f t="shared" si="277"/>
        <v>-3.8102763184072796E-2</v>
      </c>
      <c r="BG99" s="235">
        <f t="shared" si="277"/>
        <v>0.11159068444989284</v>
      </c>
      <c r="BH99" s="235">
        <f t="shared" si="277"/>
        <v>0.14202771924062696</v>
      </c>
      <c r="BI99" s="235">
        <f t="shared" si="277"/>
        <v>-8.8805132024541433E-2</v>
      </c>
      <c r="BJ99" s="235">
        <f t="shared" si="277"/>
        <v>-5.5871316157240614E-2</v>
      </c>
      <c r="BK99" s="235">
        <f t="shared" si="277"/>
        <v>9.0917716999561859E-2</v>
      </c>
      <c r="BL99" s="235">
        <f t="shared" si="277"/>
        <v>3.4841556092226167E-2</v>
      </c>
      <c r="BM99" s="235">
        <f t="shared" si="277"/>
        <v>-4.0308244902106383E-2</v>
      </c>
      <c r="BN99" s="235">
        <f t="shared" si="277"/>
        <v>-4.6073045005190494E-2</v>
      </c>
      <c r="BO99" s="160"/>
      <c r="BP99" s="160" t="s">
        <v>17</v>
      </c>
      <c r="BQ99" s="160" t="s">
        <v>17</v>
      </c>
      <c r="BR99" s="160" t="s">
        <v>17</v>
      </c>
      <c r="BS99" s="160" t="s">
        <v>17</v>
      </c>
      <c r="BT99" s="160" t="s">
        <v>17</v>
      </c>
      <c r="BU99" s="160" t="s">
        <v>17</v>
      </c>
      <c r="BV99" s="160" t="s">
        <v>17</v>
      </c>
      <c r="BW99" s="160" t="s">
        <v>17</v>
      </c>
      <c r="BX99" s="160" t="s">
        <v>17</v>
      </c>
      <c r="BY99" s="160" t="s">
        <v>17</v>
      </c>
      <c r="BZ99" s="160" t="s">
        <v>17</v>
      </c>
      <c r="CA99" s="160" t="s">
        <v>17</v>
      </c>
      <c r="CB99" s="160" t="s">
        <v>17</v>
      </c>
      <c r="CC99" s="160" t="s">
        <v>17</v>
      </c>
      <c r="CD99" s="160" t="s">
        <v>17</v>
      </c>
      <c r="CE99" s="160" t="s">
        <v>17</v>
      </c>
      <c r="CF99" s="160" t="s">
        <v>17</v>
      </c>
    </row>
    <row r="100" spans="1:84">
      <c r="A100" s="8" t="s">
        <v>121</v>
      </c>
      <c r="B100" s="235" t="s">
        <v>17</v>
      </c>
      <c r="C100" s="235">
        <f t="shared" ref="C100:AH100" si="278">IF(AND(B65&lt;0,C65&gt;0),"n/a",C65/B65-1)</f>
        <v>-0.25503355704697983</v>
      </c>
      <c r="D100" s="235">
        <f t="shared" si="278"/>
        <v>0.63513513513513509</v>
      </c>
      <c r="E100" s="235">
        <f t="shared" si="278"/>
        <v>0.61432506887052352</v>
      </c>
      <c r="F100" s="235">
        <f t="shared" si="278"/>
        <v>-0.44027303754266212</v>
      </c>
      <c r="G100" s="235">
        <f t="shared" si="278"/>
        <v>-0.26829268292682928</v>
      </c>
      <c r="H100" s="235">
        <f t="shared" si="278"/>
        <v>0.8</v>
      </c>
      <c r="I100" s="235">
        <f t="shared" si="278"/>
        <v>0.27777777777777768</v>
      </c>
      <c r="J100" s="235">
        <f t="shared" si="278"/>
        <v>-0.32246376811594202</v>
      </c>
      <c r="K100" s="235">
        <f t="shared" si="278"/>
        <v>-0.45187165775401072</v>
      </c>
      <c r="L100" s="235">
        <f t="shared" si="278"/>
        <v>1.1707317073170733</v>
      </c>
      <c r="M100" s="235">
        <f t="shared" si="278"/>
        <v>-3.5955056179775235E-2</v>
      </c>
      <c r="N100" s="235">
        <f t="shared" si="278"/>
        <v>-0.27972027972027969</v>
      </c>
      <c r="O100" s="235">
        <f t="shared" si="278"/>
        <v>-0.37216828478964403</v>
      </c>
      <c r="P100" s="235">
        <f t="shared" si="278"/>
        <v>1.1288659793814433</v>
      </c>
      <c r="Q100" s="235">
        <f t="shared" si="278"/>
        <v>0.25181598062953992</v>
      </c>
      <c r="R100" s="235">
        <f t="shared" si="278"/>
        <v>-0.56866537717601551</v>
      </c>
      <c r="S100" s="235">
        <f t="shared" si="278"/>
        <v>0.64573991031390143</v>
      </c>
      <c r="T100" s="235">
        <f t="shared" si="278"/>
        <v>0.1634877384196185</v>
      </c>
      <c r="U100" s="235">
        <f t="shared" si="278"/>
        <v>-6.0889929742388715E-2</v>
      </c>
      <c r="V100" s="235">
        <f t="shared" si="278"/>
        <v>-0.41645885286783046</v>
      </c>
      <c r="W100" s="235">
        <f t="shared" si="278"/>
        <v>-0.26068376068376065</v>
      </c>
      <c r="X100" s="235">
        <f t="shared" si="278"/>
        <v>1.3641618497109826</v>
      </c>
      <c r="Y100" s="235">
        <f t="shared" si="278"/>
        <v>0.33496332518337413</v>
      </c>
      <c r="Z100" s="235">
        <f t="shared" si="278"/>
        <v>-0.58608058608058611</v>
      </c>
      <c r="AA100" s="235">
        <f t="shared" si="278"/>
        <v>-0.20796460176991149</v>
      </c>
      <c r="AB100" s="235">
        <f t="shared" si="278"/>
        <v>1.2402234636871508</v>
      </c>
      <c r="AC100" s="235">
        <f t="shared" si="278"/>
        <v>0.28678304239401498</v>
      </c>
      <c r="AD100" s="235">
        <f t="shared" si="278"/>
        <v>-0.60852713178294571</v>
      </c>
      <c r="AE100" s="235">
        <f t="shared" si="278"/>
        <v>-0.23762376237623761</v>
      </c>
      <c r="AF100" s="235">
        <f t="shared" si="278"/>
        <v>1.5259740259740258</v>
      </c>
      <c r="AG100" s="235">
        <f t="shared" si="278"/>
        <v>0.28791773778920304</v>
      </c>
      <c r="AH100" s="235">
        <f t="shared" si="278"/>
        <v>-0.53493013972055881</v>
      </c>
      <c r="AI100" s="235">
        <f t="shared" ref="AI100:BN100" si="279">IF(AND(AH65&lt;0,AI65&gt;0),"n/a",AI65/AH65-1)</f>
        <v>-7.7253218884120178E-2</v>
      </c>
      <c r="AJ100" s="235">
        <f t="shared" si="279"/>
        <v>0.94418604651162785</v>
      </c>
      <c r="AK100" s="235">
        <f t="shared" si="279"/>
        <v>-1.1961722488038284E-2</v>
      </c>
      <c r="AL100" s="235">
        <f t="shared" si="279"/>
        <v>-0.33171912832929784</v>
      </c>
      <c r="AM100" s="235">
        <f t="shared" si="279"/>
        <v>-0.32246376811594202</v>
      </c>
      <c r="AN100" s="235">
        <f t="shared" si="279"/>
        <v>1.1657754010695189</v>
      </c>
      <c r="AO100" s="235">
        <f t="shared" si="279"/>
        <v>0.2543209876543211</v>
      </c>
      <c r="AP100" s="235">
        <f t="shared" si="279"/>
        <v>-0.47047244094488194</v>
      </c>
      <c r="AQ100" s="235">
        <f t="shared" si="279"/>
        <v>7.0631970260222943E-2</v>
      </c>
      <c r="AR100" s="235">
        <f t="shared" si="279"/>
        <v>-6.9444444444444198E-3</v>
      </c>
      <c r="AS100" s="235">
        <f t="shared" si="279"/>
        <v>1.1013986013986012</v>
      </c>
      <c r="AT100" s="235">
        <f t="shared" si="279"/>
        <v>-0.46921797004991683</v>
      </c>
      <c r="AU100" s="235">
        <f t="shared" si="279"/>
        <v>-1.2539184952978011E-2</v>
      </c>
      <c r="AV100" s="235">
        <f t="shared" si="279"/>
        <v>0.56825396825396823</v>
      </c>
      <c r="AW100" s="235">
        <f t="shared" si="279"/>
        <v>0.2708229881494606</v>
      </c>
      <c r="AX100" s="235">
        <f t="shared" si="279"/>
        <v>-0.35216052143886434</v>
      </c>
      <c r="AY100" s="235">
        <f t="shared" si="279"/>
        <v>-0.11977097529479286</v>
      </c>
      <c r="AZ100" s="235">
        <f t="shared" si="279"/>
        <v>0.49287165493788865</v>
      </c>
      <c r="BA100" s="235">
        <f t="shared" si="279"/>
        <v>0.27613335228896285</v>
      </c>
      <c r="BB100" s="235">
        <f t="shared" si="279"/>
        <v>-0.45920381956448908</v>
      </c>
      <c r="BC100" s="235">
        <f t="shared" si="279"/>
        <v>-8.4652112582632166E-2</v>
      </c>
      <c r="BD100" s="235">
        <f t="shared" si="279"/>
        <v>0.54814702272473803</v>
      </c>
      <c r="BE100" s="235">
        <f t="shared" si="279"/>
        <v>0.26369531887598163</v>
      </c>
      <c r="BF100" s="235">
        <f t="shared" si="279"/>
        <v>-0.41693502284308182</v>
      </c>
      <c r="BG100" s="235">
        <f t="shared" si="279"/>
        <v>-8.0376577073824063E-2</v>
      </c>
      <c r="BH100" s="235">
        <f t="shared" si="279"/>
        <v>0.7989340421164064</v>
      </c>
      <c r="BI100" s="235">
        <f t="shared" si="279"/>
        <v>0.11523610691516328</v>
      </c>
      <c r="BJ100" s="235">
        <f t="shared" si="279"/>
        <v>-0.42091111797940273</v>
      </c>
      <c r="BK100" s="235">
        <f t="shared" si="279"/>
        <v>-8.3482150818117495E-2</v>
      </c>
      <c r="BL100" s="235">
        <f t="shared" si="279"/>
        <v>0.53716530320749012</v>
      </c>
      <c r="BM100" s="235">
        <f t="shared" si="279"/>
        <v>0.26062559191524626</v>
      </c>
      <c r="BN100" s="235">
        <f t="shared" si="279"/>
        <v>-0.40846529984054991</v>
      </c>
      <c r="BO100" s="160"/>
      <c r="BP100" s="160" t="s">
        <v>17</v>
      </c>
      <c r="BQ100" s="160" t="s">
        <v>17</v>
      </c>
      <c r="BR100" s="160" t="s">
        <v>17</v>
      </c>
      <c r="BS100" s="160" t="s">
        <v>17</v>
      </c>
      <c r="BT100" s="160" t="s">
        <v>17</v>
      </c>
      <c r="BU100" s="160" t="s">
        <v>17</v>
      </c>
      <c r="BV100" s="160" t="s">
        <v>17</v>
      </c>
      <c r="BW100" s="160" t="s">
        <v>17</v>
      </c>
      <c r="BX100" s="160" t="s">
        <v>17</v>
      </c>
      <c r="BY100" s="160" t="s">
        <v>17</v>
      </c>
      <c r="BZ100" s="160" t="s">
        <v>17</v>
      </c>
      <c r="CA100" s="160" t="s">
        <v>17</v>
      </c>
      <c r="CB100" s="160" t="s">
        <v>17</v>
      </c>
      <c r="CC100" s="160" t="s">
        <v>17</v>
      </c>
      <c r="CD100" s="160" t="s">
        <v>17</v>
      </c>
      <c r="CE100" s="160" t="s">
        <v>17</v>
      </c>
      <c r="CF100" s="160" t="s">
        <v>17</v>
      </c>
    </row>
    <row r="101" spans="1:84">
      <c r="A101" s="8" t="s">
        <v>369</v>
      </c>
      <c r="B101" s="235" t="s">
        <v>17</v>
      </c>
      <c r="C101" s="235">
        <f t="shared" ref="C101:AH101" si="280">IF(AND(B66&lt;0,C66&gt;0),"n/a",C66/B66-1)</f>
        <v>-0.12922173274596183</v>
      </c>
      <c r="D101" s="235">
        <f t="shared" si="280"/>
        <v>-0.54806070826306907</v>
      </c>
      <c r="E101" s="235">
        <f t="shared" si="280"/>
        <v>0.74253731343283591</v>
      </c>
      <c r="F101" s="235">
        <f t="shared" si="280"/>
        <v>0.63169164882226991</v>
      </c>
      <c r="G101" s="235">
        <f t="shared" si="280"/>
        <v>-3.937007874015741E-3</v>
      </c>
      <c r="H101" s="235">
        <f t="shared" si="280"/>
        <v>-0.627140974967062</v>
      </c>
      <c r="I101" s="235">
        <f t="shared" si="280"/>
        <v>0.79858657243816245</v>
      </c>
      <c r="J101" s="235">
        <f t="shared" si="280"/>
        <v>0.95284872298624745</v>
      </c>
      <c r="K101" s="235">
        <f t="shared" si="280"/>
        <v>-0.24547283702213285</v>
      </c>
      <c r="L101" s="235">
        <f t="shared" si="280"/>
        <v>-0.64533333333333331</v>
      </c>
      <c r="M101" s="235">
        <f t="shared" si="280"/>
        <v>0.85338345864661647</v>
      </c>
      <c r="N101" s="235">
        <f t="shared" si="280"/>
        <v>0.82555780933062883</v>
      </c>
      <c r="O101" s="235">
        <f t="shared" si="280"/>
        <v>-0.16111111111111109</v>
      </c>
      <c r="P101" s="235">
        <f t="shared" si="280"/>
        <v>-0.62649006622516556</v>
      </c>
      <c r="Q101" s="235">
        <f t="shared" si="280"/>
        <v>3.1914893617021267E-2</v>
      </c>
      <c r="R101" s="235">
        <f t="shared" si="280"/>
        <v>2.0927835051546393</v>
      </c>
      <c r="S101" s="235">
        <f t="shared" si="280"/>
        <v>-5.888888888888888E-2</v>
      </c>
      <c r="T101" s="235">
        <f t="shared" si="280"/>
        <v>-0.33530106257378989</v>
      </c>
      <c r="U101" s="235">
        <f t="shared" si="280"/>
        <v>0.28774422735346361</v>
      </c>
      <c r="V101" s="235">
        <f t="shared" si="280"/>
        <v>0.31172413793103448</v>
      </c>
      <c r="W101" s="235">
        <f t="shared" si="280"/>
        <v>8.3070452155625585E-2</v>
      </c>
      <c r="X101" s="235">
        <f t="shared" si="280"/>
        <v>-0.60582524271844662</v>
      </c>
      <c r="Y101" s="235">
        <f t="shared" si="280"/>
        <v>0.29064039408866993</v>
      </c>
      <c r="Z101" s="235">
        <f t="shared" si="280"/>
        <v>1.0648854961832059</v>
      </c>
      <c r="AA101" s="235">
        <f t="shared" si="280"/>
        <v>9.2421441774490631E-3</v>
      </c>
      <c r="AB101" s="235">
        <f t="shared" si="280"/>
        <v>-0.54487179487179493</v>
      </c>
      <c r="AC101" s="235">
        <f t="shared" si="280"/>
        <v>0.27364185110663986</v>
      </c>
      <c r="AD101" s="235">
        <f t="shared" si="280"/>
        <v>1.0932069510268563</v>
      </c>
      <c r="AE101" s="235">
        <f t="shared" si="280"/>
        <v>-2.2641509433962259E-2</v>
      </c>
      <c r="AF101" s="235">
        <f t="shared" si="280"/>
        <v>-0.55984555984555984</v>
      </c>
      <c r="AG101" s="235">
        <f t="shared" si="280"/>
        <v>0.15614035087719302</v>
      </c>
      <c r="AH101" s="235">
        <f t="shared" si="280"/>
        <v>1.0470409711684372</v>
      </c>
      <c r="AI101" s="235">
        <f t="shared" ref="AI101:BN101" si="281">IF(AND(AH66&lt;0,AI66&gt;0),"n/a",AI66/AH66-1)</f>
        <v>-0.3165307635285397</v>
      </c>
      <c r="AJ101" s="235">
        <f t="shared" si="281"/>
        <v>-5.8568329718004297E-2</v>
      </c>
      <c r="AK101" s="235">
        <f t="shared" si="281"/>
        <v>9.2165898617511122E-3</v>
      </c>
      <c r="AL101" s="235">
        <f t="shared" si="281"/>
        <v>9.8173515981735182E-2</v>
      </c>
      <c r="AM101" s="235">
        <f t="shared" si="281"/>
        <v>6.2370062370062263E-2</v>
      </c>
      <c r="AN101" s="235">
        <f t="shared" si="281"/>
        <v>-7.7299412915851295E-2</v>
      </c>
      <c r="AO101" s="235">
        <f t="shared" si="281"/>
        <v>0.15058324496288433</v>
      </c>
      <c r="AP101" s="235">
        <f t="shared" si="281"/>
        <v>3.0414746543778737E-2</v>
      </c>
      <c r="AQ101" s="235">
        <f t="shared" si="281"/>
        <v>4.7406082289803253E-2</v>
      </c>
      <c r="AR101" s="235">
        <f t="shared" si="281"/>
        <v>-0.26131511528608031</v>
      </c>
      <c r="AS101" s="235">
        <f t="shared" si="281"/>
        <v>0.23930635838150294</v>
      </c>
      <c r="AT101" s="235">
        <f t="shared" si="281"/>
        <v>-4.1977611940298476E-2</v>
      </c>
      <c r="AU101" s="235">
        <f t="shared" si="281"/>
        <v>0.20350535540408954</v>
      </c>
      <c r="AV101" s="235">
        <f t="shared" si="281"/>
        <v>7.7669902912621325E-2</v>
      </c>
      <c r="AW101" s="235">
        <f t="shared" si="281"/>
        <v>-0.16316079665603123</v>
      </c>
      <c r="AX101" s="235">
        <f t="shared" si="281"/>
        <v>0.25505864934683586</v>
      </c>
      <c r="AY101" s="235">
        <f t="shared" si="281"/>
        <v>0.22574499035700768</v>
      </c>
      <c r="AZ101" s="235">
        <f t="shared" si="281"/>
        <v>-6.642297698850741E-2</v>
      </c>
      <c r="BA101" s="235">
        <f t="shared" si="281"/>
        <v>-0.19394021268676731</v>
      </c>
      <c r="BB101" s="235">
        <f t="shared" si="281"/>
        <v>0.18323454270595674</v>
      </c>
      <c r="BC101" s="235">
        <f t="shared" si="281"/>
        <v>0.16727577712243069</v>
      </c>
      <c r="BD101" s="235">
        <f t="shared" si="281"/>
        <v>-5.7706044629175723E-2</v>
      </c>
      <c r="BE101" s="235">
        <f t="shared" si="281"/>
        <v>-0.16548925616099086</v>
      </c>
      <c r="BF101" s="235">
        <f t="shared" si="281"/>
        <v>0.14043270998634561</v>
      </c>
      <c r="BG101" s="235">
        <f t="shared" si="281"/>
        <v>0.1578449750116615</v>
      </c>
      <c r="BH101" s="235">
        <f t="shared" si="281"/>
        <v>1.6312485895503714E-2</v>
      </c>
      <c r="BI101" s="235">
        <f t="shared" si="281"/>
        <v>-0.15792300977599527</v>
      </c>
      <c r="BJ101" s="235">
        <f t="shared" si="281"/>
        <v>0.10789617057500211</v>
      </c>
      <c r="BK101" s="235">
        <f t="shared" si="281"/>
        <v>0.13181361804622993</v>
      </c>
      <c r="BL101" s="235">
        <f t="shared" si="281"/>
        <v>-6.0544161606908453E-2</v>
      </c>
      <c r="BM101" s="235">
        <f t="shared" si="281"/>
        <v>-0.1338089460566998</v>
      </c>
      <c r="BN101" s="235">
        <f t="shared" si="281"/>
        <v>0.11779534168115102</v>
      </c>
      <c r="BO101" s="160"/>
      <c r="BP101" s="160" t="s">
        <v>17</v>
      </c>
      <c r="BQ101" s="160" t="s">
        <v>17</v>
      </c>
      <c r="BR101" s="160" t="s">
        <v>17</v>
      </c>
      <c r="BS101" s="160" t="s">
        <v>17</v>
      </c>
      <c r="BT101" s="160" t="s">
        <v>17</v>
      </c>
      <c r="BU101" s="160" t="s">
        <v>17</v>
      </c>
      <c r="BV101" s="160" t="s">
        <v>17</v>
      </c>
      <c r="BW101" s="160" t="s">
        <v>17</v>
      </c>
      <c r="BX101" s="160" t="s">
        <v>17</v>
      </c>
      <c r="BY101" s="160" t="s">
        <v>17</v>
      </c>
      <c r="BZ101" s="160" t="s">
        <v>17</v>
      </c>
      <c r="CA101" s="160" t="s">
        <v>17</v>
      </c>
      <c r="CB101" s="160" t="s">
        <v>17</v>
      </c>
      <c r="CC101" s="160" t="s">
        <v>17</v>
      </c>
      <c r="CD101" s="160" t="s">
        <v>17</v>
      </c>
      <c r="CE101" s="160" t="s">
        <v>17</v>
      </c>
      <c r="CF101" s="160" t="s">
        <v>17</v>
      </c>
    </row>
    <row r="102" spans="1:84">
      <c r="A102" s="127" t="s">
        <v>377</v>
      </c>
      <c r="B102" s="235" t="s">
        <v>17</v>
      </c>
      <c r="C102" s="235">
        <f t="shared" ref="C102:AH102" si="282">IF(AND(B78&lt;0,C78&gt;0),"n/a",C78/B78-1)</f>
        <v>0.18072289156626509</v>
      </c>
      <c r="D102" s="235">
        <f t="shared" si="282"/>
        <v>-3.5714285714285716</v>
      </c>
      <c r="E102" s="235">
        <f t="shared" si="282"/>
        <v>0.20238095238095233</v>
      </c>
      <c r="F102" s="235" t="str">
        <f t="shared" si="282"/>
        <v>n/a</v>
      </c>
      <c r="G102" s="235">
        <f t="shared" si="282"/>
        <v>0.56551724137931036</v>
      </c>
      <c r="H102" s="235">
        <f t="shared" si="282"/>
        <v>-2.6475770925110131</v>
      </c>
      <c r="I102" s="235">
        <f t="shared" si="282"/>
        <v>-0.51069518716577544</v>
      </c>
      <c r="J102" s="235" t="str">
        <f t="shared" si="282"/>
        <v>n/a</v>
      </c>
      <c r="K102" s="235">
        <f t="shared" si="282"/>
        <v>-0.41095890410958902</v>
      </c>
      <c r="L102" s="235">
        <f t="shared" si="282"/>
        <v>-2.6930232558139533</v>
      </c>
      <c r="M102" s="235">
        <f t="shared" si="282"/>
        <v>-0.8928571428571429</v>
      </c>
      <c r="N102" s="235" t="str">
        <f t="shared" si="282"/>
        <v>n/a</v>
      </c>
      <c r="O102" s="235">
        <f t="shared" si="282"/>
        <v>-0.24595469255663427</v>
      </c>
      <c r="P102" s="235">
        <f t="shared" si="282"/>
        <v>-2.0815450643776825</v>
      </c>
      <c r="Q102" s="235">
        <f t="shared" si="282"/>
        <v>0.15873015873015883</v>
      </c>
      <c r="R102" s="235" t="str">
        <f t="shared" si="282"/>
        <v>n/a</v>
      </c>
      <c r="S102" s="235">
        <f t="shared" si="282"/>
        <v>5.232558139534893E-2</v>
      </c>
      <c r="T102" s="235">
        <f t="shared" si="282"/>
        <v>-0.93370165745856348</v>
      </c>
      <c r="U102" s="235">
        <f t="shared" si="282"/>
        <v>5.75</v>
      </c>
      <c r="V102" s="235">
        <f t="shared" si="282"/>
        <v>1.4691358024691357</v>
      </c>
      <c r="W102" s="235">
        <f t="shared" si="282"/>
        <v>0.28000000000000003</v>
      </c>
      <c r="X102" s="235">
        <f t="shared" si="282"/>
        <v>-1.232421875</v>
      </c>
      <c r="Y102" s="235">
        <f t="shared" si="282"/>
        <v>-0.73949579831932777</v>
      </c>
      <c r="Z102" s="235" t="str">
        <f t="shared" si="282"/>
        <v>n/a</v>
      </c>
      <c r="AA102" s="235">
        <f t="shared" si="282"/>
        <v>4.4776119402984982E-2</v>
      </c>
      <c r="AB102" s="235">
        <f t="shared" si="282"/>
        <v>-1.0874999999999999</v>
      </c>
      <c r="AC102" s="235">
        <f t="shared" si="282"/>
        <v>-0.91836734693877553</v>
      </c>
      <c r="AD102" s="235" t="str">
        <f t="shared" si="282"/>
        <v>n/a</v>
      </c>
      <c r="AE102" s="235">
        <f t="shared" si="282"/>
        <v>3.6262203626220346E-2</v>
      </c>
      <c r="AF102" s="235">
        <f t="shared" si="282"/>
        <v>-1.0551816958277254</v>
      </c>
      <c r="AG102" s="235">
        <f t="shared" si="282"/>
        <v>-0.48780487804878048</v>
      </c>
      <c r="AH102" s="235" t="str">
        <f t="shared" si="282"/>
        <v>n/a</v>
      </c>
      <c r="AI102" s="235">
        <f t="shared" ref="AI102:BN102" si="283">IF(AND(AH78&lt;0,AI78&gt;0),"n/a",AI78/AH78-1)</f>
        <v>-0.60159362549800799</v>
      </c>
      <c r="AJ102" s="235">
        <f t="shared" si="283"/>
        <v>-0.14000000000000001</v>
      </c>
      <c r="AK102" s="235">
        <f t="shared" si="283"/>
        <v>-6.2015503875968991E-2</v>
      </c>
      <c r="AL102" s="235">
        <f t="shared" si="283"/>
        <v>-0.19008264462809921</v>
      </c>
      <c r="AM102" s="235">
        <f t="shared" si="283"/>
        <v>1.1173469387755102</v>
      </c>
      <c r="AN102" s="235">
        <f t="shared" si="283"/>
        <v>-0.35421686746987957</v>
      </c>
      <c r="AO102" s="235">
        <f t="shared" si="283"/>
        <v>0.34701492537313428</v>
      </c>
      <c r="AP102" s="235">
        <f t="shared" si="283"/>
        <v>0.11080332409972304</v>
      </c>
      <c r="AQ102" s="235">
        <f t="shared" si="283"/>
        <v>0.1745635910224439</v>
      </c>
      <c r="AR102" s="235">
        <f t="shared" si="283"/>
        <v>-0.68365180467091302</v>
      </c>
      <c r="AS102" s="235">
        <f t="shared" si="283"/>
        <v>0.68456375838926165</v>
      </c>
      <c r="AT102" s="235">
        <f t="shared" si="283"/>
        <v>-0.3027888446215139</v>
      </c>
      <c r="AU102" s="235">
        <f t="shared" si="283"/>
        <v>0.84000000000000008</v>
      </c>
      <c r="AV102" s="235">
        <f t="shared" si="283"/>
        <v>5.5900621118012417E-2</v>
      </c>
      <c r="AW102" s="235">
        <f t="shared" si="283"/>
        <v>-0.93705679651402729</v>
      </c>
      <c r="AX102" s="235">
        <f t="shared" si="283"/>
        <v>12.719527662037498</v>
      </c>
      <c r="AY102" s="235">
        <f t="shared" si="283"/>
        <v>1.5307590735441425</v>
      </c>
      <c r="AZ102" s="235">
        <f t="shared" si="283"/>
        <v>-0.27516892166662066</v>
      </c>
      <c r="BA102" s="235">
        <f t="shared" si="283"/>
        <v>-0.89406727724189405</v>
      </c>
      <c r="BB102" s="235">
        <f t="shared" si="283"/>
        <v>6.9449647417290183</v>
      </c>
      <c r="BC102" s="235">
        <f t="shared" si="283"/>
        <v>0.85007206794758727</v>
      </c>
      <c r="BD102" s="235">
        <f t="shared" si="283"/>
        <v>-0.2924363793170166</v>
      </c>
      <c r="BE102" s="235">
        <f t="shared" si="283"/>
        <v>-0.7088893372412417</v>
      </c>
      <c r="BF102" s="235">
        <f t="shared" si="283"/>
        <v>1.9461598954097545</v>
      </c>
      <c r="BG102" s="235">
        <f t="shared" si="283"/>
        <v>0.74714929258061047</v>
      </c>
      <c r="BH102" s="235">
        <f t="shared" si="283"/>
        <v>-0.34536683807587198</v>
      </c>
      <c r="BI102" s="235">
        <f t="shared" si="283"/>
        <v>-0.53420005214200716</v>
      </c>
      <c r="BJ102" s="235">
        <f t="shared" si="283"/>
        <v>1.2603344161315211</v>
      </c>
      <c r="BK102" s="235">
        <f t="shared" si="283"/>
        <v>0.6142747271481841</v>
      </c>
      <c r="BL102" s="235">
        <f t="shared" si="283"/>
        <v>-0.29108024166226543</v>
      </c>
      <c r="BM102" s="235">
        <f t="shared" si="283"/>
        <v>-0.605617559219783</v>
      </c>
      <c r="BN102" s="235">
        <f t="shared" si="283"/>
        <v>1.283960209169015</v>
      </c>
      <c r="BO102" s="160"/>
      <c r="BP102" s="160" t="s">
        <v>17</v>
      </c>
      <c r="BQ102" s="160" t="s">
        <v>17</v>
      </c>
      <c r="BR102" s="160" t="s">
        <v>17</v>
      </c>
      <c r="BS102" s="160" t="s">
        <v>17</v>
      </c>
      <c r="BT102" s="160" t="s">
        <v>17</v>
      </c>
      <c r="BU102" s="160" t="s">
        <v>17</v>
      </c>
      <c r="BV102" s="160" t="s">
        <v>17</v>
      </c>
      <c r="BW102" s="160" t="s">
        <v>17</v>
      </c>
      <c r="BX102" s="160" t="s">
        <v>17</v>
      </c>
      <c r="BY102" s="160" t="s">
        <v>17</v>
      </c>
      <c r="BZ102" s="160" t="s">
        <v>17</v>
      </c>
      <c r="CA102" s="160" t="s">
        <v>17</v>
      </c>
      <c r="CB102" s="160" t="s">
        <v>17</v>
      </c>
      <c r="CC102" s="160" t="s">
        <v>17</v>
      </c>
      <c r="CD102" s="160" t="s">
        <v>17</v>
      </c>
      <c r="CE102" s="160" t="s">
        <v>17</v>
      </c>
      <c r="CF102" s="160" t="s">
        <v>17</v>
      </c>
    </row>
    <row r="103" spans="1:84">
      <c r="A103" s="8" t="s">
        <v>212</v>
      </c>
      <c r="B103" s="235" t="s">
        <v>17</v>
      </c>
      <c r="C103" s="235">
        <f t="shared" ref="C103:AH103" si="284">IF(AND(B81&lt;0,C81&gt;0),"n/a",C81/B81-1)</f>
        <v>0.16250000000000009</v>
      </c>
      <c r="D103" s="235">
        <f t="shared" si="284"/>
        <v>-3.3440860215053765</v>
      </c>
      <c r="E103" s="235">
        <f t="shared" si="284"/>
        <v>0.38990825688073394</v>
      </c>
      <c r="F103" s="235" t="str">
        <f t="shared" si="284"/>
        <v>n/a</v>
      </c>
      <c r="G103" s="235">
        <f t="shared" si="284"/>
        <v>0.5436241610738255</v>
      </c>
      <c r="H103" s="235">
        <f t="shared" si="284"/>
        <v>-2.6521739130434785</v>
      </c>
      <c r="I103" s="235">
        <f t="shared" si="284"/>
        <v>-0.49210526315789471</v>
      </c>
      <c r="J103" s="235" t="str">
        <f t="shared" si="284"/>
        <v>n/a</v>
      </c>
      <c r="K103" s="235">
        <f t="shared" si="284"/>
        <v>-0.4182825484764543</v>
      </c>
      <c r="L103" s="235">
        <f t="shared" si="284"/>
        <v>-2.7523809523809524</v>
      </c>
      <c r="M103" s="235">
        <f t="shared" si="284"/>
        <v>-0.91032608695652173</v>
      </c>
      <c r="N103" s="235" t="str">
        <f t="shared" si="284"/>
        <v>n/a</v>
      </c>
      <c r="O103" s="235">
        <f t="shared" si="284"/>
        <v>-0.30909090909090908</v>
      </c>
      <c r="P103" s="235">
        <f t="shared" si="284"/>
        <v>-2.1403508771929824</v>
      </c>
      <c r="Q103" s="235">
        <f t="shared" si="284"/>
        <v>0.14615384615384608</v>
      </c>
      <c r="R103" s="235" t="str">
        <f t="shared" si="284"/>
        <v>n/a</v>
      </c>
      <c r="S103" s="235">
        <f t="shared" si="284"/>
        <v>5.0445103857566842E-2</v>
      </c>
      <c r="T103" s="235">
        <f t="shared" si="284"/>
        <v>-0.94915254237288138</v>
      </c>
      <c r="U103" s="235">
        <f t="shared" si="284"/>
        <v>7.6666666666666661</v>
      </c>
      <c r="V103" s="235">
        <f t="shared" si="284"/>
        <v>1.5448717948717947</v>
      </c>
      <c r="W103" s="235">
        <f t="shared" si="284"/>
        <v>0.28211586901763219</v>
      </c>
      <c r="X103" s="235">
        <f t="shared" si="284"/>
        <v>-1.2514734774066798</v>
      </c>
      <c r="Y103" s="235">
        <f t="shared" si="284"/>
        <v>-0.765625</v>
      </c>
      <c r="Z103" s="235" t="str">
        <f t="shared" si="284"/>
        <v>n/a</v>
      </c>
      <c r="AA103" s="235">
        <f t="shared" si="284"/>
        <v>4.9429657794676896E-2</v>
      </c>
      <c r="AB103" s="235">
        <f t="shared" si="284"/>
        <v>-1.0942028985507246</v>
      </c>
      <c r="AC103" s="235">
        <f t="shared" si="284"/>
        <v>-0.88461538461538458</v>
      </c>
      <c r="AD103" s="235" t="str">
        <f t="shared" si="284"/>
        <v>n/a</v>
      </c>
      <c r="AE103" s="235">
        <f t="shared" si="284"/>
        <v>4.60893854748603E-2</v>
      </c>
      <c r="AF103" s="235">
        <f t="shared" si="284"/>
        <v>-1.0507343124165553</v>
      </c>
      <c r="AG103" s="235">
        <f t="shared" si="284"/>
        <v>-0.57894736842105265</v>
      </c>
      <c r="AH103" s="235" t="str">
        <f t="shared" si="284"/>
        <v>n/a</v>
      </c>
      <c r="AI103" s="235">
        <f t="shared" ref="AI103:BN103" si="285">IF(AND(AH81&lt;0,AI81&gt;0),"n/a",AI81/AH81-1)</f>
        <v>-0.57692307692307687</v>
      </c>
      <c r="AJ103" s="235">
        <f t="shared" si="285"/>
        <v>-0.13479623824451414</v>
      </c>
      <c r="AK103" s="235">
        <f t="shared" si="285"/>
        <v>-3.9855072463768071E-2</v>
      </c>
      <c r="AL103" s="235">
        <f t="shared" si="285"/>
        <v>-0.17358490566037732</v>
      </c>
      <c r="AM103" s="235">
        <f t="shared" si="285"/>
        <v>0.99086757990867569</v>
      </c>
      <c r="AN103" s="235">
        <f t="shared" si="285"/>
        <v>-0.34862385321100919</v>
      </c>
      <c r="AO103" s="235">
        <f t="shared" si="285"/>
        <v>0.31690140845070425</v>
      </c>
      <c r="AP103" s="235">
        <f t="shared" si="285"/>
        <v>0.10695187165775399</v>
      </c>
      <c r="AQ103" s="235">
        <f t="shared" si="285"/>
        <v>0.13043478260869557</v>
      </c>
      <c r="AR103" s="235">
        <f t="shared" si="285"/>
        <v>-0.70299145299145294</v>
      </c>
      <c r="AS103" s="235">
        <f t="shared" si="285"/>
        <v>0.76258992805755388</v>
      </c>
      <c r="AT103" s="235">
        <f t="shared" si="285"/>
        <v>-0.32653061224489799</v>
      </c>
      <c r="AU103" s="235">
        <f t="shared" si="285"/>
        <v>0.8666666666666667</v>
      </c>
      <c r="AV103" s="235">
        <f t="shared" si="285"/>
        <v>5.8441558441558517E-2</v>
      </c>
      <c r="AW103" s="235">
        <f t="shared" si="285"/>
        <v>-0.99403991726482377</v>
      </c>
      <c r="AX103" s="235">
        <f t="shared" si="285"/>
        <v>140.97258249464335</v>
      </c>
      <c r="AY103" s="235">
        <f t="shared" si="285"/>
        <v>1.632530807278028</v>
      </c>
      <c r="AZ103" s="235">
        <f t="shared" si="285"/>
        <v>-0.27961785594695843</v>
      </c>
      <c r="BA103" s="235">
        <f t="shared" si="285"/>
        <v>-0.92814196576807184</v>
      </c>
      <c r="BB103" s="235">
        <f t="shared" si="285"/>
        <v>10.592194269591387</v>
      </c>
      <c r="BC103" s="235">
        <f t="shared" si="285"/>
        <v>0.88487744971995363</v>
      </c>
      <c r="BD103" s="235">
        <f t="shared" si="285"/>
        <v>-0.29857566381223288</v>
      </c>
      <c r="BE103" s="235">
        <f t="shared" si="285"/>
        <v>-0.73014059425403688</v>
      </c>
      <c r="BF103" s="235">
        <f t="shared" si="285"/>
        <v>2.1682031019666081</v>
      </c>
      <c r="BG103" s="235">
        <f t="shared" si="285"/>
        <v>0.77249614492670116</v>
      </c>
      <c r="BH103" s="235">
        <f t="shared" si="285"/>
        <v>-0.35167440168688036</v>
      </c>
      <c r="BI103" s="235">
        <f t="shared" si="285"/>
        <v>-0.54927566535173411</v>
      </c>
      <c r="BJ103" s="235">
        <f t="shared" si="285"/>
        <v>1.3432822993014017</v>
      </c>
      <c r="BK103" s="235">
        <f t="shared" si="285"/>
        <v>0.63019027188570176</v>
      </c>
      <c r="BL103" s="235">
        <f t="shared" si="285"/>
        <v>-0.29541301528593389</v>
      </c>
      <c r="BM103" s="235">
        <f t="shared" si="285"/>
        <v>-0.61853549579492284</v>
      </c>
      <c r="BN103" s="235">
        <f t="shared" si="285"/>
        <v>1.3596429340825926</v>
      </c>
      <c r="BO103" s="160"/>
      <c r="BP103" s="160" t="s">
        <v>17</v>
      </c>
      <c r="BQ103" s="160" t="s">
        <v>17</v>
      </c>
      <c r="BR103" s="160" t="s">
        <v>17</v>
      </c>
      <c r="BS103" s="160" t="s">
        <v>17</v>
      </c>
      <c r="BT103" s="160" t="s">
        <v>17</v>
      </c>
      <c r="BU103" s="160" t="s">
        <v>17</v>
      </c>
      <c r="BV103" s="160" t="s">
        <v>17</v>
      </c>
      <c r="BW103" s="160" t="s">
        <v>17</v>
      </c>
      <c r="BX103" s="160" t="s">
        <v>17</v>
      </c>
      <c r="BY103" s="160" t="s">
        <v>17</v>
      </c>
      <c r="BZ103" s="160" t="s">
        <v>17</v>
      </c>
      <c r="CA103" s="160" t="s">
        <v>17</v>
      </c>
      <c r="CB103" s="160" t="s">
        <v>17</v>
      </c>
      <c r="CC103" s="160" t="s">
        <v>17</v>
      </c>
      <c r="CD103" s="160" t="s">
        <v>17</v>
      </c>
      <c r="CE103" s="160" t="s">
        <v>17</v>
      </c>
      <c r="CF103" s="160" t="s">
        <v>17</v>
      </c>
    </row>
    <row r="104" spans="1:84">
      <c r="A104" s="8" t="s">
        <v>220</v>
      </c>
      <c r="B104" s="235" t="s">
        <v>17</v>
      </c>
      <c r="C104" s="235">
        <f t="shared" ref="C104:AH104" si="286">IF(AND(B84&lt;0,C84&gt;0),"n/a",C84/B84-1)</f>
        <v>2.2000000000000002</v>
      </c>
      <c r="D104" s="235">
        <f t="shared" si="286"/>
        <v>-3.09375</v>
      </c>
      <c r="E104" s="235">
        <f t="shared" si="286"/>
        <v>0.60199004975124382</v>
      </c>
      <c r="F104" s="235" t="str">
        <f t="shared" si="286"/>
        <v>n/a</v>
      </c>
      <c r="G104" s="235">
        <f t="shared" si="286"/>
        <v>0.46357615894039728</v>
      </c>
      <c r="H104" s="235">
        <f t="shared" si="286"/>
        <v>-2.5384615384615383</v>
      </c>
      <c r="I104" s="235">
        <f t="shared" si="286"/>
        <v>-0.3970588235294118</v>
      </c>
      <c r="J104" s="235" t="str">
        <f t="shared" si="286"/>
        <v>n/a</v>
      </c>
      <c r="K104" s="235">
        <f t="shared" si="286"/>
        <v>-0.49750000000000005</v>
      </c>
      <c r="L104" s="235">
        <f t="shared" si="286"/>
        <v>-2.8955223880597014</v>
      </c>
      <c r="M104" s="235">
        <f t="shared" si="286"/>
        <v>-0.88188976377952755</v>
      </c>
      <c r="N104" s="235" t="str">
        <f t="shared" si="286"/>
        <v>n/a</v>
      </c>
      <c r="O104" s="235">
        <f t="shared" si="286"/>
        <v>-0.31269349845201233</v>
      </c>
      <c r="P104" s="235">
        <f t="shared" si="286"/>
        <v>-2.2297297297297298</v>
      </c>
      <c r="Q104" s="235">
        <f t="shared" si="286"/>
        <v>0.12820512820512819</v>
      </c>
      <c r="R104" s="235" t="str">
        <f t="shared" si="286"/>
        <v>n/a</v>
      </c>
      <c r="S104" s="235">
        <f t="shared" si="286"/>
        <v>-8.719346049046317E-2</v>
      </c>
      <c r="T104" s="235">
        <f t="shared" si="286"/>
        <v>-0.991044776119403</v>
      </c>
      <c r="U104" s="235">
        <f t="shared" si="286"/>
        <v>46.333333333333336</v>
      </c>
      <c r="V104" s="235">
        <f t="shared" si="286"/>
        <v>1.7816901408450705</v>
      </c>
      <c r="W104" s="235">
        <f t="shared" si="286"/>
        <v>0.11898734177215187</v>
      </c>
      <c r="X104" s="235">
        <f t="shared" si="286"/>
        <v>-1.3167420814479638</v>
      </c>
      <c r="Y104" s="235">
        <f t="shared" si="286"/>
        <v>-0.6785714285714286</v>
      </c>
      <c r="Z104" s="235" t="str">
        <f t="shared" si="286"/>
        <v>n/a</v>
      </c>
      <c r="AA104" s="235">
        <f t="shared" si="286"/>
        <v>-0.51056729699666303</v>
      </c>
      <c r="AB104" s="235">
        <f t="shared" si="286"/>
        <v>-1.0863636363636364</v>
      </c>
      <c r="AC104" s="235">
        <f t="shared" si="286"/>
        <v>-0.97368421052631582</v>
      </c>
      <c r="AD104" s="235" t="str">
        <f t="shared" si="286"/>
        <v>n/a</v>
      </c>
      <c r="AE104" s="235">
        <f t="shared" si="286"/>
        <v>0.13780918727915203</v>
      </c>
      <c r="AF104" s="235">
        <f t="shared" si="286"/>
        <v>-1.0341614906832297</v>
      </c>
      <c r="AG104" s="235">
        <f t="shared" si="286"/>
        <v>7.454545454545455</v>
      </c>
      <c r="AH104" s="235" t="str">
        <f t="shared" si="286"/>
        <v>n/a</v>
      </c>
      <c r="AI104" s="235">
        <f t="shared" ref="AI104:BN104" si="287">IF(AND(AH84&lt;0,AI84&gt;0),"n/a",AI84/AH84-1)</f>
        <v>-0.51729818780889625</v>
      </c>
      <c r="AJ104" s="235">
        <f t="shared" si="287"/>
        <v>-0.12969283276450516</v>
      </c>
      <c r="AK104" s="235">
        <f t="shared" si="287"/>
        <v>2.7450980392156765E-2</v>
      </c>
      <c r="AL104" s="235">
        <f t="shared" si="287"/>
        <v>-0.20229007633587781</v>
      </c>
      <c r="AM104" s="235">
        <f t="shared" si="287"/>
        <v>5.7990430622009566</v>
      </c>
      <c r="AN104" s="235">
        <f t="shared" si="287"/>
        <v>-0.39901477832512311</v>
      </c>
      <c r="AO104" s="235">
        <f t="shared" si="287"/>
        <v>-0.59484777517564402</v>
      </c>
      <c r="AP104" s="235">
        <f t="shared" si="287"/>
        <v>0.20809248554913284</v>
      </c>
      <c r="AQ104" s="235">
        <f t="shared" si="287"/>
        <v>-0.12679425837320579</v>
      </c>
      <c r="AR104" s="235">
        <f t="shared" si="287"/>
        <v>-0.49315068493150682</v>
      </c>
      <c r="AS104" s="235">
        <f t="shared" si="287"/>
        <v>0.14054054054054044</v>
      </c>
      <c r="AT104" s="235">
        <f t="shared" si="287"/>
        <v>-0.63981042654028442</v>
      </c>
      <c r="AU104" s="235">
        <f t="shared" si="287"/>
        <v>1.6842105263157894</v>
      </c>
      <c r="AV104" s="235">
        <f t="shared" si="287"/>
        <v>0.44117647058823528</v>
      </c>
      <c r="AW104" s="235">
        <f t="shared" si="287"/>
        <v>-0.9959025444815176</v>
      </c>
      <c r="AX104" s="235">
        <f t="shared" si="287"/>
        <v>90.595214512673138</v>
      </c>
      <c r="AY104" s="235">
        <f t="shared" si="287"/>
        <v>4.396688154919957</v>
      </c>
      <c r="AZ104" s="235">
        <f t="shared" si="287"/>
        <v>-0.27961785594695843</v>
      </c>
      <c r="BA104" s="235">
        <f t="shared" si="287"/>
        <v>-0.92814196576807184</v>
      </c>
      <c r="BB104" s="235">
        <f t="shared" si="287"/>
        <v>10.592194269591385</v>
      </c>
      <c r="BC104" s="235">
        <f t="shared" si="287"/>
        <v>0.88487744971995386</v>
      </c>
      <c r="BD104" s="235">
        <f t="shared" si="287"/>
        <v>-0.29857566381223288</v>
      </c>
      <c r="BE104" s="235">
        <f t="shared" si="287"/>
        <v>-0.73014059425403688</v>
      </c>
      <c r="BF104" s="235">
        <f t="shared" si="287"/>
        <v>2.1682031019666077</v>
      </c>
      <c r="BG104" s="235">
        <f t="shared" si="287"/>
        <v>0.77249614492670116</v>
      </c>
      <c r="BH104" s="235">
        <f t="shared" si="287"/>
        <v>-0.35167440168688047</v>
      </c>
      <c r="BI104" s="235">
        <f t="shared" si="287"/>
        <v>-0.549275665351734</v>
      </c>
      <c r="BJ104" s="235">
        <f t="shared" si="287"/>
        <v>1.3432822993014017</v>
      </c>
      <c r="BK104" s="235">
        <f t="shared" si="287"/>
        <v>0.63019027188570176</v>
      </c>
      <c r="BL104" s="235">
        <f t="shared" si="287"/>
        <v>-0.295413015285934</v>
      </c>
      <c r="BM104" s="235">
        <f t="shared" si="287"/>
        <v>-0.61853549579492284</v>
      </c>
      <c r="BN104" s="235">
        <f t="shared" si="287"/>
        <v>1.3596429340825931</v>
      </c>
      <c r="BO104" s="160"/>
      <c r="BP104" s="160" t="s">
        <v>17</v>
      </c>
      <c r="BQ104" s="160" t="s">
        <v>17</v>
      </c>
      <c r="BR104" s="160" t="s">
        <v>17</v>
      </c>
      <c r="BS104" s="160" t="s">
        <v>17</v>
      </c>
      <c r="BT104" s="160" t="s">
        <v>17</v>
      </c>
      <c r="BU104" s="160" t="s">
        <v>17</v>
      </c>
      <c r="BV104" s="160" t="s">
        <v>17</v>
      </c>
      <c r="BW104" s="160" t="s">
        <v>17</v>
      </c>
      <c r="BX104" s="160" t="s">
        <v>17</v>
      </c>
      <c r="BY104" s="160" t="s">
        <v>17</v>
      </c>
      <c r="BZ104" s="160" t="s">
        <v>17</v>
      </c>
      <c r="CA104" s="160" t="s">
        <v>17</v>
      </c>
      <c r="CB104" s="160" t="s">
        <v>17</v>
      </c>
      <c r="CC104" s="160" t="s">
        <v>17</v>
      </c>
      <c r="CD104" s="160" t="s">
        <v>17</v>
      </c>
      <c r="CE104" s="160" t="s">
        <v>17</v>
      </c>
      <c r="CF104" s="160" t="s">
        <v>17</v>
      </c>
    </row>
    <row r="105" spans="1:84">
      <c r="A105" s="8" t="s">
        <v>379</v>
      </c>
      <c r="B105" s="235" t="s">
        <v>17</v>
      </c>
      <c r="C105" s="235">
        <f t="shared" ref="C105:AH105" si="288">IF(AND(B86&lt;0,C86&gt;0),"n/a",C86/B86-1)</f>
        <v>2.1807228915662646</v>
      </c>
      <c r="D105" s="235">
        <f t="shared" si="288"/>
        <v>-3.1128419452887539</v>
      </c>
      <c r="E105" s="235">
        <f t="shared" si="288"/>
        <v>0.58751423604867248</v>
      </c>
      <c r="F105" s="235" t="str">
        <f t="shared" si="288"/>
        <v>n/a</v>
      </c>
      <c r="G105" s="235">
        <f t="shared" si="288"/>
        <v>0.45923320297914993</v>
      </c>
      <c r="H105" s="235">
        <f t="shared" si="288"/>
        <v>-2.566349058796189</v>
      </c>
      <c r="I105" s="235">
        <f t="shared" si="288"/>
        <v>-0.39887491141034737</v>
      </c>
      <c r="J105" s="235" t="str">
        <f t="shared" si="288"/>
        <v>n/a</v>
      </c>
      <c r="K105" s="235">
        <f t="shared" si="288"/>
        <v>-0.47865625000000001</v>
      </c>
      <c r="L105" s="235">
        <f t="shared" si="288"/>
        <v>-2.9195163423389383</v>
      </c>
      <c r="M105" s="235">
        <f t="shared" si="288"/>
        <v>-0.87722751761292994</v>
      </c>
      <c r="N105" s="235" t="str">
        <f t="shared" si="288"/>
        <v>n/a</v>
      </c>
      <c r="O105" s="235">
        <f t="shared" si="288"/>
        <v>-0.32370802572040958</v>
      </c>
      <c r="P105" s="235">
        <f t="shared" si="288"/>
        <v>-2.2457002457002457</v>
      </c>
      <c r="Q105" s="235">
        <f t="shared" si="288"/>
        <v>0.12455397892291109</v>
      </c>
      <c r="R105" s="235" t="str">
        <f t="shared" si="288"/>
        <v>n/a</v>
      </c>
      <c r="S105" s="235">
        <f t="shared" si="288"/>
        <v>-9.569786924365753E-2</v>
      </c>
      <c r="T105" s="235">
        <f t="shared" si="288"/>
        <v>-0.991044776119403</v>
      </c>
      <c r="U105" s="235">
        <f t="shared" si="288"/>
        <v>46.186790505675958</v>
      </c>
      <c r="V105" s="235">
        <f t="shared" si="288"/>
        <v>1.7062828779908363</v>
      </c>
      <c r="W105" s="235">
        <f t="shared" si="288"/>
        <v>0.10896655960702839</v>
      </c>
      <c r="X105" s="235">
        <f t="shared" si="288"/>
        <v>-1.3400916579649611</v>
      </c>
      <c r="Y105" s="235">
        <f t="shared" si="288"/>
        <v>-0.67753789618741389</v>
      </c>
      <c r="Z105" s="235" t="str">
        <f t="shared" si="288"/>
        <v>n/a</v>
      </c>
      <c r="AA105" s="235">
        <f t="shared" si="288"/>
        <v>-0.49969101470769994</v>
      </c>
      <c r="AB105" s="235">
        <f t="shared" si="288"/>
        <v>-1.0903805496828753</v>
      </c>
      <c r="AC105" s="235">
        <f t="shared" si="288"/>
        <v>-0.97385791210700012</v>
      </c>
      <c r="AD105" s="235" t="str">
        <f t="shared" si="288"/>
        <v>n/a</v>
      </c>
      <c r="AE105" s="235">
        <f t="shared" si="288"/>
        <v>0.13417401415685437</v>
      </c>
      <c r="AF105" s="235">
        <f t="shared" si="288"/>
        <v>-1.0346037106273493</v>
      </c>
      <c r="AG105" s="235">
        <f t="shared" si="288"/>
        <v>7.4819952774498226</v>
      </c>
      <c r="AH105" s="235" t="str">
        <f t="shared" si="288"/>
        <v>n/a</v>
      </c>
      <c r="AI105" s="235">
        <f t="shared" ref="AI105:BN105" si="289">IF(AND(AH86&lt;0,AI86&gt;0),"n/a",AI86/AH86-1)</f>
        <v>-0.51574108518892492</v>
      </c>
      <c r="AJ105" s="235">
        <f t="shared" si="289"/>
        <v>-0.12118820246578688</v>
      </c>
      <c r="AK105" s="235">
        <f t="shared" si="289"/>
        <v>3.7590299277605599E-2</v>
      </c>
      <c r="AL105" s="235">
        <f t="shared" si="289"/>
        <v>-0.194339479090056</v>
      </c>
      <c r="AM105" s="235">
        <f t="shared" si="289"/>
        <v>5.8445216111119995</v>
      </c>
      <c r="AN105" s="235">
        <f t="shared" si="289"/>
        <v>-0.39292371188922914</v>
      </c>
      <c r="AO105" s="235">
        <f t="shared" si="289"/>
        <v>-0.59209163759180483</v>
      </c>
      <c r="AP105" s="235">
        <f t="shared" si="289"/>
        <v>0.21636709161453793</v>
      </c>
      <c r="AQ105" s="235">
        <f t="shared" si="289"/>
        <v>-0.12379355135730608</v>
      </c>
      <c r="AR105" s="235">
        <f t="shared" si="289"/>
        <v>-0.49661040721866379</v>
      </c>
      <c r="AS105" s="235">
        <f t="shared" si="289"/>
        <v>0.14444650129581649</v>
      </c>
      <c r="AT105" s="235">
        <f t="shared" si="289"/>
        <v>-0.63480779357556605</v>
      </c>
      <c r="AU105" s="235">
        <f t="shared" si="289"/>
        <v>1.6749226006191953</v>
      </c>
      <c r="AV105" s="235">
        <f t="shared" si="289"/>
        <v>0.45121951219512191</v>
      </c>
      <c r="AW105" s="235">
        <f t="shared" si="289"/>
        <v>-0.99590502656422131</v>
      </c>
      <c r="AX105" s="235">
        <f t="shared" si="289"/>
        <v>91.060435653171325</v>
      </c>
      <c r="AY105" s="235">
        <f t="shared" si="289"/>
        <v>4.4825274256762793</v>
      </c>
      <c r="AZ105" s="235">
        <f t="shared" si="289"/>
        <v>-0.2757420521930084</v>
      </c>
      <c r="BA105" s="235">
        <f t="shared" si="289"/>
        <v>-0.92776649787089649</v>
      </c>
      <c r="BB105" s="235">
        <f t="shared" si="289"/>
        <v>10.601695952306468</v>
      </c>
      <c r="BC105" s="235">
        <f t="shared" si="289"/>
        <v>0.8786007909981064</v>
      </c>
      <c r="BD105" s="235">
        <f t="shared" si="289"/>
        <v>-0.30090760092794833</v>
      </c>
      <c r="BE105" s="235">
        <f t="shared" si="289"/>
        <v>-0.73109046452632098</v>
      </c>
      <c r="BF105" s="235">
        <f t="shared" si="289"/>
        <v>2.1574200565284727</v>
      </c>
      <c r="BG105" s="235">
        <f t="shared" si="289"/>
        <v>0.76697482576415177</v>
      </c>
      <c r="BH105" s="235">
        <f t="shared" si="289"/>
        <v>-0.35389303625297031</v>
      </c>
      <c r="BI105" s="235">
        <f t="shared" si="289"/>
        <v>-0.55093019759461703</v>
      </c>
      <c r="BJ105" s="235">
        <f t="shared" si="289"/>
        <v>1.3355405456922647</v>
      </c>
      <c r="BK105" s="235">
        <f t="shared" si="289"/>
        <v>0.62531675984545099</v>
      </c>
      <c r="BL105" s="235">
        <f t="shared" si="289"/>
        <v>-0.29752038936214131</v>
      </c>
      <c r="BM105" s="235">
        <f t="shared" si="289"/>
        <v>-0.61975474436061817</v>
      </c>
      <c r="BN105" s="235">
        <f t="shared" si="289"/>
        <v>1.3523124481155602</v>
      </c>
      <c r="BO105" s="160"/>
      <c r="BP105" s="160" t="s">
        <v>17</v>
      </c>
      <c r="BQ105" s="160" t="s">
        <v>17</v>
      </c>
      <c r="BR105" s="160" t="s">
        <v>17</v>
      </c>
      <c r="BS105" s="160" t="s">
        <v>17</v>
      </c>
      <c r="BT105" s="160" t="s">
        <v>17</v>
      </c>
      <c r="BU105" s="160" t="s">
        <v>17</v>
      </c>
      <c r="BV105" s="160" t="s">
        <v>17</v>
      </c>
      <c r="BW105" s="160" t="s">
        <v>17</v>
      </c>
      <c r="BX105" s="160" t="s">
        <v>17</v>
      </c>
      <c r="BY105" s="160" t="s">
        <v>17</v>
      </c>
      <c r="BZ105" s="160" t="s">
        <v>17</v>
      </c>
      <c r="CA105" s="160" t="s">
        <v>17</v>
      </c>
      <c r="CB105" s="160" t="s">
        <v>17</v>
      </c>
      <c r="CC105" s="160" t="s">
        <v>17</v>
      </c>
      <c r="CD105" s="160" t="s">
        <v>17</v>
      </c>
      <c r="CE105" s="160" t="s">
        <v>17</v>
      </c>
      <c r="CF105" s="160" t="s">
        <v>17</v>
      </c>
    </row>
    <row r="106" spans="1:84" s="637" customFormat="1">
      <c r="A106" s="69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5"/>
      <c r="BP106" s="35"/>
      <c r="BQ106" s="35"/>
      <c r="BR106" s="35"/>
      <c r="BS106" s="35"/>
      <c r="BT106" s="35"/>
      <c r="BU106" s="35"/>
      <c r="BV106" s="35"/>
      <c r="BW106" s="35"/>
      <c r="BX106" s="35"/>
      <c r="BY106" s="35"/>
      <c r="BZ106" s="35"/>
      <c r="CA106" s="35"/>
      <c r="CB106" s="35"/>
      <c r="CC106" s="35"/>
      <c r="CD106" s="35"/>
      <c r="CE106" s="35"/>
      <c r="CF106" s="35"/>
    </row>
    <row r="107" spans="1:84">
      <c r="A107" s="634" t="s">
        <v>370</v>
      </c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5"/>
      <c r="BP107" s="35"/>
      <c r="BQ107" s="35"/>
      <c r="BR107" s="35"/>
      <c r="BS107" s="35"/>
      <c r="BT107" s="35"/>
      <c r="BU107" s="35"/>
      <c r="BV107" s="35"/>
      <c r="BW107" s="35"/>
      <c r="BX107" s="35"/>
      <c r="BY107" s="35"/>
      <c r="BZ107" s="35"/>
      <c r="CA107" s="35"/>
      <c r="CB107" s="35"/>
      <c r="CC107" s="35"/>
      <c r="CD107" s="35"/>
      <c r="CE107" s="35"/>
      <c r="CF107" s="35"/>
    </row>
    <row r="108" spans="1:84">
      <c r="A108" s="69" t="s">
        <v>369</v>
      </c>
      <c r="B108" s="623">
        <f t="shared" ref="B108:AG108" si="290">B66/B$63</f>
        <v>0.69560776302349336</v>
      </c>
      <c r="C108" s="623">
        <f t="shared" si="290"/>
        <v>0.7276073619631902</v>
      </c>
      <c r="D108" s="623">
        <f t="shared" si="290"/>
        <v>0.4247226624405705</v>
      </c>
      <c r="E108" s="623">
        <f t="shared" si="290"/>
        <v>0.44349477682811017</v>
      </c>
      <c r="F108" s="623">
        <f t="shared" si="290"/>
        <v>0.69908256880733943</v>
      </c>
      <c r="G108" s="623">
        <f t="shared" si="290"/>
        <v>0.75975975975975973</v>
      </c>
      <c r="H108" s="623">
        <f t="shared" si="290"/>
        <v>0.39580419580419579</v>
      </c>
      <c r="I108" s="623">
        <f t="shared" si="290"/>
        <v>0.47973609802073514</v>
      </c>
      <c r="J108" s="623">
        <f t="shared" si="290"/>
        <v>0.72660818713450293</v>
      </c>
      <c r="K108" s="623">
        <f t="shared" si="290"/>
        <v>0.78534031413612571</v>
      </c>
      <c r="L108" s="623">
        <f t="shared" si="290"/>
        <v>0.37412095639943743</v>
      </c>
      <c r="M108" s="623">
        <f t="shared" si="290"/>
        <v>0.53470715835141003</v>
      </c>
      <c r="N108" s="623">
        <f t="shared" si="290"/>
        <v>0.74441687344913154</v>
      </c>
      <c r="O108" s="623">
        <f t="shared" si="290"/>
        <v>0.79557428872497371</v>
      </c>
      <c r="P108" s="623">
        <f t="shared" si="290"/>
        <v>0.40575539568345326</v>
      </c>
      <c r="Q108" s="623">
        <f t="shared" si="290"/>
        <v>0.36014851485148514</v>
      </c>
      <c r="R108" s="623">
        <f t="shared" si="290"/>
        <v>0.80142475512021372</v>
      </c>
      <c r="S108" s="623">
        <f t="shared" si="290"/>
        <v>0.69769357495881379</v>
      </c>
      <c r="T108" s="623">
        <f t="shared" si="290"/>
        <v>0.56868686868686869</v>
      </c>
      <c r="U108" s="623">
        <f t="shared" si="290"/>
        <v>0.64387211367673181</v>
      </c>
      <c r="V108" s="623">
        <f t="shared" si="290"/>
        <v>0.8025316455696202</v>
      </c>
      <c r="W108" s="623">
        <f t="shared" si="290"/>
        <v>0.85619285120532007</v>
      </c>
      <c r="X108" s="623">
        <f t="shared" si="290"/>
        <v>0.498159509202454</v>
      </c>
      <c r="Y108" s="623">
        <f t="shared" si="290"/>
        <v>0.48971962616822429</v>
      </c>
      <c r="Z108" s="623">
        <f t="shared" si="290"/>
        <v>0.827217125382263</v>
      </c>
      <c r="AA108" s="623">
        <f t="shared" si="290"/>
        <v>0.85916601101494883</v>
      </c>
      <c r="AB108" s="623">
        <f t="shared" si="290"/>
        <v>0.55345211581291764</v>
      </c>
      <c r="AC108" s="623">
        <f t="shared" si="290"/>
        <v>0.55091383812010442</v>
      </c>
      <c r="AD108" s="623">
        <f t="shared" si="290"/>
        <v>0.86771447282252778</v>
      </c>
      <c r="AE108" s="623">
        <f t="shared" si="290"/>
        <v>0.893719806763285</v>
      </c>
      <c r="AF108" s="623">
        <f t="shared" si="290"/>
        <v>0.59436913451511997</v>
      </c>
      <c r="AG108" s="623">
        <f t="shared" si="290"/>
        <v>0.56810344827586212</v>
      </c>
      <c r="AH108" s="623">
        <f t="shared" ref="AH108:BN108" si="291">AH66/AH$63</f>
        <v>0.85271807838179514</v>
      </c>
      <c r="AI108" s="623">
        <f t="shared" si="291"/>
        <v>0.81090589270008795</v>
      </c>
      <c r="AJ108" s="623">
        <f t="shared" si="291"/>
        <v>0.67496111975116646</v>
      </c>
      <c r="AK108" s="623">
        <f t="shared" si="291"/>
        <v>0.67959658650116372</v>
      </c>
      <c r="AL108" s="623">
        <f t="shared" si="291"/>
        <v>0.77705977382875602</v>
      </c>
      <c r="AM108" s="623">
        <f t="shared" si="291"/>
        <v>0.84532671629445821</v>
      </c>
      <c r="AN108" s="623">
        <f t="shared" si="291"/>
        <v>0.69955489614243327</v>
      </c>
      <c r="AO108" s="623">
        <f t="shared" si="291"/>
        <v>0.68110483364720653</v>
      </c>
      <c r="AP108" s="623">
        <f t="shared" si="291"/>
        <v>0.80605623648161495</v>
      </c>
      <c r="AQ108" s="623">
        <f t="shared" si="291"/>
        <v>0.80260452364633306</v>
      </c>
      <c r="AR108" s="623">
        <f t="shared" si="291"/>
        <v>0.75152041702867067</v>
      </c>
      <c r="AS108" s="623">
        <f t="shared" si="291"/>
        <v>0.6407650926479378</v>
      </c>
      <c r="AT108" s="623">
        <f t="shared" si="291"/>
        <v>0.76300148588410099</v>
      </c>
      <c r="AU108" s="623">
        <f t="shared" si="291"/>
        <v>0.79690522243713735</v>
      </c>
      <c r="AV108" s="623">
        <f t="shared" si="291"/>
        <v>0.72946330777656077</v>
      </c>
      <c r="AW108" s="623">
        <f t="shared" si="291"/>
        <v>0.6397117510928596</v>
      </c>
      <c r="AX108" s="623">
        <f t="shared" si="291"/>
        <v>0.77476368478740953</v>
      </c>
      <c r="AY108" s="623">
        <f t="shared" si="291"/>
        <v>0.82728835292137171</v>
      </c>
      <c r="AZ108" s="623">
        <f t="shared" si="291"/>
        <v>0.74971568642048081</v>
      </c>
      <c r="BA108" s="623">
        <f t="shared" si="291"/>
        <v>0.6542253213309891</v>
      </c>
      <c r="BB108" s="623">
        <f t="shared" si="291"/>
        <v>0.80543702336908085</v>
      </c>
      <c r="BC108" s="623">
        <f t="shared" si="291"/>
        <v>0.84074113384968785</v>
      </c>
      <c r="BD108" s="623">
        <f t="shared" si="291"/>
        <v>0.76264868350204085</v>
      </c>
      <c r="BE108" s="623">
        <f t="shared" si="291"/>
        <v>0.67968100294557932</v>
      </c>
      <c r="BF108" s="623">
        <f t="shared" si="291"/>
        <v>0.80583498782188179</v>
      </c>
      <c r="BG108" s="623">
        <f t="shared" si="291"/>
        <v>0.83936650818542147</v>
      </c>
      <c r="BH108" s="623">
        <f t="shared" si="291"/>
        <v>0.74696843880337871</v>
      </c>
      <c r="BI108" s="623">
        <f t="shared" si="291"/>
        <v>0.69030781103654548</v>
      </c>
      <c r="BJ108" s="623">
        <f t="shared" si="291"/>
        <v>0.81004781811371518</v>
      </c>
      <c r="BK108" s="623">
        <f t="shared" si="291"/>
        <v>0.84041457712443268</v>
      </c>
      <c r="BL108" s="623">
        <f t="shared" si="291"/>
        <v>0.76295001539331819</v>
      </c>
      <c r="BM108" s="623">
        <f t="shared" si="291"/>
        <v>0.68861743828588395</v>
      </c>
      <c r="BN108" s="623">
        <f t="shared" si="291"/>
        <v>0.8069101734530153</v>
      </c>
      <c r="BO108" s="415"/>
      <c r="BP108" s="415">
        <f t="shared" ref="BP108:CF108" si="292">BP66/BP$63</f>
        <v>0.48932676518883417</v>
      </c>
      <c r="BQ108" s="415">
        <f t="shared" si="292"/>
        <v>0.58233491223181943</v>
      </c>
      <c r="BR108" s="415">
        <f t="shared" si="292"/>
        <v>0.6142891624426744</v>
      </c>
      <c r="BS108" s="415">
        <f t="shared" si="292"/>
        <v>0.63444824861732951</v>
      </c>
      <c r="BT108" s="415">
        <f t="shared" si="292"/>
        <v>0.6232167832167832</v>
      </c>
      <c r="BU108" s="415">
        <f t="shared" si="292"/>
        <v>0.68349944629014392</v>
      </c>
      <c r="BV108" s="415">
        <f t="shared" si="292"/>
        <v>0.69199272065514106</v>
      </c>
      <c r="BW108" s="415">
        <f t="shared" si="292"/>
        <v>0.7320949432404541</v>
      </c>
      <c r="BX108" s="415">
        <f t="shared" si="292"/>
        <v>0.75203883495145629</v>
      </c>
      <c r="BY108" s="35">
        <f t="shared" si="292"/>
        <v>0.73292929292929287</v>
      </c>
      <c r="BZ108" s="35">
        <f t="shared" si="292"/>
        <v>0.75275419902474261</v>
      </c>
      <c r="CA108" s="35">
        <f t="shared" si="292"/>
        <v>0.7345887368982057</v>
      </c>
      <c r="CB108" s="35">
        <f t="shared" si="292"/>
        <v>0.7337971227437502</v>
      </c>
      <c r="CC108" s="35">
        <f t="shared" si="292"/>
        <v>0.75938282374420663</v>
      </c>
      <c r="CD108" s="35">
        <f t="shared" si="292"/>
        <v>0.77222452158000277</v>
      </c>
      <c r="CE108" s="35">
        <f t="shared" si="292"/>
        <v>0.7698754213227631</v>
      </c>
      <c r="CF108" s="35">
        <f t="shared" si="292"/>
        <v>0.77434258546108381</v>
      </c>
    </row>
    <row r="109" spans="1:84" s="637" customFormat="1">
      <c r="A109" s="73" t="s">
        <v>89</v>
      </c>
      <c r="B109" s="34" t="s">
        <v>17</v>
      </c>
      <c r="C109" s="34" t="s">
        <v>17</v>
      </c>
      <c r="D109" s="34" t="s">
        <v>17</v>
      </c>
      <c r="E109" s="34" t="s">
        <v>17</v>
      </c>
      <c r="F109" s="652">
        <f t="shared" ref="F109:AK109" si="293">(F108-B108)*10000</f>
        <v>34.748057838460689</v>
      </c>
      <c r="G109" s="652">
        <f t="shared" si="293"/>
        <v>321.52397796569534</v>
      </c>
      <c r="H109" s="652">
        <f t="shared" si="293"/>
        <v>-289.18466636374706</v>
      </c>
      <c r="I109" s="652">
        <f t="shared" si="293"/>
        <v>362.41321192624963</v>
      </c>
      <c r="J109" s="652">
        <f t="shared" si="293"/>
        <v>275.25618327163494</v>
      </c>
      <c r="K109" s="652">
        <f t="shared" si="293"/>
        <v>255.80554376365973</v>
      </c>
      <c r="L109" s="652">
        <f t="shared" si="293"/>
        <v>-216.83239404758359</v>
      </c>
      <c r="M109" s="652">
        <f t="shared" si="293"/>
        <v>549.71060330674891</v>
      </c>
      <c r="N109" s="652">
        <f t="shared" si="293"/>
        <v>178.08686314628619</v>
      </c>
      <c r="O109" s="652">
        <f t="shared" si="293"/>
        <v>102.33974588848005</v>
      </c>
      <c r="P109" s="652">
        <f t="shared" si="293"/>
        <v>316.34439284015826</v>
      </c>
      <c r="Q109" s="652">
        <f t="shared" si="293"/>
        <v>-1745.5864349992489</v>
      </c>
      <c r="R109" s="652">
        <f t="shared" si="293"/>
        <v>570.07881671082168</v>
      </c>
      <c r="S109" s="652">
        <f t="shared" si="293"/>
        <v>-978.8071376615992</v>
      </c>
      <c r="T109" s="652">
        <f t="shared" si="293"/>
        <v>1629.3147300341543</v>
      </c>
      <c r="U109" s="652">
        <f t="shared" si="293"/>
        <v>2837.2359882524665</v>
      </c>
      <c r="V109" s="652">
        <f t="shared" si="293"/>
        <v>11.068904494064835</v>
      </c>
      <c r="W109" s="652">
        <f t="shared" si="293"/>
        <v>1584.9927624650629</v>
      </c>
      <c r="X109" s="652">
        <f t="shared" si="293"/>
        <v>-705.27359484414683</v>
      </c>
      <c r="Y109" s="652">
        <f t="shared" si="293"/>
        <v>-1541.5248750850751</v>
      </c>
      <c r="Z109" s="652">
        <f t="shared" si="293"/>
        <v>246.85479812642797</v>
      </c>
      <c r="AA109" s="652">
        <f t="shared" si="293"/>
        <v>29.731598096287559</v>
      </c>
      <c r="AB109" s="652">
        <f t="shared" si="293"/>
        <v>552.92606610463645</v>
      </c>
      <c r="AC109" s="652">
        <f t="shared" si="293"/>
        <v>611.94211951880129</v>
      </c>
      <c r="AD109" s="652">
        <f t="shared" si="293"/>
        <v>404.97347440264787</v>
      </c>
      <c r="AE109" s="652">
        <f t="shared" si="293"/>
        <v>345.53795748336171</v>
      </c>
      <c r="AF109" s="652">
        <f t="shared" si="293"/>
        <v>409.17018702202324</v>
      </c>
      <c r="AG109" s="652">
        <f t="shared" si="293"/>
        <v>171.89610155757705</v>
      </c>
      <c r="AH109" s="652">
        <f t="shared" si="293"/>
        <v>-149.96394440732641</v>
      </c>
      <c r="AI109" s="652">
        <f t="shared" si="293"/>
        <v>-828.13914063197046</v>
      </c>
      <c r="AJ109" s="652">
        <f t="shared" si="293"/>
        <v>805.91985236046492</v>
      </c>
      <c r="AK109" s="652">
        <f t="shared" si="293"/>
        <v>1114.931382253016</v>
      </c>
      <c r="AL109" s="652">
        <f t="shared" ref="AL109:BN109" si="294">(AL108-AH108)*10000</f>
        <v>-756.58304553039125</v>
      </c>
      <c r="AM109" s="652">
        <f t="shared" si="294"/>
        <v>344.20823594370262</v>
      </c>
      <c r="AN109" s="652">
        <f t="shared" si="294"/>
        <v>245.93776391266809</v>
      </c>
      <c r="AO109" s="652">
        <f t="shared" si="294"/>
        <v>15.082471460428071</v>
      </c>
      <c r="AP109" s="652">
        <f t="shared" si="294"/>
        <v>289.96462652858935</v>
      </c>
      <c r="AQ109" s="652">
        <f t="shared" si="294"/>
        <v>-427.22192648125156</v>
      </c>
      <c r="AR109" s="652">
        <f t="shared" si="294"/>
        <v>519.65520886237402</v>
      </c>
      <c r="AS109" s="652">
        <f t="shared" si="294"/>
        <v>-403.39740999268736</v>
      </c>
      <c r="AT109" s="652">
        <f t="shared" si="294"/>
        <v>-430.54750597513959</v>
      </c>
      <c r="AU109" s="652">
        <f t="shared" si="294"/>
        <v>-56.993012091957063</v>
      </c>
      <c r="AV109" s="652">
        <f t="shared" si="294"/>
        <v>-220.57109252109908</v>
      </c>
      <c r="AW109" s="652">
        <f t="shared" si="294"/>
        <v>-10.53341555078191</v>
      </c>
      <c r="AX109" s="652">
        <f t="shared" si="294"/>
        <v>117.62198903308541</v>
      </c>
      <c r="AY109" s="652">
        <f t="shared" si="294"/>
        <v>303.83130484234357</v>
      </c>
      <c r="AZ109" s="652">
        <f t="shared" si="294"/>
        <v>202.52378643920045</v>
      </c>
      <c r="BA109" s="652">
        <f t="shared" si="294"/>
        <v>145.13570238129492</v>
      </c>
      <c r="BB109" s="652">
        <f t="shared" si="294"/>
        <v>306.73338581671317</v>
      </c>
      <c r="BC109" s="652">
        <f t="shared" si="294"/>
        <v>134.52780928316145</v>
      </c>
      <c r="BD109" s="652">
        <f t="shared" si="294"/>
        <v>129.32997081560038</v>
      </c>
      <c r="BE109" s="652">
        <f t="shared" si="294"/>
        <v>254.55681614590219</v>
      </c>
      <c r="BF109" s="652">
        <f t="shared" si="294"/>
        <v>3.9796445280093629</v>
      </c>
      <c r="BG109" s="652">
        <f t="shared" si="294"/>
        <v>-13.746256642663823</v>
      </c>
      <c r="BH109" s="652">
        <f t="shared" si="294"/>
        <v>-156.80244698662139</v>
      </c>
      <c r="BI109" s="652">
        <f t="shared" si="294"/>
        <v>106.26808090966166</v>
      </c>
      <c r="BJ109" s="652">
        <f t="shared" si="294"/>
        <v>42.128302918333915</v>
      </c>
      <c r="BK109" s="652">
        <f t="shared" si="294"/>
        <v>10.480689390112152</v>
      </c>
      <c r="BL109" s="652">
        <f t="shared" si="294"/>
        <v>159.81576589939485</v>
      </c>
      <c r="BM109" s="652">
        <f t="shared" si="294"/>
        <v>-16.903727506615283</v>
      </c>
      <c r="BN109" s="652">
        <f t="shared" si="294"/>
        <v>-31.376446606998787</v>
      </c>
      <c r="BO109" s="653"/>
      <c r="BP109" s="35" t="s">
        <v>17</v>
      </c>
      <c r="BQ109" s="654">
        <f t="shared" ref="BQ109:CF109" si="295">(BQ108-BP108)*10000</f>
        <v>930.08147042985263</v>
      </c>
      <c r="BR109" s="654">
        <f t="shared" si="295"/>
        <v>319.54250210854963</v>
      </c>
      <c r="BS109" s="654">
        <f t="shared" si="295"/>
        <v>201.59086174655116</v>
      </c>
      <c r="BT109" s="654">
        <f t="shared" si="295"/>
        <v>-112.31465400546314</v>
      </c>
      <c r="BU109" s="654">
        <f t="shared" si="295"/>
        <v>602.8266307336072</v>
      </c>
      <c r="BV109" s="654">
        <f t="shared" si="295"/>
        <v>84.932743649971385</v>
      </c>
      <c r="BW109" s="654">
        <f t="shared" si="295"/>
        <v>401.02222585313041</v>
      </c>
      <c r="BX109" s="654">
        <f t="shared" si="295"/>
        <v>199.43891711002192</v>
      </c>
      <c r="BY109" s="199">
        <f t="shared" si="295"/>
        <v>-191.09542022163419</v>
      </c>
      <c r="BZ109" s="199">
        <f t="shared" si="295"/>
        <v>198.24906095449734</v>
      </c>
      <c r="CA109" s="199">
        <f t="shared" si="295"/>
        <v>-181.65462126536914</v>
      </c>
      <c r="CB109" s="199">
        <f t="shared" si="295"/>
        <v>-7.9161415445549999</v>
      </c>
      <c r="CC109" s="199">
        <f t="shared" si="295"/>
        <v>255.8570100045643</v>
      </c>
      <c r="CD109" s="199">
        <f t="shared" si="295"/>
        <v>128.4169783579614</v>
      </c>
      <c r="CE109" s="199">
        <f t="shared" si="295"/>
        <v>-23.491002572396667</v>
      </c>
      <c r="CF109" s="199">
        <f t="shared" si="295"/>
        <v>44.671641383207117</v>
      </c>
    </row>
    <row r="110" spans="1:84" s="637" customFormat="1">
      <c r="A110" s="8" t="s">
        <v>3</v>
      </c>
      <c r="B110" s="623">
        <f t="shared" ref="B110:AG110" si="296">B78/B$63</f>
        <v>8.4780388151174668E-2</v>
      </c>
      <c r="C110" s="623">
        <f t="shared" si="296"/>
        <v>0.12024539877300613</v>
      </c>
      <c r="D110" s="623">
        <f t="shared" si="296"/>
        <v>-0.39936608557844688</v>
      </c>
      <c r="E110" s="623">
        <f t="shared" si="296"/>
        <v>-0.28774928774928776</v>
      </c>
      <c r="F110" s="623">
        <f t="shared" si="296"/>
        <v>0.13302752293577982</v>
      </c>
      <c r="G110" s="623">
        <f t="shared" si="296"/>
        <v>0.22722722722722724</v>
      </c>
      <c r="H110" s="623">
        <f t="shared" si="296"/>
        <v>-0.52307692307692311</v>
      </c>
      <c r="I110" s="623">
        <f t="shared" si="296"/>
        <v>-0.17247879359095195</v>
      </c>
      <c r="J110" s="623">
        <f t="shared" si="296"/>
        <v>0.266812865497076</v>
      </c>
      <c r="K110" s="623">
        <f t="shared" si="296"/>
        <v>0.22513089005235601</v>
      </c>
      <c r="L110" s="623">
        <f t="shared" si="296"/>
        <v>-0.51195499296765123</v>
      </c>
      <c r="M110" s="623">
        <f t="shared" si="296"/>
        <v>-4.2299349240780909E-2</v>
      </c>
      <c r="N110" s="623">
        <f t="shared" si="296"/>
        <v>0.25558312655086851</v>
      </c>
      <c r="O110" s="623">
        <f t="shared" si="296"/>
        <v>0.24552160168598525</v>
      </c>
      <c r="P110" s="623">
        <f t="shared" si="296"/>
        <v>-0.36258992805755397</v>
      </c>
      <c r="Q110" s="623">
        <f t="shared" si="296"/>
        <v>-0.36138613861386137</v>
      </c>
      <c r="R110" s="623">
        <f t="shared" si="296"/>
        <v>0.30632235084594833</v>
      </c>
      <c r="S110" s="623">
        <f t="shared" si="296"/>
        <v>0.29818780889621088</v>
      </c>
      <c r="T110" s="623">
        <f t="shared" si="296"/>
        <v>2.4242424242424242E-2</v>
      </c>
      <c r="U110" s="623">
        <f t="shared" si="296"/>
        <v>0.14387211367673181</v>
      </c>
      <c r="V110" s="623">
        <f t="shared" si="296"/>
        <v>0.33755274261603374</v>
      </c>
      <c r="W110" s="623">
        <f t="shared" si="296"/>
        <v>0.42560266001662511</v>
      </c>
      <c r="X110" s="623">
        <f t="shared" si="296"/>
        <v>-0.1460122699386503</v>
      </c>
      <c r="Y110" s="623">
        <f t="shared" si="296"/>
        <v>-2.897196261682243E-2</v>
      </c>
      <c r="Z110" s="623">
        <f t="shared" si="296"/>
        <v>0.40978593272171254</v>
      </c>
      <c r="AA110" s="623">
        <f t="shared" si="296"/>
        <v>0.44059795436664045</v>
      </c>
      <c r="AB110" s="623">
        <f t="shared" si="296"/>
        <v>-5.4565701559020047E-2</v>
      </c>
      <c r="AC110" s="623">
        <f t="shared" si="296"/>
        <v>-3.4812880765883376E-3</v>
      </c>
      <c r="AD110" s="623">
        <f t="shared" si="296"/>
        <v>0.46954813359528486</v>
      </c>
      <c r="AE110" s="623">
        <f t="shared" si="296"/>
        <v>0.51276742581090407</v>
      </c>
      <c r="AF110" s="623">
        <f t="shared" si="296"/>
        <v>-4.2752867570385822E-2</v>
      </c>
      <c r="AG110" s="623">
        <f t="shared" si="296"/>
        <v>-1.810344827586207E-2</v>
      </c>
      <c r="AH110" s="623">
        <f t="shared" ref="AH110:BN110" si="297">AH78/AH$63</f>
        <v>0.47597977243994943</v>
      </c>
      <c r="AI110" s="623">
        <f t="shared" si="297"/>
        <v>0.26385224274406333</v>
      </c>
      <c r="AJ110" s="623">
        <f t="shared" si="297"/>
        <v>0.20062208398133749</v>
      </c>
      <c r="AK110" s="623">
        <f t="shared" si="297"/>
        <v>0.18774243599689683</v>
      </c>
      <c r="AL110" s="623">
        <f t="shared" si="297"/>
        <v>0.15831987075928919</v>
      </c>
      <c r="AM110" s="623">
        <f t="shared" si="297"/>
        <v>0.34325889164598844</v>
      </c>
      <c r="AN110" s="623">
        <f t="shared" si="297"/>
        <v>0.19881305637982197</v>
      </c>
      <c r="AO110" s="623">
        <f t="shared" si="297"/>
        <v>0.22661644695543001</v>
      </c>
      <c r="AP110" s="623">
        <f t="shared" si="297"/>
        <v>0.2891131939437635</v>
      </c>
      <c r="AQ110" s="623">
        <f t="shared" si="297"/>
        <v>0.32282385195339275</v>
      </c>
      <c r="AR110" s="623">
        <f t="shared" si="297"/>
        <v>0.12945264986967853</v>
      </c>
      <c r="AS110" s="623">
        <f t="shared" si="297"/>
        <v>0.15002988643156007</v>
      </c>
      <c r="AT110" s="623">
        <f t="shared" si="297"/>
        <v>0.13001485884101041</v>
      </c>
      <c r="AU110" s="623">
        <f t="shared" si="297"/>
        <v>0.2076079948420374</v>
      </c>
      <c r="AV110" s="623">
        <f t="shared" si="297"/>
        <v>0.18619934282584885</v>
      </c>
      <c r="AW110" s="623">
        <f t="shared" si="297"/>
        <v>1.228190816842155E-2</v>
      </c>
      <c r="AX110" s="623">
        <f t="shared" si="297"/>
        <v>0.16260201081537395</v>
      </c>
      <c r="AY110" s="623">
        <f t="shared" si="297"/>
        <v>0.35847943114375153</v>
      </c>
      <c r="AZ110" s="623">
        <f t="shared" si="297"/>
        <v>0.25222642314406862</v>
      </c>
      <c r="BA110" s="623">
        <f t="shared" si="297"/>
        <v>2.8925722263575412E-2</v>
      </c>
      <c r="BB110" s="623">
        <f t="shared" si="297"/>
        <v>0.23911652251055382</v>
      </c>
      <c r="BC110" s="623">
        <f t="shared" si="297"/>
        <v>0.39559925616787189</v>
      </c>
      <c r="BD110" s="623">
        <f t="shared" si="297"/>
        <v>0.26946153878691331</v>
      </c>
      <c r="BE110" s="623">
        <f t="shared" si="297"/>
        <v>8.3772904440841262E-2</v>
      </c>
      <c r="BF110" s="623">
        <f t="shared" si="297"/>
        <v>0.25658496764434574</v>
      </c>
      <c r="BG110" s="623">
        <f t="shared" si="297"/>
        <v>0.40328895426871048</v>
      </c>
      <c r="BH110" s="623">
        <f t="shared" si="297"/>
        <v>0.23117330591375468</v>
      </c>
      <c r="BI110" s="623">
        <f t="shared" si="297"/>
        <v>0.11817506619636375</v>
      </c>
      <c r="BJ110" s="623">
        <f t="shared" si="297"/>
        <v>0.28292241706401605</v>
      </c>
      <c r="BK110" s="623">
        <f t="shared" si="297"/>
        <v>0.4186516549261457</v>
      </c>
      <c r="BL110" s="623">
        <f t="shared" si="297"/>
        <v>0.28679794340563336</v>
      </c>
      <c r="BM110" s="623">
        <f t="shared" si="297"/>
        <v>0.11785875238609568</v>
      </c>
      <c r="BN110" s="623">
        <f t="shared" si="297"/>
        <v>0.28218586270435236</v>
      </c>
      <c r="BO110" s="415"/>
      <c r="BP110" s="415">
        <f t="shared" ref="BP110:CF110" si="298">BP78/BP$63</f>
        <v>-0.18773946360153257</v>
      </c>
      <c r="BQ110" s="415">
        <f t="shared" si="298"/>
        <v>-8.6932293117860132E-2</v>
      </c>
      <c r="BR110" s="415">
        <f t="shared" si="298"/>
        <v>8.4479845522568188E-3</v>
      </c>
      <c r="BS110" s="415">
        <f t="shared" si="298"/>
        <v>3.1867263629180929E-2</v>
      </c>
      <c r="BT110" s="415">
        <f t="shared" si="298"/>
        <v>9.2307692307692316E-3</v>
      </c>
      <c r="BU110" s="415">
        <f t="shared" si="298"/>
        <v>0.20996677740863787</v>
      </c>
      <c r="BV110" s="415">
        <f t="shared" si="298"/>
        <v>0.20427661510464057</v>
      </c>
      <c r="BW110" s="415">
        <f t="shared" si="298"/>
        <v>0.25263157894736843</v>
      </c>
      <c r="BX110" s="415">
        <f t="shared" si="298"/>
        <v>0.27844660194174758</v>
      </c>
      <c r="BY110" s="35">
        <f t="shared" si="298"/>
        <v>0.2012121212121212</v>
      </c>
      <c r="BZ110" s="35">
        <f t="shared" si="298"/>
        <v>0.26097164529528627</v>
      </c>
      <c r="CA110" s="35">
        <f t="shared" si="298"/>
        <v>0.18582341446082787</v>
      </c>
      <c r="CB110" s="35">
        <f t="shared" si="298"/>
        <v>0.14108139606303369</v>
      </c>
      <c r="CC110" s="35">
        <f t="shared" si="298"/>
        <v>0.22188340494712108</v>
      </c>
      <c r="CD110" s="35">
        <f t="shared" si="298"/>
        <v>0.2526066732789643</v>
      </c>
      <c r="CE110" s="35">
        <f t="shared" si="298"/>
        <v>0.25647169502089223</v>
      </c>
      <c r="CF110" s="35">
        <f t="shared" si="298"/>
        <v>0.27666195209417466</v>
      </c>
    </row>
    <row r="111" spans="1:84" s="637" customFormat="1">
      <c r="A111" s="8" t="s">
        <v>378</v>
      </c>
      <c r="B111" s="623">
        <f t="shared" ref="B111:AG111" si="299">B81/B$63</f>
        <v>8.1716036772216546E-2</v>
      </c>
      <c r="C111" s="623">
        <f t="shared" si="299"/>
        <v>0.11411042944785275</v>
      </c>
      <c r="D111" s="623">
        <f t="shared" si="299"/>
        <v>-0.34548335974643424</v>
      </c>
      <c r="E111" s="623">
        <f t="shared" si="299"/>
        <v>-0.28774928774928776</v>
      </c>
      <c r="F111" s="623">
        <f t="shared" si="299"/>
        <v>0.13669724770642203</v>
      </c>
      <c r="G111" s="623">
        <f t="shared" si="299"/>
        <v>0.23023023023023023</v>
      </c>
      <c r="H111" s="623">
        <f t="shared" si="299"/>
        <v>-0.53146853146853146</v>
      </c>
      <c r="I111" s="623">
        <f t="shared" si="299"/>
        <v>-0.18190386427898209</v>
      </c>
      <c r="J111" s="623">
        <f t="shared" si="299"/>
        <v>0.2638888888888889</v>
      </c>
      <c r="K111" s="623">
        <f t="shared" si="299"/>
        <v>0.21989528795811519</v>
      </c>
      <c r="L111" s="623">
        <f t="shared" si="299"/>
        <v>-0.5175808720112518</v>
      </c>
      <c r="M111" s="623">
        <f t="shared" si="299"/>
        <v>-3.5791757049891543E-2</v>
      </c>
      <c r="N111" s="623">
        <f t="shared" si="299"/>
        <v>0.27295285359801491</v>
      </c>
      <c r="O111" s="623">
        <f t="shared" si="299"/>
        <v>0.24025289778714437</v>
      </c>
      <c r="P111" s="623">
        <f t="shared" si="299"/>
        <v>-0.37410071942446044</v>
      </c>
      <c r="Q111" s="623">
        <f t="shared" si="299"/>
        <v>-0.36881188118811881</v>
      </c>
      <c r="R111" s="623">
        <f t="shared" si="299"/>
        <v>0.30008904719501334</v>
      </c>
      <c r="S111" s="623">
        <f t="shared" si="299"/>
        <v>0.29159802306425042</v>
      </c>
      <c r="T111" s="623">
        <f t="shared" si="299"/>
        <v>1.8181818181818181E-2</v>
      </c>
      <c r="U111" s="623">
        <f t="shared" si="299"/>
        <v>0.13854351687388988</v>
      </c>
      <c r="V111" s="623">
        <f t="shared" si="299"/>
        <v>0.33502109704641353</v>
      </c>
      <c r="W111" s="623">
        <f t="shared" si="299"/>
        <v>0.42310889443059019</v>
      </c>
      <c r="X111" s="623">
        <f t="shared" si="299"/>
        <v>-0.15705521472392639</v>
      </c>
      <c r="Y111" s="623">
        <f t="shared" si="299"/>
        <v>-2.8037383177570093E-2</v>
      </c>
      <c r="Z111" s="623">
        <f t="shared" si="299"/>
        <v>0.40214067278287463</v>
      </c>
      <c r="AA111" s="623">
        <f t="shared" si="299"/>
        <v>0.43430369787568845</v>
      </c>
      <c r="AB111" s="623">
        <f t="shared" si="299"/>
        <v>-5.7906458797327393E-2</v>
      </c>
      <c r="AC111" s="623">
        <f t="shared" si="299"/>
        <v>-5.2219321148825066E-3</v>
      </c>
      <c r="AD111" s="623">
        <f t="shared" si="299"/>
        <v>0.46889325474787164</v>
      </c>
      <c r="AE111" s="623">
        <f t="shared" si="299"/>
        <v>0.51690821256038644</v>
      </c>
      <c r="AF111" s="623">
        <f t="shared" si="299"/>
        <v>-3.9624608967674661E-2</v>
      </c>
      <c r="AG111" s="623">
        <f t="shared" si="299"/>
        <v>-1.3793103448275862E-2</v>
      </c>
      <c r="AH111" s="623">
        <f t="shared" ref="AH111:BN111" si="300">AH81/AH$63</f>
        <v>0.47661188369152974</v>
      </c>
      <c r="AI111" s="623">
        <f t="shared" si="300"/>
        <v>0.28056288478452068</v>
      </c>
      <c r="AJ111" s="623">
        <f t="shared" si="300"/>
        <v>0.21461897356143078</v>
      </c>
      <c r="AK111" s="623">
        <f t="shared" si="300"/>
        <v>0.20558572536850273</v>
      </c>
      <c r="AL111" s="623">
        <f t="shared" si="300"/>
        <v>0.17689822294022617</v>
      </c>
      <c r="AM111" s="623">
        <f t="shared" si="300"/>
        <v>0.36062861869313484</v>
      </c>
      <c r="AN111" s="623">
        <f t="shared" si="300"/>
        <v>0.21068249258160238</v>
      </c>
      <c r="AO111" s="623">
        <f t="shared" si="300"/>
        <v>0.23477715003138733</v>
      </c>
      <c r="AP111" s="623">
        <f t="shared" si="300"/>
        <v>0.29848594087959623</v>
      </c>
      <c r="AQ111" s="623">
        <f t="shared" si="300"/>
        <v>0.32076764907470873</v>
      </c>
      <c r="AR111" s="623">
        <f t="shared" si="300"/>
        <v>0.12076455256298871</v>
      </c>
      <c r="AS111" s="623">
        <f t="shared" si="300"/>
        <v>0.14644351464435146</v>
      </c>
      <c r="AT111" s="623">
        <f t="shared" si="300"/>
        <v>0.1225854383358098</v>
      </c>
      <c r="AU111" s="623">
        <f t="shared" si="300"/>
        <v>0.19858156028368795</v>
      </c>
      <c r="AV111" s="623">
        <f t="shared" si="300"/>
        <v>0.17853231106243153</v>
      </c>
      <c r="AW111" s="623">
        <f t="shared" si="300"/>
        <v>1.1150850027263656E-3</v>
      </c>
      <c r="AX111" s="623">
        <f t="shared" si="300"/>
        <v>0.15276834141152501</v>
      </c>
      <c r="AY111" s="623">
        <f t="shared" si="300"/>
        <v>0.35034373281921505</v>
      </c>
      <c r="AZ111" s="623">
        <f t="shared" si="300"/>
        <v>0.24498913579438608</v>
      </c>
      <c r="BA111" s="623">
        <f t="shared" si="300"/>
        <v>1.9058365601208008E-2</v>
      </c>
      <c r="BB111" s="623">
        <f t="shared" si="300"/>
        <v>0.22987127492309661</v>
      </c>
      <c r="BC111" s="623">
        <f t="shared" si="300"/>
        <v>0.38745837895376301</v>
      </c>
      <c r="BD111" s="623">
        <f t="shared" si="300"/>
        <v>0.26162648748857492</v>
      </c>
      <c r="BE111" s="623">
        <f t="shared" si="300"/>
        <v>7.5399409483437069E-2</v>
      </c>
      <c r="BF111" s="623">
        <f t="shared" si="300"/>
        <v>0.24834320535384699</v>
      </c>
      <c r="BG111" s="623">
        <f t="shared" si="300"/>
        <v>0.39599771774470655</v>
      </c>
      <c r="BH111" s="623">
        <f t="shared" si="300"/>
        <v>0.22480667759813996</v>
      </c>
      <c r="BI111" s="623">
        <f t="shared" si="300"/>
        <v>0.11120106548672737</v>
      </c>
      <c r="BJ111" s="623">
        <f t="shared" si="300"/>
        <v>0.27599573329127031</v>
      </c>
      <c r="BK111" s="623">
        <f t="shared" si="300"/>
        <v>0.41242850169383599</v>
      </c>
      <c r="BL111" s="623">
        <f t="shared" si="300"/>
        <v>0.28080796785542128</v>
      </c>
      <c r="BM111" s="623">
        <f t="shared" si="300"/>
        <v>0.11161737262593956</v>
      </c>
      <c r="BN111" s="623">
        <f t="shared" si="300"/>
        <v>0.27609781153431728</v>
      </c>
      <c r="BO111" s="415"/>
      <c r="BP111" s="415">
        <f t="shared" ref="BP111:CF111" si="301">BP81/BP$63</f>
        <v>-0.19321291735084839</v>
      </c>
      <c r="BQ111" s="415">
        <f t="shared" si="301"/>
        <v>-7.7737531345778765E-2</v>
      </c>
      <c r="BR111" s="415">
        <f t="shared" si="301"/>
        <v>4.3446777697320783E-3</v>
      </c>
      <c r="BS111" s="415">
        <f t="shared" si="301"/>
        <v>3.6607848301290491E-2</v>
      </c>
      <c r="BT111" s="415">
        <f t="shared" si="301"/>
        <v>1.958041958041958E-3</v>
      </c>
      <c r="BU111" s="415">
        <f t="shared" si="301"/>
        <v>0.20487264673311184</v>
      </c>
      <c r="BV111" s="415">
        <f t="shared" si="301"/>
        <v>0.1994995450409463</v>
      </c>
      <c r="BW111" s="415">
        <f t="shared" si="301"/>
        <v>0.24974200206398348</v>
      </c>
      <c r="BX111" s="415">
        <f t="shared" si="301"/>
        <v>0.28135922330097085</v>
      </c>
      <c r="BY111" s="35">
        <f t="shared" si="301"/>
        <v>0.21797979797979797</v>
      </c>
      <c r="BZ111" s="35">
        <f t="shared" si="301"/>
        <v>0.27234964782373128</v>
      </c>
      <c r="CA111" s="35">
        <f t="shared" si="301"/>
        <v>0.18067152247290816</v>
      </c>
      <c r="CB111" s="35">
        <f t="shared" si="301"/>
        <v>0.13166437389458638</v>
      </c>
      <c r="CC111" s="35">
        <f t="shared" si="301"/>
        <v>0.21330188830094737</v>
      </c>
      <c r="CD111" s="35">
        <f t="shared" si="301"/>
        <v>0.24446504353038981</v>
      </c>
      <c r="CE111" s="35">
        <f t="shared" si="301"/>
        <v>0.24959922537349782</v>
      </c>
      <c r="CF111" s="35">
        <f t="shared" si="301"/>
        <v>0.27052714158908292</v>
      </c>
    </row>
    <row r="112" spans="1:84" s="637" customFormat="1">
      <c r="A112" s="69" t="s">
        <v>4</v>
      </c>
      <c r="B112" s="623">
        <f t="shared" ref="B112:AG112" si="302">B84/B$63</f>
        <v>3.0643513789581207E-2</v>
      </c>
      <c r="C112" s="623">
        <f t="shared" si="302"/>
        <v>0.11779141104294479</v>
      </c>
      <c r="D112" s="623">
        <f t="shared" si="302"/>
        <v>-0.31854199683042789</v>
      </c>
      <c r="E112" s="623">
        <f t="shared" si="302"/>
        <v>-0.3057929724596391</v>
      </c>
      <c r="F112" s="623">
        <f t="shared" si="302"/>
        <v>0.13853211009174313</v>
      </c>
      <c r="G112" s="623">
        <f t="shared" si="302"/>
        <v>0.22122122122122123</v>
      </c>
      <c r="H112" s="623">
        <f t="shared" si="302"/>
        <v>-0.47552447552447552</v>
      </c>
      <c r="I112" s="623">
        <f t="shared" si="302"/>
        <v>-0.19321394910461828</v>
      </c>
      <c r="J112" s="623">
        <f t="shared" si="302"/>
        <v>0.29239766081871343</v>
      </c>
      <c r="K112" s="623">
        <f t="shared" si="302"/>
        <v>0.21047120418848167</v>
      </c>
      <c r="L112" s="623">
        <f t="shared" si="302"/>
        <v>-0.53586497890295359</v>
      </c>
      <c r="M112" s="623">
        <f t="shared" si="302"/>
        <v>-4.8806941431670282E-2</v>
      </c>
      <c r="N112" s="623">
        <f t="shared" si="302"/>
        <v>0.26716294458229944</v>
      </c>
      <c r="O112" s="623">
        <f t="shared" si="302"/>
        <v>0.2339304531085353</v>
      </c>
      <c r="P112" s="623">
        <f t="shared" si="302"/>
        <v>-0.39280575539568346</v>
      </c>
      <c r="Q112" s="623">
        <f t="shared" si="302"/>
        <v>-0.38118811881188119</v>
      </c>
      <c r="R112" s="623">
        <f t="shared" si="302"/>
        <v>0.32680320569902049</v>
      </c>
      <c r="S112" s="623">
        <f t="shared" si="302"/>
        <v>0.27594728171334432</v>
      </c>
      <c r="T112" s="623">
        <f t="shared" si="302"/>
        <v>3.0303030303030303E-3</v>
      </c>
      <c r="U112" s="623">
        <f t="shared" si="302"/>
        <v>0.12611012433392541</v>
      </c>
      <c r="V112" s="623">
        <f t="shared" si="302"/>
        <v>0.33333333333333331</v>
      </c>
      <c r="W112" s="623">
        <f t="shared" si="302"/>
        <v>0.36741479634247715</v>
      </c>
      <c r="X112" s="623">
        <f t="shared" si="302"/>
        <v>-0.17177914110429449</v>
      </c>
      <c r="Y112" s="623">
        <f t="shared" si="302"/>
        <v>-4.2056074766355138E-2</v>
      </c>
      <c r="Z112" s="623">
        <f t="shared" si="302"/>
        <v>0.68730886850152906</v>
      </c>
      <c r="AA112" s="623">
        <f t="shared" si="302"/>
        <v>0.34618410700236035</v>
      </c>
      <c r="AB112" s="623">
        <f t="shared" si="302"/>
        <v>-4.2316258351893093E-2</v>
      </c>
      <c r="AC112" s="623">
        <f t="shared" si="302"/>
        <v>-8.703220191470844E-4</v>
      </c>
      <c r="AD112" s="623">
        <f t="shared" si="302"/>
        <v>0.37066142763588739</v>
      </c>
      <c r="AE112" s="623">
        <f t="shared" si="302"/>
        <v>0.44444444444444442</v>
      </c>
      <c r="AF112" s="623">
        <f t="shared" si="302"/>
        <v>-2.2940563086548488E-2</v>
      </c>
      <c r="AG112" s="623">
        <f t="shared" si="302"/>
        <v>-0.16034482758620688</v>
      </c>
      <c r="AH112" s="623">
        <f t="shared" ref="AH112:BN112" si="303">AH84/AH$63</f>
        <v>0.38369152970922882</v>
      </c>
      <c r="AI112" s="623">
        <f t="shared" si="303"/>
        <v>0.25769569041336854</v>
      </c>
      <c r="AJ112" s="623">
        <f t="shared" si="303"/>
        <v>0.19828926905132194</v>
      </c>
      <c r="AK112" s="623">
        <f t="shared" si="303"/>
        <v>0.20325833979829325</v>
      </c>
      <c r="AL112" s="623">
        <f t="shared" si="303"/>
        <v>0.16882067851373184</v>
      </c>
      <c r="AM112" s="623">
        <f t="shared" si="303"/>
        <v>1.17535153019024</v>
      </c>
      <c r="AN112" s="623">
        <f t="shared" si="303"/>
        <v>0.63353115727002962</v>
      </c>
      <c r="AO112" s="623">
        <f t="shared" si="303"/>
        <v>0.21720025109855617</v>
      </c>
      <c r="AP112" s="623">
        <f t="shared" si="303"/>
        <v>0.30136986301369861</v>
      </c>
      <c r="AQ112" s="623">
        <f t="shared" si="303"/>
        <v>0.25017135023989034</v>
      </c>
      <c r="AR112" s="623">
        <f t="shared" si="303"/>
        <v>0.16072980017376196</v>
      </c>
      <c r="AS112" s="623">
        <f t="shared" si="303"/>
        <v>0.12612074118350269</v>
      </c>
      <c r="AT112" s="623">
        <f t="shared" si="303"/>
        <v>5.6463595839524518E-2</v>
      </c>
      <c r="AU112" s="623">
        <f t="shared" si="303"/>
        <v>0.13152804642166344</v>
      </c>
      <c r="AV112" s="623">
        <f t="shared" si="303"/>
        <v>0.16100766703176342</v>
      </c>
      <c r="AW112" s="623">
        <f t="shared" si="303"/>
        <v>6.9135270169034667E-4</v>
      </c>
      <c r="AX112" s="623">
        <f t="shared" si="303"/>
        <v>6.1107336564610017E-2</v>
      </c>
      <c r="AY112" s="623">
        <f t="shared" si="303"/>
        <v>0.28728186091175634</v>
      </c>
      <c r="AZ112" s="623">
        <f t="shared" si="303"/>
        <v>0.2008910913513966</v>
      </c>
      <c r="BA112" s="623">
        <f t="shared" si="303"/>
        <v>1.5627859792990566E-2</v>
      </c>
      <c r="BB112" s="623">
        <f t="shared" si="303"/>
        <v>0.18849444543693922</v>
      </c>
      <c r="BC112" s="623">
        <f t="shared" si="303"/>
        <v>0.31771587074208568</v>
      </c>
      <c r="BD112" s="623">
        <f t="shared" si="303"/>
        <v>0.21453371974063143</v>
      </c>
      <c r="BE112" s="623">
        <f t="shared" si="303"/>
        <v>6.1827515776418394E-2</v>
      </c>
      <c r="BF112" s="623">
        <f t="shared" si="303"/>
        <v>0.20364142839015453</v>
      </c>
      <c r="BG112" s="623">
        <f t="shared" si="303"/>
        <v>0.3247181285506594</v>
      </c>
      <c r="BH112" s="623">
        <f t="shared" si="303"/>
        <v>0.18434147563047476</v>
      </c>
      <c r="BI112" s="623">
        <f t="shared" si="303"/>
        <v>9.1184873699116445E-2</v>
      </c>
      <c r="BJ112" s="623">
        <f t="shared" si="303"/>
        <v>0.22631650129884165</v>
      </c>
      <c r="BK112" s="623">
        <f t="shared" si="303"/>
        <v>0.33819137138894551</v>
      </c>
      <c r="BL112" s="623">
        <f t="shared" si="303"/>
        <v>0.23026253364144544</v>
      </c>
      <c r="BM112" s="623">
        <f t="shared" si="303"/>
        <v>9.1526245553270436E-2</v>
      </c>
      <c r="BN112" s="623">
        <f t="shared" si="303"/>
        <v>0.22640020545814019</v>
      </c>
      <c r="BO112" s="415"/>
      <c r="BP112" s="415">
        <f t="shared" ref="BP112:CF112" si="304">BP84/BP$63</f>
        <v>-0.18527640941434045</v>
      </c>
      <c r="BQ112" s="415">
        <f t="shared" si="304"/>
        <v>-7.6901643911953185E-2</v>
      </c>
      <c r="BR112" s="415">
        <f t="shared" si="304"/>
        <v>1.8344195027757665E-2</v>
      </c>
      <c r="BS112" s="415">
        <f t="shared" si="304"/>
        <v>2.5809849881485384E-2</v>
      </c>
      <c r="BT112" s="415">
        <f t="shared" si="304"/>
        <v>2.2377622377622378E-3</v>
      </c>
      <c r="BU112" s="415">
        <f t="shared" si="304"/>
        <v>0.19379844961240311</v>
      </c>
      <c r="BV112" s="415">
        <f t="shared" si="304"/>
        <v>0.26296633303002731</v>
      </c>
      <c r="BW112" s="415">
        <f t="shared" si="304"/>
        <v>0.19958720330237359</v>
      </c>
      <c r="BX112" s="415">
        <f t="shared" si="304"/>
        <v>0.20252427184466018</v>
      </c>
      <c r="BY112" s="35">
        <f t="shared" si="304"/>
        <v>0.20585858585858585</v>
      </c>
      <c r="BZ112" s="35">
        <f t="shared" si="304"/>
        <v>0.54885316958641861</v>
      </c>
      <c r="CA112" s="35">
        <f t="shared" si="304"/>
        <v>0.14869426185823414</v>
      </c>
      <c r="CB112" s="35">
        <f t="shared" si="304"/>
        <v>8.8019194113465968E-2</v>
      </c>
      <c r="CC112" s="35">
        <f t="shared" si="304"/>
        <v>0.1749075484067768</v>
      </c>
      <c r="CD112" s="35">
        <f t="shared" si="304"/>
        <v>0.20046133569491964</v>
      </c>
      <c r="CE112" s="35">
        <f t="shared" si="304"/>
        <v>0.20467136480626824</v>
      </c>
      <c r="CF112" s="35">
        <f t="shared" si="304"/>
        <v>0.22183225610304799</v>
      </c>
    </row>
    <row r="113" spans="1:84" s="637" customFormat="1">
      <c r="A113" s="8"/>
      <c r="B113" s="623"/>
      <c r="C113" s="623"/>
      <c r="D113" s="623"/>
      <c r="E113" s="623"/>
      <c r="F113" s="623"/>
      <c r="G113" s="623"/>
      <c r="H113" s="623"/>
      <c r="I113" s="623"/>
      <c r="J113" s="623"/>
      <c r="K113" s="623"/>
      <c r="L113" s="623"/>
      <c r="M113" s="623"/>
      <c r="N113" s="623"/>
      <c r="O113" s="623"/>
      <c r="P113" s="623"/>
      <c r="Q113" s="623"/>
      <c r="R113" s="623"/>
      <c r="S113" s="623"/>
      <c r="T113" s="623"/>
      <c r="U113" s="623"/>
      <c r="V113" s="623"/>
      <c r="W113" s="623"/>
      <c r="X113" s="623"/>
      <c r="Y113" s="623"/>
      <c r="Z113" s="623"/>
      <c r="AA113" s="623"/>
      <c r="AB113" s="623"/>
      <c r="AC113" s="623"/>
      <c r="AD113" s="623"/>
      <c r="AE113" s="623"/>
      <c r="AF113" s="623"/>
      <c r="AG113" s="623"/>
      <c r="AH113" s="623"/>
      <c r="AI113" s="623"/>
      <c r="AJ113" s="623"/>
      <c r="AK113" s="623"/>
      <c r="AL113" s="623"/>
      <c r="AM113" s="623"/>
      <c r="AN113" s="623"/>
      <c r="AO113" s="623"/>
      <c r="AP113" s="623"/>
      <c r="AQ113" s="623"/>
      <c r="AR113" s="623"/>
      <c r="AS113" s="623"/>
      <c r="AT113" s="623"/>
      <c r="AU113" s="623"/>
      <c r="AV113" s="623"/>
      <c r="AW113" s="623"/>
      <c r="AX113" s="623"/>
      <c r="AY113" s="623"/>
      <c r="AZ113" s="623"/>
      <c r="BA113" s="623"/>
      <c r="BB113" s="623"/>
      <c r="BC113" s="623"/>
      <c r="BD113" s="623"/>
      <c r="BE113" s="623"/>
      <c r="BF113" s="623"/>
      <c r="BG113" s="623"/>
      <c r="BH113" s="623"/>
      <c r="BI113" s="623"/>
      <c r="BJ113" s="623"/>
      <c r="BK113" s="623"/>
      <c r="BL113" s="623"/>
      <c r="BM113" s="623"/>
      <c r="BN113" s="623"/>
      <c r="BO113" s="415"/>
      <c r="BP113" s="415"/>
      <c r="BQ113" s="415"/>
      <c r="BR113" s="415"/>
      <c r="BS113" s="415"/>
      <c r="BT113" s="415"/>
      <c r="BU113" s="415"/>
      <c r="BV113" s="415"/>
      <c r="BW113" s="415"/>
      <c r="BX113" s="415"/>
      <c r="BY113" s="35"/>
      <c r="BZ113" s="35"/>
      <c r="CA113" s="35"/>
      <c r="CB113" s="35"/>
      <c r="CC113" s="35"/>
      <c r="CD113" s="35"/>
      <c r="CE113" s="35"/>
      <c r="CF113" s="35"/>
    </row>
  </sheetData>
  <dataConsolidate/>
  <pageMargins left="0.7" right="0.7" top="0.75" bottom="0.75" header="0.3" footer="0.3"/>
  <pageSetup scale="46" fitToHeight="5" orientation="landscape" r:id="rId1"/>
  <ignoredErrors>
    <ignoredError sqref="BQ82:CA82 BQ80:CF80" formulaRange="1"/>
    <ignoredError sqref="BQ81:CF8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CI310"/>
  <sheetViews>
    <sheetView showGridLines="0" zoomScale="162" zoomScaleNormal="41" workbookViewId="0">
      <pane xSplit="1" ySplit="5" topLeftCell="AI6" activePane="bottomRight" state="frozen"/>
      <selection pane="topRight"/>
      <selection pane="bottomLeft"/>
      <selection pane="bottomRight" activeCell="AQ6" sqref="AQ6"/>
    </sheetView>
  </sheetViews>
  <sheetFormatPr baseColWidth="10" defaultColWidth="6" defaultRowHeight="11" outlineLevelRow="1" outlineLevelCol="1"/>
  <cols>
    <col min="1" max="1" width="23.5" style="127" customWidth="1"/>
    <col min="2" max="9" width="5.83203125" style="3" hidden="1" customWidth="1" outlineLevel="1"/>
    <col min="10" max="11" width="5.83203125" style="3" hidden="1" customWidth="1" outlineLevel="1" collapsed="1"/>
    <col min="12" max="14" width="5.83203125" style="3" hidden="1" customWidth="1" outlineLevel="1"/>
    <col min="15" max="15" width="5.83203125" style="3" hidden="1" customWidth="1" outlineLevel="1" collapsed="1"/>
    <col min="16" max="34" width="5.83203125" style="3" hidden="1" customWidth="1" outlineLevel="1"/>
    <col min="35" max="35" width="5.83203125" style="3" customWidth="1" collapsed="1"/>
    <col min="36" max="54" width="5.83203125" style="3" customWidth="1"/>
    <col min="55" max="66" width="5.83203125" style="3" customWidth="1" outlineLevel="1"/>
    <col min="67" max="67" width="5.83203125" style="3" customWidth="1"/>
    <col min="68" max="76" width="5.83203125" style="3" customWidth="1" outlineLevel="1"/>
    <col min="77" max="86" width="5.83203125" style="3" customWidth="1"/>
    <col min="87" max="87" width="6" style="3"/>
    <col min="88" max="16384" width="6" style="4"/>
  </cols>
  <sheetData>
    <row r="1" spans="1:87" ht="16">
      <c r="A1" s="2"/>
    </row>
    <row r="2" spans="1:87" ht="15">
      <c r="A2" s="5" t="s">
        <v>313</v>
      </c>
      <c r="AV2" s="6"/>
    </row>
    <row r="3" spans="1:87">
      <c r="A3" s="7" t="s">
        <v>312</v>
      </c>
    </row>
    <row r="4" spans="1:87" ht="12.75" customHeight="1">
      <c r="A4" s="8"/>
      <c r="B4" s="9">
        <v>40268</v>
      </c>
      <c r="C4" s="9">
        <v>40359</v>
      </c>
      <c r="D4" s="9">
        <v>40451</v>
      </c>
      <c r="E4" s="9">
        <v>40543</v>
      </c>
      <c r="F4" s="9">
        <v>40633</v>
      </c>
      <c r="G4" s="9">
        <v>40724</v>
      </c>
      <c r="H4" s="9">
        <v>40816</v>
      </c>
      <c r="I4" s="9">
        <v>40908</v>
      </c>
      <c r="J4" s="9">
        <v>40999</v>
      </c>
      <c r="K4" s="9">
        <v>41090</v>
      </c>
      <c r="L4" s="9">
        <v>41182</v>
      </c>
      <c r="M4" s="9">
        <v>41274</v>
      </c>
      <c r="N4" s="9">
        <v>41364</v>
      </c>
      <c r="O4" s="9">
        <v>41455</v>
      </c>
      <c r="P4" s="9">
        <v>41547</v>
      </c>
      <c r="Q4" s="9">
        <v>41639</v>
      </c>
      <c r="R4" s="9">
        <v>41729</v>
      </c>
      <c r="S4" s="9">
        <v>41820</v>
      </c>
      <c r="T4" s="9">
        <v>41912</v>
      </c>
      <c r="U4" s="9">
        <v>42004</v>
      </c>
      <c r="V4" s="9">
        <v>42094</v>
      </c>
      <c r="W4" s="9">
        <v>42185</v>
      </c>
      <c r="X4" s="9">
        <v>42277</v>
      </c>
      <c r="Y4" s="9">
        <v>42369</v>
      </c>
      <c r="Z4" s="9">
        <v>42460</v>
      </c>
      <c r="AA4" s="9">
        <v>42551</v>
      </c>
      <c r="AB4" s="9">
        <v>42643</v>
      </c>
      <c r="AC4" s="9">
        <v>42735</v>
      </c>
      <c r="AD4" s="9">
        <v>42825</v>
      </c>
      <c r="AE4" s="9">
        <v>42916</v>
      </c>
      <c r="AF4" s="9">
        <v>43008</v>
      </c>
      <c r="AG4" s="9">
        <v>43100</v>
      </c>
      <c r="AH4" s="9">
        <v>43190</v>
      </c>
      <c r="AI4" s="9">
        <v>43281</v>
      </c>
      <c r="AJ4" s="9">
        <v>43373</v>
      </c>
      <c r="AK4" s="9">
        <v>43465</v>
      </c>
      <c r="AL4" s="9">
        <v>43555</v>
      </c>
      <c r="AM4" s="9">
        <v>43646</v>
      </c>
      <c r="AN4" s="9">
        <v>43738</v>
      </c>
      <c r="AO4" s="9">
        <v>43830</v>
      </c>
      <c r="AP4" s="9">
        <v>43921</v>
      </c>
      <c r="AQ4" s="9">
        <v>44012</v>
      </c>
      <c r="AR4" s="9">
        <v>44104</v>
      </c>
      <c r="AS4" s="9">
        <v>44196</v>
      </c>
      <c r="AT4" s="9">
        <v>44286</v>
      </c>
      <c r="AU4" s="9">
        <v>44368</v>
      </c>
      <c r="AV4" s="9">
        <v>44460</v>
      </c>
      <c r="AW4" s="10" t="s">
        <v>258</v>
      </c>
      <c r="AX4" s="10" t="s">
        <v>259</v>
      </c>
      <c r="AY4" s="10">
        <v>44742</v>
      </c>
      <c r="AZ4" s="10">
        <v>44834</v>
      </c>
      <c r="BA4" s="10">
        <v>44926</v>
      </c>
      <c r="BB4" s="10">
        <v>45016</v>
      </c>
      <c r="BC4" s="10">
        <v>45107</v>
      </c>
      <c r="BD4" s="10">
        <v>45199</v>
      </c>
      <c r="BE4" s="10">
        <v>45291</v>
      </c>
      <c r="BF4" s="10">
        <v>45382</v>
      </c>
      <c r="BG4" s="10">
        <v>45473</v>
      </c>
      <c r="BH4" s="10">
        <v>45565</v>
      </c>
      <c r="BI4" s="10">
        <v>45657</v>
      </c>
      <c r="BJ4" s="10">
        <v>45747</v>
      </c>
      <c r="BK4" s="10">
        <v>45838</v>
      </c>
      <c r="BL4" s="10">
        <v>45930</v>
      </c>
      <c r="BM4" s="10">
        <v>46022</v>
      </c>
      <c r="BN4" s="10">
        <v>46112</v>
      </c>
      <c r="BO4" s="10"/>
    </row>
    <row r="5" spans="1:87" s="14" customFormat="1">
      <c r="A5" s="11"/>
      <c r="B5" s="12" t="s">
        <v>334</v>
      </c>
      <c r="C5" s="12" t="s">
        <v>335</v>
      </c>
      <c r="D5" s="12" t="s">
        <v>336</v>
      </c>
      <c r="E5" s="12" t="s">
        <v>337</v>
      </c>
      <c r="F5" s="12" t="s">
        <v>338</v>
      </c>
      <c r="G5" s="12" t="s">
        <v>339</v>
      </c>
      <c r="H5" s="12" t="s">
        <v>340</v>
      </c>
      <c r="I5" s="12" t="s">
        <v>341</v>
      </c>
      <c r="J5" s="12" t="s">
        <v>342</v>
      </c>
      <c r="K5" s="12" t="s">
        <v>343</v>
      </c>
      <c r="L5" s="12" t="s">
        <v>344</v>
      </c>
      <c r="M5" s="12" t="s">
        <v>345</v>
      </c>
      <c r="N5" s="12" t="s">
        <v>346</v>
      </c>
      <c r="O5" s="12" t="s">
        <v>347</v>
      </c>
      <c r="P5" s="12" t="s">
        <v>348</v>
      </c>
      <c r="Q5" s="12" t="s">
        <v>349</v>
      </c>
      <c r="R5" s="12" t="s">
        <v>350</v>
      </c>
      <c r="S5" s="12" t="s">
        <v>351</v>
      </c>
      <c r="T5" s="12" t="s">
        <v>352</v>
      </c>
      <c r="U5" s="12" t="s">
        <v>353</v>
      </c>
      <c r="V5" s="12" t="s">
        <v>354</v>
      </c>
      <c r="W5" s="12" t="s">
        <v>355</v>
      </c>
      <c r="X5" s="12" t="s">
        <v>356</v>
      </c>
      <c r="Y5" s="12" t="s">
        <v>357</v>
      </c>
      <c r="Z5" s="12" t="s">
        <v>358</v>
      </c>
      <c r="AA5" s="12" t="s">
        <v>359</v>
      </c>
      <c r="AB5" s="12" t="s">
        <v>360</v>
      </c>
      <c r="AC5" s="12" t="s">
        <v>361</v>
      </c>
      <c r="AD5" s="12" t="s">
        <v>362</v>
      </c>
      <c r="AE5" s="12" t="s">
        <v>363</v>
      </c>
      <c r="AF5" s="12" t="s">
        <v>364</v>
      </c>
      <c r="AG5" s="12" t="s">
        <v>365</v>
      </c>
      <c r="AH5" s="12" t="s">
        <v>366</v>
      </c>
      <c r="AI5" s="12" t="s">
        <v>505</v>
      </c>
      <c r="AJ5" s="12" t="s">
        <v>506</v>
      </c>
      <c r="AK5" s="12" t="s">
        <v>507</v>
      </c>
      <c r="AL5" s="12" t="s">
        <v>508</v>
      </c>
      <c r="AM5" s="12" t="s">
        <v>509</v>
      </c>
      <c r="AN5" s="12" t="s">
        <v>510</v>
      </c>
      <c r="AO5" s="12" t="s">
        <v>511</v>
      </c>
      <c r="AP5" s="12" t="s">
        <v>512</v>
      </c>
      <c r="AQ5" s="12" t="s">
        <v>513</v>
      </c>
      <c r="AR5" s="12" t="s">
        <v>514</v>
      </c>
      <c r="AS5" s="12" t="s">
        <v>515</v>
      </c>
      <c r="AT5" s="12" t="s">
        <v>516</v>
      </c>
      <c r="AU5" s="12" t="s">
        <v>517</v>
      </c>
      <c r="AV5" s="12" t="s">
        <v>518</v>
      </c>
      <c r="AW5" s="12" t="s">
        <v>519</v>
      </c>
      <c r="AX5" s="12" t="s">
        <v>520</v>
      </c>
      <c r="AY5" s="12" t="s">
        <v>521</v>
      </c>
      <c r="AZ5" s="12" t="s">
        <v>522</v>
      </c>
      <c r="BA5" s="12" t="s">
        <v>523</v>
      </c>
      <c r="BB5" s="11" t="s">
        <v>524</v>
      </c>
      <c r="BC5" s="12" t="s">
        <v>525</v>
      </c>
      <c r="BD5" s="12" t="s">
        <v>526</v>
      </c>
      <c r="BE5" s="12" t="s">
        <v>527</v>
      </c>
      <c r="BF5" s="12" t="s">
        <v>528</v>
      </c>
      <c r="BG5" s="12" t="s">
        <v>529</v>
      </c>
      <c r="BH5" s="12" t="s">
        <v>530</v>
      </c>
      <c r="BI5" s="12" t="s">
        <v>531</v>
      </c>
      <c r="BJ5" s="12" t="s">
        <v>532</v>
      </c>
      <c r="BK5" s="12" t="s">
        <v>533</v>
      </c>
      <c r="BL5" s="12" t="s">
        <v>534</v>
      </c>
      <c r="BM5" s="12" t="s">
        <v>535</v>
      </c>
      <c r="BN5" s="12" t="s">
        <v>536</v>
      </c>
      <c r="BO5" s="12"/>
      <c r="BP5" s="13" t="s">
        <v>433</v>
      </c>
      <c r="BQ5" s="13" t="s">
        <v>434</v>
      </c>
      <c r="BR5" s="13" t="s">
        <v>435</v>
      </c>
      <c r="BS5" s="13" t="s">
        <v>436</v>
      </c>
      <c r="BT5" s="13" t="s">
        <v>437</v>
      </c>
      <c r="BU5" s="13" t="s">
        <v>438</v>
      </c>
      <c r="BV5" s="13" t="s">
        <v>439</v>
      </c>
      <c r="BW5" s="13" t="s">
        <v>440</v>
      </c>
      <c r="BX5" s="13" t="s">
        <v>441</v>
      </c>
      <c r="BY5" s="13" t="s">
        <v>537</v>
      </c>
      <c r="BZ5" s="13" t="s">
        <v>538</v>
      </c>
      <c r="CA5" s="13" t="s">
        <v>539</v>
      </c>
      <c r="CB5" s="13" t="s">
        <v>540</v>
      </c>
      <c r="CC5" s="13" t="s">
        <v>541</v>
      </c>
      <c r="CD5" s="13" t="s">
        <v>542</v>
      </c>
      <c r="CE5" s="13" t="s">
        <v>543</v>
      </c>
      <c r="CF5" s="13" t="s">
        <v>544</v>
      </c>
      <c r="CG5" s="3"/>
      <c r="CH5" s="12"/>
      <c r="CI5" s="12"/>
    </row>
    <row r="6" spans="1:87" s="19" customFormat="1" ht="99" customHeight="1">
      <c r="A6" s="15" t="s">
        <v>424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 t="s">
        <v>490</v>
      </c>
      <c r="AU6" s="16" t="s">
        <v>491</v>
      </c>
      <c r="AV6" s="16" t="s">
        <v>492</v>
      </c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7"/>
      <c r="BL6" s="17"/>
      <c r="BM6" s="18"/>
      <c r="BN6" s="18"/>
      <c r="BO6" s="18"/>
      <c r="BP6" s="18"/>
      <c r="BQ6" s="18"/>
    </row>
    <row r="7" spans="1:87" s="24" customFormat="1" ht="12.75" customHeight="1">
      <c r="A7" s="20" t="s">
        <v>446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3"/>
      <c r="BP7" s="23"/>
      <c r="BQ7" s="23"/>
    </row>
    <row r="8" spans="1:87" s="32" customFormat="1" ht="12.75" customHeight="1">
      <c r="A8" s="25" t="s">
        <v>442</v>
      </c>
      <c r="B8" s="26">
        <v>850</v>
      </c>
      <c r="C8" s="26">
        <v>539</v>
      </c>
      <c r="D8" s="26">
        <v>884</v>
      </c>
      <c r="E8" s="26">
        <v>1410</v>
      </c>
      <c r="F8" s="26">
        <v>995</v>
      </c>
      <c r="G8" s="26">
        <v>524</v>
      </c>
      <c r="H8" s="26">
        <v>1034</v>
      </c>
      <c r="I8" s="26">
        <v>1651</v>
      </c>
      <c r="J8" s="26">
        <v>977</v>
      </c>
      <c r="K8" s="26">
        <v>491</v>
      </c>
      <c r="L8" s="26">
        <v>1080</v>
      </c>
      <c r="M8" s="26">
        <v>1182</v>
      </c>
      <c r="N8" s="26">
        <v>1040</v>
      </c>
      <c r="O8" s="26">
        <v>495</v>
      </c>
      <c r="P8" s="26">
        <v>1040</v>
      </c>
      <c r="Q8" s="26">
        <v>1572</v>
      </c>
      <c r="R8" s="26">
        <v>914</v>
      </c>
      <c r="S8" s="26">
        <v>775</v>
      </c>
      <c r="T8" s="26">
        <v>1220</v>
      </c>
      <c r="U8" s="26">
        <v>1428</v>
      </c>
      <c r="V8" s="26">
        <v>896</v>
      </c>
      <c r="W8" s="26">
        <v>693</v>
      </c>
      <c r="X8" s="26">
        <v>1146</v>
      </c>
      <c r="Y8" s="26">
        <v>1803</v>
      </c>
      <c r="Z8" s="26">
        <v>924</v>
      </c>
      <c r="AA8" s="26">
        <v>682</v>
      </c>
      <c r="AB8" s="26">
        <v>1098</v>
      </c>
      <c r="AC8" s="26">
        <v>2070</v>
      </c>
      <c r="AD8" s="26">
        <v>1092</v>
      </c>
      <c r="AE8" s="26">
        <v>775</v>
      </c>
      <c r="AF8" s="26">
        <v>1179</v>
      </c>
      <c r="AG8" s="26">
        <v>1971</v>
      </c>
      <c r="AH8" s="26">
        <v>1255</v>
      </c>
      <c r="AI8" s="27">
        <v>749</v>
      </c>
      <c r="AJ8" s="27">
        <v>1222</v>
      </c>
      <c r="AK8" s="27">
        <v>1609</v>
      </c>
      <c r="AL8" s="27">
        <v>1364</v>
      </c>
      <c r="AM8" s="27">
        <f t="shared" ref="AM8:BN8" si="0">AM30+AM46</f>
        <v>782</v>
      </c>
      <c r="AN8" s="27">
        <f t="shared" si="0"/>
        <v>1313</v>
      </c>
      <c r="AO8" s="27">
        <f t="shared" si="0"/>
        <v>2021</v>
      </c>
      <c r="AP8" s="27">
        <f t="shared" si="0"/>
        <v>1256</v>
      </c>
      <c r="AQ8" s="27">
        <f t="shared" si="0"/>
        <v>1390</v>
      </c>
      <c r="AR8" s="27">
        <f t="shared" si="0"/>
        <v>910</v>
      </c>
      <c r="AS8" s="27">
        <f t="shared" si="0"/>
        <v>2400</v>
      </c>
      <c r="AT8" s="27">
        <f t="shared" si="0"/>
        <v>1490</v>
      </c>
      <c r="AU8" s="27">
        <f t="shared" si="0"/>
        <v>1336</v>
      </c>
      <c r="AV8" s="27">
        <f t="shared" si="0"/>
        <v>1851</v>
      </c>
      <c r="AW8" s="27">
        <f>AW30+AW46</f>
        <v>2638.1281250000002</v>
      </c>
      <c r="AX8" s="27">
        <f>AX30+AX46</f>
        <v>1794.9524999999999</v>
      </c>
      <c r="AY8" s="27">
        <f t="shared" si="0"/>
        <v>1516.1291879866519</v>
      </c>
      <c r="AZ8" s="27">
        <f t="shared" si="0"/>
        <v>1947.0723579614728</v>
      </c>
      <c r="BA8" s="27">
        <f t="shared" si="0"/>
        <v>2872.9607479166671</v>
      </c>
      <c r="BB8" s="27">
        <f t="shared" si="0"/>
        <v>1714.1754299999998</v>
      </c>
      <c r="BC8" s="27">
        <f t="shared" si="0"/>
        <v>1526.6991252966936</v>
      </c>
      <c r="BD8" s="27">
        <f t="shared" si="0"/>
        <v>2030.5073989584421</v>
      </c>
      <c r="BE8" s="27">
        <f t="shared" si="0"/>
        <v>2970.8898584295807</v>
      </c>
      <c r="BF8" s="27">
        <f t="shared" si="0"/>
        <v>1806.9022671068983</v>
      </c>
      <c r="BG8" s="27">
        <f t="shared" si="0"/>
        <v>1608.924985739538</v>
      </c>
      <c r="BH8" s="27">
        <f t="shared" si="0"/>
        <v>2484.904602292946</v>
      </c>
      <c r="BI8" s="27">
        <f t="shared" si="0"/>
        <v>3210.5779172070388</v>
      </c>
      <c r="BJ8" s="27">
        <f t="shared" si="0"/>
        <v>1939.758116797321</v>
      </c>
      <c r="BK8" s="27">
        <f t="shared" si="0"/>
        <v>1717.1485597353451</v>
      </c>
      <c r="BL8" s="27">
        <f t="shared" si="0"/>
        <v>2265.4063104981733</v>
      </c>
      <c r="BM8" s="27">
        <f t="shared" si="0"/>
        <v>3309.5831233039135</v>
      </c>
      <c r="BN8" s="27">
        <f t="shared" si="0"/>
        <v>2042.7581708372541</v>
      </c>
      <c r="BO8" s="28"/>
      <c r="BP8" s="29">
        <v>3683</v>
      </c>
      <c r="BQ8" s="29">
        <v>3828</v>
      </c>
      <c r="BR8" s="29">
        <v>4186</v>
      </c>
      <c r="BS8" s="29">
        <v>3793</v>
      </c>
      <c r="BT8" s="29">
        <v>4021</v>
      </c>
      <c r="BU8" s="30">
        <f>SUM(S8:V8)</f>
        <v>4319</v>
      </c>
      <c r="BV8" s="30">
        <f>SUM(W8:Z8)</f>
        <v>4566</v>
      </c>
      <c r="BW8" s="30">
        <f>SUM(AA8:AD8)</f>
        <v>4942</v>
      </c>
      <c r="BX8" s="30">
        <f>SUM(AE8:AH8)</f>
        <v>5180</v>
      </c>
      <c r="BY8" s="30">
        <f>SUM(AI8:AL8)</f>
        <v>4944</v>
      </c>
      <c r="BZ8" s="30">
        <f t="shared" ref="BZ8:CF8" si="1">+BZ30+BZ46</f>
        <v>5372</v>
      </c>
      <c r="CA8" s="30">
        <f t="shared" si="1"/>
        <v>6190</v>
      </c>
      <c r="CB8" s="30">
        <f t="shared" si="1"/>
        <v>7620.0806249999996</v>
      </c>
      <c r="CC8" s="30">
        <f t="shared" si="1"/>
        <v>8050.3377238647909</v>
      </c>
      <c r="CD8" s="30">
        <f t="shared" si="1"/>
        <v>8334.9986497916143</v>
      </c>
      <c r="CE8" s="30">
        <f t="shared" si="1"/>
        <v>9244.1656220368441</v>
      </c>
      <c r="CF8" s="30">
        <f t="shared" si="1"/>
        <v>9334.8961643746843</v>
      </c>
      <c r="CG8" s="31"/>
      <c r="CH8" s="31"/>
      <c r="CI8" s="31"/>
    </row>
    <row r="9" spans="1:87" s="37" customFormat="1" ht="12.75" customHeight="1">
      <c r="A9" s="33" t="s">
        <v>0</v>
      </c>
      <c r="B9" s="34" t="s">
        <v>17</v>
      </c>
      <c r="C9" s="34">
        <f t="shared" ref="C9:P9" si="2">C8/B8-1</f>
        <v>-0.36588235294117644</v>
      </c>
      <c r="D9" s="34">
        <f t="shared" si="2"/>
        <v>0.64007421150278287</v>
      </c>
      <c r="E9" s="34">
        <f t="shared" si="2"/>
        <v>0.59502262443438925</v>
      </c>
      <c r="F9" s="34">
        <f t="shared" si="2"/>
        <v>-0.29432624113475181</v>
      </c>
      <c r="G9" s="34">
        <f t="shared" si="2"/>
        <v>-0.47336683417085423</v>
      </c>
      <c r="H9" s="34">
        <f t="shared" si="2"/>
        <v>0.9732824427480915</v>
      </c>
      <c r="I9" s="34">
        <f t="shared" si="2"/>
        <v>0.59671179883945835</v>
      </c>
      <c r="J9" s="34">
        <f t="shared" si="2"/>
        <v>-0.40823743185947914</v>
      </c>
      <c r="K9" s="34">
        <f t="shared" si="2"/>
        <v>-0.49744114636642789</v>
      </c>
      <c r="L9" s="34">
        <f t="shared" si="2"/>
        <v>1.1995926680244398</v>
      </c>
      <c r="M9" s="34">
        <f t="shared" si="2"/>
        <v>9.4444444444444553E-2</v>
      </c>
      <c r="N9" s="34">
        <f t="shared" si="2"/>
        <v>-0.12013536379018608</v>
      </c>
      <c r="O9" s="34">
        <f t="shared" si="2"/>
        <v>-0.52403846153846156</v>
      </c>
      <c r="P9" s="34">
        <f t="shared" si="2"/>
        <v>1.1010101010101012</v>
      </c>
      <c r="Q9" s="34">
        <f t="shared" ref="Q9:BB9" si="3">Q8/P8-1</f>
        <v>0.5115384615384615</v>
      </c>
      <c r="R9" s="34">
        <f t="shared" si="3"/>
        <v>-0.4185750636132316</v>
      </c>
      <c r="S9" s="34">
        <f t="shared" si="3"/>
        <v>-0.15207877461706787</v>
      </c>
      <c r="T9" s="34">
        <f t="shared" si="3"/>
        <v>0.5741935483870968</v>
      </c>
      <c r="U9" s="34">
        <f t="shared" si="3"/>
        <v>0.17049180327868863</v>
      </c>
      <c r="V9" s="34">
        <f t="shared" si="3"/>
        <v>-0.37254901960784315</v>
      </c>
      <c r="W9" s="34">
        <f t="shared" si="3"/>
        <v>-0.2265625</v>
      </c>
      <c r="X9" s="34">
        <f t="shared" si="3"/>
        <v>0.65367965367965364</v>
      </c>
      <c r="Y9" s="34">
        <f t="shared" si="3"/>
        <v>0.57329842931937169</v>
      </c>
      <c r="Z9" s="34">
        <f t="shared" si="3"/>
        <v>-0.4875207986688852</v>
      </c>
      <c r="AA9" s="34">
        <f t="shared" si="3"/>
        <v>-0.26190476190476186</v>
      </c>
      <c r="AB9" s="34">
        <f t="shared" si="3"/>
        <v>0.60997067448680342</v>
      </c>
      <c r="AC9" s="34">
        <f t="shared" si="3"/>
        <v>0.88524590163934436</v>
      </c>
      <c r="AD9" s="34">
        <f t="shared" si="3"/>
        <v>-0.47246376811594204</v>
      </c>
      <c r="AE9" s="34">
        <f t="shared" si="3"/>
        <v>-0.29029304029304026</v>
      </c>
      <c r="AF9" s="34">
        <f t="shared" si="3"/>
        <v>0.52129032258064512</v>
      </c>
      <c r="AG9" s="34">
        <f t="shared" si="3"/>
        <v>0.6717557251908397</v>
      </c>
      <c r="AH9" s="34">
        <f t="shared" si="3"/>
        <v>-0.36326737696600708</v>
      </c>
      <c r="AI9" s="34">
        <f t="shared" si="3"/>
        <v>-0.40318725099601593</v>
      </c>
      <c r="AJ9" s="34">
        <f t="shared" si="3"/>
        <v>0.63150867823765022</v>
      </c>
      <c r="AK9" s="34">
        <f t="shared" si="3"/>
        <v>0.31669394435351883</v>
      </c>
      <c r="AL9" s="34">
        <f t="shared" si="3"/>
        <v>-0.15226848974518337</v>
      </c>
      <c r="AM9" s="34">
        <f t="shared" si="3"/>
        <v>-0.42668621700879761</v>
      </c>
      <c r="AN9" s="34">
        <f t="shared" si="3"/>
        <v>0.67902813299232734</v>
      </c>
      <c r="AO9" s="34">
        <f t="shared" si="3"/>
        <v>0.53922315308453928</v>
      </c>
      <c r="AP9" s="34">
        <f t="shared" si="3"/>
        <v>-0.3785254824344384</v>
      </c>
      <c r="AQ9" s="34">
        <f t="shared" si="3"/>
        <v>0.1066878980891719</v>
      </c>
      <c r="AR9" s="34">
        <f t="shared" si="3"/>
        <v>-0.34532374100719421</v>
      </c>
      <c r="AS9" s="34">
        <f t="shared" si="3"/>
        <v>1.6373626373626373</v>
      </c>
      <c r="AT9" s="34">
        <f t="shared" si="3"/>
        <v>-0.37916666666666665</v>
      </c>
      <c r="AU9" s="34">
        <f t="shared" si="3"/>
        <v>-0.10335570469798661</v>
      </c>
      <c r="AV9" s="34">
        <f t="shared" si="3"/>
        <v>0.38547904191616778</v>
      </c>
      <c r="AW9" s="34">
        <f t="shared" si="3"/>
        <v>0.42524480010804977</v>
      </c>
      <c r="AX9" s="34">
        <f t="shared" si="3"/>
        <v>-0.31961132479113397</v>
      </c>
      <c r="AY9" s="34">
        <f t="shared" si="3"/>
        <v>-0.15533743205647388</v>
      </c>
      <c r="AZ9" s="34">
        <f t="shared" si="3"/>
        <v>0.28423908291554834</v>
      </c>
      <c r="BA9" s="34">
        <f t="shared" si="3"/>
        <v>0.4755284959849011</v>
      </c>
      <c r="BB9" s="34">
        <f t="shared" si="3"/>
        <v>-0.4033418551774377</v>
      </c>
      <c r="BC9" s="34">
        <f t="shared" ref="BC9:BJ9" si="4">BC8/BB8-1</f>
        <v>-0.10936821367420146</v>
      </c>
      <c r="BD9" s="34">
        <f t="shared" si="4"/>
        <v>0.32999840329628793</v>
      </c>
      <c r="BE9" s="34">
        <f t="shared" si="4"/>
        <v>0.46312683221618012</v>
      </c>
      <c r="BF9" s="34">
        <f t="shared" si="4"/>
        <v>-0.39179762521992956</v>
      </c>
      <c r="BG9" s="34">
        <f t="shared" si="4"/>
        <v>-0.1095672328112961</v>
      </c>
      <c r="BH9" s="34">
        <f t="shared" si="4"/>
        <v>0.54445025362743449</v>
      </c>
      <c r="BI9" s="34">
        <f t="shared" si="4"/>
        <v>0.29203266565826214</v>
      </c>
      <c r="BJ9" s="34">
        <f t="shared" si="4"/>
        <v>-0.39582275627038366</v>
      </c>
      <c r="BK9" s="34">
        <f>BK8/BJ8-1</f>
        <v>-0.11476150306282529</v>
      </c>
      <c r="BL9" s="34">
        <f>BL8/BK8-1</f>
        <v>0.31928381947763929</v>
      </c>
      <c r="BM9" s="34">
        <f>BM8/BL8-1</f>
        <v>0.46092253207157396</v>
      </c>
      <c r="BN9" s="34">
        <f>BN8/BM8-1</f>
        <v>-0.38277478016687627</v>
      </c>
      <c r="BO9" s="35"/>
      <c r="BP9" s="35" t="s">
        <v>17</v>
      </c>
      <c r="BQ9" s="35" t="s">
        <v>17</v>
      </c>
      <c r="BR9" s="35" t="s">
        <v>17</v>
      </c>
      <c r="BS9" s="35" t="s">
        <v>17</v>
      </c>
      <c r="BT9" s="35" t="s">
        <v>17</v>
      </c>
      <c r="BU9" s="35" t="s">
        <v>17</v>
      </c>
      <c r="BV9" s="35" t="s">
        <v>17</v>
      </c>
      <c r="BW9" s="35" t="s">
        <v>17</v>
      </c>
      <c r="BX9" s="35" t="s">
        <v>17</v>
      </c>
      <c r="BY9" s="35" t="s">
        <v>17</v>
      </c>
      <c r="BZ9" s="35" t="s">
        <v>17</v>
      </c>
      <c r="CA9" s="35" t="s">
        <v>17</v>
      </c>
      <c r="CB9" s="35" t="s">
        <v>17</v>
      </c>
      <c r="CC9" s="35" t="s">
        <v>17</v>
      </c>
      <c r="CD9" s="35" t="s">
        <v>17</v>
      </c>
      <c r="CE9" s="35" t="s">
        <v>17</v>
      </c>
      <c r="CF9" s="35" t="s">
        <v>17</v>
      </c>
      <c r="CG9" s="36"/>
      <c r="CH9" s="36"/>
      <c r="CI9" s="36"/>
    </row>
    <row r="10" spans="1:87" s="37" customFormat="1" ht="12.75" customHeight="1">
      <c r="A10" s="33" t="s">
        <v>1</v>
      </c>
      <c r="B10" s="34" t="s">
        <v>17</v>
      </c>
      <c r="C10" s="34" t="s">
        <v>17</v>
      </c>
      <c r="D10" s="34" t="s">
        <v>17</v>
      </c>
      <c r="E10" s="34" t="s">
        <v>17</v>
      </c>
      <c r="F10" s="34">
        <f t="shared" ref="F10:AR10" si="5">F8/B8-1</f>
        <v>0.17058823529411771</v>
      </c>
      <c r="G10" s="34">
        <f t="shared" si="5"/>
        <v>-2.7829313543599299E-2</v>
      </c>
      <c r="H10" s="34">
        <f t="shared" si="5"/>
        <v>0.1696832579185521</v>
      </c>
      <c r="I10" s="34">
        <f t="shared" si="5"/>
        <v>0.17092198581560281</v>
      </c>
      <c r="J10" s="34">
        <f t="shared" si="5"/>
        <v>-1.8090452261306567E-2</v>
      </c>
      <c r="K10" s="34">
        <f t="shared" si="5"/>
        <v>-6.2977099236641187E-2</v>
      </c>
      <c r="L10" s="34">
        <f t="shared" si="5"/>
        <v>4.4487427466150864E-2</v>
      </c>
      <c r="M10" s="34">
        <f t="shared" si="5"/>
        <v>-0.28407026044821315</v>
      </c>
      <c r="N10" s="34">
        <f t="shared" si="5"/>
        <v>6.4483111566018492E-2</v>
      </c>
      <c r="O10" s="34">
        <f t="shared" si="5"/>
        <v>8.1466395112015366E-3</v>
      </c>
      <c r="P10" s="34">
        <f t="shared" si="5"/>
        <v>-3.703703703703709E-2</v>
      </c>
      <c r="Q10" s="34">
        <f t="shared" si="5"/>
        <v>0.32994923857868019</v>
      </c>
      <c r="R10" s="34">
        <f t="shared" si="5"/>
        <v>-0.12115384615384617</v>
      </c>
      <c r="S10" s="34">
        <f t="shared" si="5"/>
        <v>0.56565656565656575</v>
      </c>
      <c r="T10" s="34">
        <f t="shared" si="5"/>
        <v>0.17307692307692313</v>
      </c>
      <c r="U10" s="34">
        <f t="shared" si="5"/>
        <v>-9.1603053435114545E-2</v>
      </c>
      <c r="V10" s="34">
        <f t="shared" si="5"/>
        <v>-1.969365426695846E-2</v>
      </c>
      <c r="W10" s="34">
        <f t="shared" si="5"/>
        <v>-0.10580645161290325</v>
      </c>
      <c r="X10" s="34">
        <f t="shared" si="5"/>
        <v>-6.0655737704918056E-2</v>
      </c>
      <c r="Y10" s="34">
        <f t="shared" si="5"/>
        <v>0.26260504201680668</v>
      </c>
      <c r="Z10" s="34">
        <f t="shared" si="5"/>
        <v>3.125E-2</v>
      </c>
      <c r="AA10" s="34">
        <f t="shared" si="5"/>
        <v>-1.5873015873015928E-2</v>
      </c>
      <c r="AB10" s="34">
        <f t="shared" si="5"/>
        <v>-4.1884816753926746E-2</v>
      </c>
      <c r="AC10" s="34">
        <f t="shared" si="5"/>
        <v>0.14808652246256249</v>
      </c>
      <c r="AD10" s="34">
        <f t="shared" si="5"/>
        <v>0.18181818181818188</v>
      </c>
      <c r="AE10" s="34">
        <f t="shared" si="5"/>
        <v>0.13636363636363646</v>
      </c>
      <c r="AF10" s="34">
        <f t="shared" si="5"/>
        <v>7.3770491803278659E-2</v>
      </c>
      <c r="AG10" s="34">
        <f t="shared" si="5"/>
        <v>-4.7826086956521685E-2</v>
      </c>
      <c r="AH10" s="34">
        <f t="shared" si="5"/>
        <v>0.14926739926739918</v>
      </c>
      <c r="AI10" s="34">
        <f t="shared" si="5"/>
        <v>-3.3548387096774213E-2</v>
      </c>
      <c r="AJ10" s="34">
        <f t="shared" si="5"/>
        <v>3.6471586089906749E-2</v>
      </c>
      <c r="AK10" s="34">
        <f t="shared" si="5"/>
        <v>-0.18366311516996447</v>
      </c>
      <c r="AL10" s="34">
        <f t="shared" si="5"/>
        <v>8.6852589641434275E-2</v>
      </c>
      <c r="AM10" s="34">
        <f t="shared" si="5"/>
        <v>4.4058744993324517E-2</v>
      </c>
      <c r="AN10" s="34">
        <f t="shared" si="5"/>
        <v>7.4468085106383031E-2</v>
      </c>
      <c r="AO10" s="34">
        <f t="shared" si="5"/>
        <v>0.25605966438781858</v>
      </c>
      <c r="AP10" s="34">
        <f t="shared" si="5"/>
        <v>-7.9178885630498574E-2</v>
      </c>
      <c r="AQ10" s="34">
        <f t="shared" si="5"/>
        <v>0.77749360613810747</v>
      </c>
      <c r="AR10" s="34">
        <f t="shared" si="5"/>
        <v>-0.30693069306930698</v>
      </c>
      <c r="AS10" s="34">
        <f t="shared" ref="AS10:BB10" si="6">AS8/AO8-1</f>
        <v>0.18753092528451254</v>
      </c>
      <c r="AT10" s="34">
        <f t="shared" si="6"/>
        <v>0.18630573248407645</v>
      </c>
      <c r="AU10" s="34">
        <f t="shared" si="6"/>
        <v>-3.8848920863309377E-2</v>
      </c>
      <c r="AV10" s="34">
        <f t="shared" si="6"/>
        <v>1.0340659340659339</v>
      </c>
      <c r="AW10" s="34">
        <f t="shared" si="6"/>
        <v>9.922005208333351E-2</v>
      </c>
      <c r="AX10" s="34">
        <f t="shared" si="6"/>
        <v>0.2046661073825502</v>
      </c>
      <c r="AY10" s="34">
        <f t="shared" si="6"/>
        <v>0.13482723651695494</v>
      </c>
      <c r="AZ10" s="34">
        <f t="shared" si="6"/>
        <v>5.1902948655576875E-2</v>
      </c>
      <c r="BA10" s="34">
        <f t="shared" si="6"/>
        <v>8.9014866522704184E-2</v>
      </c>
      <c r="BB10" s="34">
        <f t="shared" si="6"/>
        <v>-4.500234407317194E-2</v>
      </c>
      <c r="BC10" s="34">
        <f t="shared" ref="BC10:BJ10" si="7">BC8/AY8-1</f>
        <v>6.9716600628724201E-3</v>
      </c>
      <c r="BD10" s="34">
        <f t="shared" si="7"/>
        <v>4.2851535874261604E-2</v>
      </c>
      <c r="BE10" s="34">
        <f t="shared" si="7"/>
        <v>3.4086477019892092E-2</v>
      </c>
      <c r="BF10" s="34">
        <f t="shared" si="7"/>
        <v>5.4094134989963294E-2</v>
      </c>
      <c r="BG10" s="34">
        <f t="shared" si="7"/>
        <v>5.385858882107164E-2</v>
      </c>
      <c r="BH10" s="34">
        <f t="shared" si="7"/>
        <v>0.22378505174006702</v>
      </c>
      <c r="BI10" s="34">
        <f t="shared" si="7"/>
        <v>8.0678877440497843E-2</v>
      </c>
      <c r="BJ10" s="34">
        <f t="shared" si="7"/>
        <v>7.3526859813587642E-2</v>
      </c>
      <c r="BK10" s="34">
        <f>BK8/BG8-1</f>
        <v>6.7264524421604577E-2</v>
      </c>
      <c r="BL10" s="34">
        <f>BL8/BH8-1</f>
        <v>-8.8332683513174137E-2</v>
      </c>
      <c r="BM10" s="34">
        <f>BM8/BI8-1</f>
        <v>3.0837191511926321E-2</v>
      </c>
      <c r="BN10" s="34">
        <f>BN8/BJ8-1</f>
        <v>5.3099431907517092E-2</v>
      </c>
      <c r="BO10" s="35"/>
      <c r="BP10" s="35" t="str">
        <f>IF(OR(AND(BO8&lt;0,BP8&gt;0),BO8=0),"n/a",BP8/BO8-1)</f>
        <v>n/a</v>
      </c>
      <c r="BQ10" s="35">
        <f t="shared" ref="BQ10:CF10" si="8">IF(OR(AND(BP8&lt;0,BQ8&gt;0),BP8=0),"n/a",BQ8/BP8-1)</f>
        <v>3.937007874015741E-2</v>
      </c>
      <c r="BR10" s="35">
        <f>IF(OR(AND(BQ8&lt;0,BR8&gt;0),BQ8=0),"n/a",BR8/BQ8-1)</f>
        <v>9.3521421107628067E-2</v>
      </c>
      <c r="BS10" s="35">
        <f>IF(OR(AND(BR8&lt;0,BS8&gt;0),BR8=0),"n/a",BS8/BR8-1)</f>
        <v>-9.388437649307213E-2</v>
      </c>
      <c r="BT10" s="35">
        <f>IF(OR(AND(BS8&lt;0,BT8&gt;0),BS8=0),"n/a",BT8/BS8-1)</f>
        <v>6.0110730292644243E-2</v>
      </c>
      <c r="BU10" s="35">
        <f t="shared" si="8"/>
        <v>7.4110917682168598E-2</v>
      </c>
      <c r="BV10" s="35">
        <f t="shared" si="8"/>
        <v>5.7189164158369943E-2</v>
      </c>
      <c r="BW10" s="35">
        <f t="shared" si="8"/>
        <v>8.2347787998247934E-2</v>
      </c>
      <c r="BX10" s="35">
        <f t="shared" si="8"/>
        <v>4.8158640226628968E-2</v>
      </c>
      <c r="BY10" s="35">
        <f t="shared" si="8"/>
        <v>-4.5559845559845602E-2</v>
      </c>
      <c r="BZ10" s="35">
        <f t="shared" si="8"/>
        <v>8.6569579288025889E-2</v>
      </c>
      <c r="CA10" s="35">
        <f t="shared" si="8"/>
        <v>0.15227103499627703</v>
      </c>
      <c r="CB10" s="35">
        <f t="shared" si="8"/>
        <v>0.2310307956381259</v>
      </c>
      <c r="CC10" s="35">
        <f t="shared" si="8"/>
        <v>5.6463588777945661E-2</v>
      </c>
      <c r="CD10" s="35">
        <f t="shared" si="8"/>
        <v>3.5360122232258817E-2</v>
      </c>
      <c r="CE10" s="35">
        <f t="shared" si="8"/>
        <v>0.10907823869509081</v>
      </c>
      <c r="CF10" s="35">
        <f t="shared" si="8"/>
        <v>9.8148979634842259E-3</v>
      </c>
      <c r="CG10" s="36"/>
      <c r="CH10" s="36"/>
      <c r="CI10" s="36"/>
    </row>
    <row r="11" spans="1:87" s="37" customFormat="1" ht="12.75" customHeight="1">
      <c r="A11" s="38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9"/>
      <c r="AM11" s="34"/>
      <c r="AN11" s="34"/>
      <c r="AO11" s="34"/>
      <c r="AP11" s="34"/>
      <c r="AQ11" s="34"/>
      <c r="AR11" s="34"/>
      <c r="AS11" s="34"/>
      <c r="AT11" s="34"/>
      <c r="AU11" s="34"/>
      <c r="AV11" s="27"/>
      <c r="AW11" s="27"/>
      <c r="AX11" s="27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40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6"/>
      <c r="CH11" s="36"/>
      <c r="CI11" s="36"/>
    </row>
    <row r="12" spans="1:87" s="37" customFormat="1" ht="12.75" customHeight="1">
      <c r="A12" s="38" t="s">
        <v>443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41"/>
      <c r="AW12" s="41"/>
      <c r="AX12" s="4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40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6"/>
      <c r="CH12" s="36"/>
      <c r="CI12" s="36"/>
    </row>
    <row r="13" spans="1:87" s="50" customFormat="1" ht="12.75" hidden="1" customHeight="1" outlineLevel="1">
      <c r="A13" s="42" t="s">
        <v>249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5">
        <f t="shared" ref="AE13:AJ13" si="9">AE124+AE166</f>
        <v>444</v>
      </c>
      <c r="AF13" s="45">
        <f t="shared" si="9"/>
        <v>853</v>
      </c>
      <c r="AG13" s="45">
        <f t="shared" si="9"/>
        <v>1520</v>
      </c>
      <c r="AH13" s="45">
        <f t="shared" si="9"/>
        <v>883</v>
      </c>
      <c r="AI13" s="45">
        <f t="shared" si="9"/>
        <v>417</v>
      </c>
      <c r="AJ13" s="45">
        <f t="shared" si="9"/>
        <v>925</v>
      </c>
      <c r="AK13" s="46">
        <v>1208</v>
      </c>
      <c r="AL13" s="46">
        <v>913</v>
      </c>
      <c r="AM13" s="46">
        <v>416</v>
      </c>
      <c r="AN13" s="46">
        <v>931</v>
      </c>
      <c r="AO13" s="46">
        <v>1551</v>
      </c>
      <c r="AP13" s="46">
        <v>785</v>
      </c>
      <c r="AQ13" s="46">
        <v>824</v>
      </c>
      <c r="AR13" s="47">
        <v>513</v>
      </c>
      <c r="AS13" s="47">
        <v>1810</v>
      </c>
      <c r="AT13" s="47">
        <v>950</v>
      </c>
      <c r="AU13" s="47">
        <f>972-278</f>
        <v>694</v>
      </c>
      <c r="AV13" s="47">
        <f>1198-29</f>
        <v>1169</v>
      </c>
      <c r="AW13" s="43">
        <f t="shared" ref="AW13:BN13" si="10">AW8*AW16</f>
        <v>1979.1561610045994</v>
      </c>
      <c r="AX13" s="43">
        <f t="shared" si="10"/>
        <v>1142.5726558181996</v>
      </c>
      <c r="AY13" s="43">
        <f t="shared" si="10"/>
        <v>830.95813596482276</v>
      </c>
      <c r="AZ13" s="43">
        <f t="shared" si="10"/>
        <v>1138.6154578796397</v>
      </c>
      <c r="BA13" s="43">
        <f t="shared" si="10"/>
        <v>2175.6173515496389</v>
      </c>
      <c r="BB13" s="43">
        <f t="shared" si="10"/>
        <v>1085.1481650236872</v>
      </c>
      <c r="BC13" s="43">
        <f t="shared" si="10"/>
        <v>844.9493650064237</v>
      </c>
      <c r="BD13" s="43">
        <f t="shared" si="10"/>
        <v>1204.8151745131695</v>
      </c>
      <c r="BE13" s="43">
        <f t="shared" si="10"/>
        <v>2239.7068964797045</v>
      </c>
      <c r="BF13" s="43">
        <f t="shared" si="10"/>
        <v>1148.6931161481823</v>
      </c>
      <c r="BG13" s="43">
        <f t="shared" si="10"/>
        <v>869.34953005913496</v>
      </c>
      <c r="BH13" s="43">
        <f t="shared" si="10"/>
        <v>1498.9694554925322</v>
      </c>
      <c r="BI13" s="43">
        <f t="shared" si="10"/>
        <v>2420.1016309466904</v>
      </c>
      <c r="BJ13" s="43">
        <f t="shared" si="10"/>
        <v>1231.9510415427474</v>
      </c>
      <c r="BK13" s="43">
        <f t="shared" si="10"/>
        <v>939.77060311996786</v>
      </c>
      <c r="BL13" s="43">
        <f t="shared" si="10"/>
        <v>1345.1757752849953</v>
      </c>
      <c r="BM13" s="43">
        <f t="shared" si="10"/>
        <v>2498.6777053050623</v>
      </c>
      <c r="BN13" s="43">
        <f t="shared" si="10"/>
        <v>1296.3850046721832</v>
      </c>
      <c r="BO13" s="48"/>
      <c r="BP13" s="48"/>
      <c r="BQ13" s="48"/>
      <c r="BR13" s="48"/>
      <c r="BS13" s="49"/>
      <c r="BT13" s="49"/>
      <c r="BU13" s="49"/>
      <c r="BV13" s="49"/>
      <c r="BW13" s="49"/>
      <c r="BX13" s="49"/>
      <c r="BY13" s="49"/>
      <c r="BZ13" s="49">
        <f>SUM(AM13:AP13)</f>
        <v>3683</v>
      </c>
      <c r="CA13" s="49">
        <f>SUM(AQ13:AT13)</f>
        <v>4097</v>
      </c>
      <c r="CB13" s="49">
        <f>SUM(AU13:AX13)</f>
        <v>4984.7288168227988</v>
      </c>
      <c r="CC13" s="49">
        <f>SUM(AY13:BB13)</f>
        <v>5230.339110417789</v>
      </c>
      <c r="CD13" s="49">
        <f>SUM(BC13:BF13)</f>
        <v>5438.1645521474802</v>
      </c>
      <c r="CE13" s="49">
        <f>SUM(BG13:BJ13)</f>
        <v>6020.3716580411046</v>
      </c>
      <c r="CF13" s="49">
        <f>SUM(BK13:BN13)</f>
        <v>6080.0090883822086</v>
      </c>
      <c r="CG13" s="43"/>
      <c r="CH13" s="43"/>
      <c r="CI13" s="43"/>
    </row>
    <row r="14" spans="1:87" s="54" customFormat="1" ht="12.75" hidden="1" customHeight="1" outlineLevel="1">
      <c r="A14" s="51" t="s">
        <v>0</v>
      </c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>
        <f t="shared" ref="AF14" si="11">AF13/AE13-1</f>
        <v>0.9211711711711712</v>
      </c>
      <c r="AG14" s="52">
        <f t="shared" ref="AG14" si="12">AG13/AF13-1</f>
        <v>0.78194607268464233</v>
      </c>
      <c r="AH14" s="52">
        <f t="shared" ref="AH14" si="13">AH13/AG13-1</f>
        <v>-0.41907894736842111</v>
      </c>
      <c r="AI14" s="52">
        <f t="shared" ref="AI14" si="14">AI13/AH13-1</f>
        <v>-0.52774631936579841</v>
      </c>
      <c r="AJ14" s="52">
        <f t="shared" ref="AJ14" si="15">AJ13/AI13-1</f>
        <v>1.2182254196642686</v>
      </c>
      <c r="AK14" s="52">
        <f t="shared" ref="AK14" si="16">AK13/AJ13-1</f>
        <v>0.30594594594594593</v>
      </c>
      <c r="AL14" s="52">
        <f t="shared" ref="AL14" si="17">AL13/AK13-1</f>
        <v>-0.24420529801324509</v>
      </c>
      <c r="AM14" s="52">
        <f t="shared" ref="AM14" si="18">AM13/AL13-1</f>
        <v>-0.54435925520262862</v>
      </c>
      <c r="AN14" s="52">
        <f t="shared" ref="AN14" si="19">AN13/AM13-1</f>
        <v>1.2379807692307692</v>
      </c>
      <c r="AO14" s="52">
        <f t="shared" ref="AO14:AT14" si="20">AO13/AN13-1</f>
        <v>0.66595059076262086</v>
      </c>
      <c r="AP14" s="52">
        <f t="shared" si="20"/>
        <v>-0.49387491940683426</v>
      </c>
      <c r="AQ14" s="52">
        <f t="shared" si="20"/>
        <v>4.9681528662420371E-2</v>
      </c>
      <c r="AR14" s="52">
        <f t="shared" si="20"/>
        <v>-0.37742718446601942</v>
      </c>
      <c r="AS14" s="52">
        <f t="shared" si="20"/>
        <v>2.5282651072124755</v>
      </c>
      <c r="AT14" s="52">
        <f t="shared" si="20"/>
        <v>-0.47513812154696133</v>
      </c>
      <c r="AU14" s="52">
        <f>AU13/AT13-1</f>
        <v>-0.26947368421052631</v>
      </c>
      <c r="AV14" s="52">
        <f>AV13/AU13-1</f>
        <v>0.68443804034582123</v>
      </c>
      <c r="AW14" s="52">
        <f t="shared" ref="AW14:BN14" si="21">AW13/AV13-1</f>
        <v>0.6930334995762184</v>
      </c>
      <c r="AX14" s="52">
        <f t="shared" si="21"/>
        <v>-0.42269706740157309</v>
      </c>
      <c r="AY14" s="52">
        <f t="shared" si="21"/>
        <v>-0.27273059465109351</v>
      </c>
      <c r="AZ14" s="52">
        <f t="shared" si="21"/>
        <v>0.37024406958552381</v>
      </c>
      <c r="BA14" s="52">
        <f t="shared" si="21"/>
        <v>0.91075690786873031</v>
      </c>
      <c r="BB14" s="52">
        <f t="shared" si="21"/>
        <v>-0.50122287623291717</v>
      </c>
      <c r="BC14" s="52">
        <f t="shared" si="21"/>
        <v>-0.22135115531621463</v>
      </c>
      <c r="BD14" s="52">
        <f t="shared" si="21"/>
        <v>0.42590221900931291</v>
      </c>
      <c r="BE14" s="52">
        <f t="shared" si="21"/>
        <v>0.85896305413376317</v>
      </c>
      <c r="BF14" s="52">
        <f t="shared" si="21"/>
        <v>-0.48712346336314838</v>
      </c>
      <c r="BG14" s="52">
        <f t="shared" si="21"/>
        <v>-0.24318382530727367</v>
      </c>
      <c r="BH14" s="52">
        <f t="shared" si="21"/>
        <v>0.72424255568478801</v>
      </c>
      <c r="BI14" s="52">
        <f t="shared" si="21"/>
        <v>0.6145103037816686</v>
      </c>
      <c r="BJ14" s="52">
        <f t="shared" si="21"/>
        <v>-0.49095069984278505</v>
      </c>
      <c r="BK14" s="52">
        <f t="shared" si="21"/>
        <v>-0.23716887162730738</v>
      </c>
      <c r="BL14" s="52">
        <f t="shared" si="21"/>
        <v>0.43138737349211898</v>
      </c>
      <c r="BM14" s="52">
        <f t="shared" si="21"/>
        <v>0.85751018655958222</v>
      </c>
      <c r="BN14" s="52">
        <f t="shared" si="21"/>
        <v>-0.48117158050445397</v>
      </c>
      <c r="BO14" s="53"/>
      <c r="BP14" s="53"/>
      <c r="BQ14" s="53"/>
      <c r="BR14" s="53"/>
      <c r="BS14" s="53"/>
      <c r="BT14" s="53"/>
      <c r="BU14" s="53"/>
      <c r="BV14" s="53"/>
      <c r="BW14" s="53"/>
      <c r="BX14" s="53"/>
      <c r="BY14" s="53"/>
      <c r="BZ14" s="35" t="s">
        <v>17</v>
      </c>
      <c r="CA14" s="35" t="s">
        <v>17</v>
      </c>
      <c r="CB14" s="35" t="s">
        <v>17</v>
      </c>
      <c r="CC14" s="35" t="s">
        <v>17</v>
      </c>
      <c r="CD14" s="35" t="s">
        <v>17</v>
      </c>
      <c r="CE14" s="35" t="s">
        <v>17</v>
      </c>
      <c r="CF14" s="35" t="s">
        <v>17</v>
      </c>
      <c r="CG14" s="53"/>
      <c r="CH14" s="52"/>
      <c r="CI14" s="52"/>
    </row>
    <row r="15" spans="1:87" s="54" customFormat="1" ht="12.75" hidden="1" customHeight="1" outlineLevel="1">
      <c r="A15" s="51" t="s">
        <v>1</v>
      </c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>
        <f t="shared" ref="AI15" si="22">AI13/AE13-1</f>
        <v>-6.0810810810810856E-2</v>
      </c>
      <c r="AJ15" s="52">
        <f t="shared" ref="AJ15" si="23">AJ13/AF13-1</f>
        <v>8.440797186400939E-2</v>
      </c>
      <c r="AK15" s="52">
        <f t="shared" ref="AK15" si="24">AK13/AG13-1</f>
        <v>-0.20526315789473681</v>
      </c>
      <c r="AL15" s="52">
        <f t="shared" ref="AL15" si="25">AL13/AH13-1</f>
        <v>3.3975084937712285E-2</v>
      </c>
      <c r="AM15" s="52">
        <f t="shared" ref="AM15" si="26">AM13/AI13-1</f>
        <v>-2.3980815347721673E-3</v>
      </c>
      <c r="AN15" s="52">
        <f t="shared" ref="AN15" si="27">AN13/AJ13-1</f>
        <v>6.4864864864864202E-3</v>
      </c>
      <c r="AO15" s="52">
        <f t="shared" ref="AO15:AT15" si="28">AO13/AK13-1</f>
        <v>0.2839403973509933</v>
      </c>
      <c r="AP15" s="52">
        <f t="shared" si="28"/>
        <v>-0.14019715224534501</v>
      </c>
      <c r="AQ15" s="52">
        <f t="shared" si="28"/>
        <v>0.98076923076923084</v>
      </c>
      <c r="AR15" s="52">
        <f t="shared" si="28"/>
        <v>-0.44897959183673475</v>
      </c>
      <c r="AS15" s="52">
        <f t="shared" si="28"/>
        <v>0.16698903932946485</v>
      </c>
      <c r="AT15" s="52">
        <f t="shared" si="28"/>
        <v>0.21019108280254772</v>
      </c>
      <c r="AU15" s="52">
        <f>AU13/AQ13-1</f>
        <v>-0.15776699029126218</v>
      </c>
      <c r="AV15" s="52">
        <f>AV13/AR13-1</f>
        <v>1.2787524366471734</v>
      </c>
      <c r="AW15" s="52">
        <f t="shared" ref="AW15:BN15" si="29">AW13/AS13-1</f>
        <v>9.3456442543977669E-2</v>
      </c>
      <c r="AX15" s="52">
        <f t="shared" si="29"/>
        <v>0.20270805875599951</v>
      </c>
      <c r="AY15" s="52">
        <f t="shared" si="29"/>
        <v>0.1973460172403787</v>
      </c>
      <c r="AZ15" s="52">
        <f t="shared" si="29"/>
        <v>-2.599190942716878E-2</v>
      </c>
      <c r="BA15" s="52">
        <f t="shared" si="29"/>
        <v>9.9265128450156226E-2</v>
      </c>
      <c r="BB15" s="52">
        <f t="shared" si="29"/>
        <v>-5.0258940210144099E-2</v>
      </c>
      <c r="BC15" s="52">
        <f t="shared" si="29"/>
        <v>1.6837465614745861E-2</v>
      </c>
      <c r="BD15" s="52">
        <f t="shared" si="29"/>
        <v>5.8140539174488914E-2</v>
      </c>
      <c r="BE15" s="52">
        <f t="shared" si="29"/>
        <v>2.9458096059224781E-2</v>
      </c>
      <c r="BF15" s="52">
        <f t="shared" si="29"/>
        <v>5.855877858219305E-2</v>
      </c>
      <c r="BG15" s="52">
        <f t="shared" si="29"/>
        <v>2.8877665411969122E-2</v>
      </c>
      <c r="BH15" s="52">
        <f t="shared" si="29"/>
        <v>0.24414888457743888</v>
      </c>
      <c r="BI15" s="52">
        <f t="shared" si="29"/>
        <v>8.0543902753759555E-2</v>
      </c>
      <c r="BJ15" s="52">
        <f t="shared" si="29"/>
        <v>7.248056441197015E-2</v>
      </c>
      <c r="BK15" s="52">
        <f t="shared" si="29"/>
        <v>8.1004326368063539E-2</v>
      </c>
      <c r="BL15" s="52">
        <f t="shared" si="29"/>
        <v>-0.10259960911411858</v>
      </c>
      <c r="BM15" s="52">
        <f t="shared" si="29"/>
        <v>3.2468088675943196E-2</v>
      </c>
      <c r="BN15" s="52">
        <f t="shared" si="29"/>
        <v>5.2302373192319784E-2</v>
      </c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35" t="str">
        <f t="shared" ref="BZ15" si="30">IF(OR(AND(BY13&lt;0,BZ13&gt;0),BY13=0),"n/a",BZ13/BY13-1)</f>
        <v>n/a</v>
      </c>
      <c r="CA15" s="35">
        <f t="shared" ref="CA15" si="31">IF(OR(AND(BZ13&lt;0,CA13&gt;0),BZ13=0),"n/a",CA13/BZ13-1)</f>
        <v>0.11240836274775989</v>
      </c>
      <c r="CB15" s="35">
        <f t="shared" ref="CB15" si="32">IF(OR(AND(CA13&lt;0,CB13&gt;0),CA13=0),"n/a",CB13/CA13-1)</f>
        <v>0.21667776832384633</v>
      </c>
      <c r="CC15" s="35">
        <f t="shared" ref="CC15" si="33">IF(OR(AND(CB13&lt;0,CC13&gt;0),CB13=0),"n/a",CC13/CB13-1)</f>
        <v>4.9272548742488986E-2</v>
      </c>
      <c r="CD15" s="35">
        <f t="shared" ref="CD15" si="34">IF(OR(AND(CC13&lt;0,CD13&gt;0),CC13=0),"n/a",CD13/CC13-1)</f>
        <v>3.9734601780550882E-2</v>
      </c>
      <c r="CE15" s="35">
        <f t="shared" ref="CE15" si="35">IF(OR(AND(CD13&lt;0,CE13&gt;0),CD13=0),"n/a",CE13/CD13-1)</f>
        <v>0.10705948676446653</v>
      </c>
      <c r="CF15" s="35">
        <f t="shared" ref="CF15" si="36">IF(OR(AND(CE13&lt;0,CF13&gt;0),CE13=0),"n/a",CF13/CE13-1)</f>
        <v>9.9059383254933575E-3</v>
      </c>
      <c r="CG15" s="53"/>
      <c r="CH15" s="52"/>
      <c r="CI15" s="52"/>
    </row>
    <row r="16" spans="1:87" s="54" customFormat="1" ht="12.75" hidden="1" customHeight="1" outlineLevel="1">
      <c r="A16" s="51" t="s">
        <v>98</v>
      </c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>
        <f t="shared" ref="AE16:AN16" si="37">AE13/AE$27</f>
        <v>0.57290322580645159</v>
      </c>
      <c r="AF16" s="52">
        <f t="shared" si="37"/>
        <v>0.72349448685326545</v>
      </c>
      <c r="AG16" s="52">
        <f t="shared" si="37"/>
        <v>0.7711821410451547</v>
      </c>
      <c r="AH16" s="52">
        <f t="shared" si="37"/>
        <v>0.70358565737051793</v>
      </c>
      <c r="AI16" s="52">
        <f t="shared" si="37"/>
        <v>0.52255639097744366</v>
      </c>
      <c r="AJ16" s="52">
        <f t="shared" si="37"/>
        <v>0.73064770932069512</v>
      </c>
      <c r="AK16" s="52">
        <f t="shared" si="37"/>
        <v>0.72902836451418229</v>
      </c>
      <c r="AL16" s="52">
        <f t="shared" si="37"/>
        <v>0.6470588235294118</v>
      </c>
      <c r="AM16" s="52">
        <f t="shared" si="37"/>
        <v>0.53196930946291565</v>
      </c>
      <c r="AN16" s="52">
        <f t="shared" si="37"/>
        <v>0.70906321401370909</v>
      </c>
      <c r="AO16" s="52">
        <f t="shared" ref="AO16:AU16" si="38">AO13/AO$27</f>
        <v>0.76744186046511631</v>
      </c>
      <c r="AP16" s="52">
        <f t="shared" si="38"/>
        <v>0.625</v>
      </c>
      <c r="AQ16" s="52">
        <f t="shared" si="38"/>
        <v>0.59280575539568348</v>
      </c>
      <c r="AR16" s="52">
        <f t="shared" si="38"/>
        <v>0.56373626373626373</v>
      </c>
      <c r="AS16" s="52">
        <f t="shared" si="38"/>
        <v>0.75416666666666665</v>
      </c>
      <c r="AT16" s="52">
        <f t="shared" si="38"/>
        <v>0.63758389261744963</v>
      </c>
      <c r="AU16" s="52">
        <f t="shared" si="38"/>
        <v>0.51946107784431139</v>
      </c>
      <c r="AV16" s="52">
        <f t="shared" ref="AV16" si="39">AV13/AV$27</f>
        <v>0.63155051323608857</v>
      </c>
      <c r="AW16" s="55">
        <f t="shared" ref="AW16:BN16" si="40">AVERAGE(AO16,AS16,AK16)</f>
        <v>0.75021229721532168</v>
      </c>
      <c r="AX16" s="55">
        <f t="shared" si="40"/>
        <v>0.63654757204895374</v>
      </c>
      <c r="AY16" s="55">
        <f t="shared" si="40"/>
        <v>0.54807871423430343</v>
      </c>
      <c r="AZ16" s="55">
        <f>AVERAGE(AR16,AV16,AN16)-0.05</f>
        <v>0.58478333032868712</v>
      </c>
      <c r="BA16" s="55">
        <f t="shared" si="40"/>
        <v>0.75727360811570155</v>
      </c>
      <c r="BB16" s="55">
        <f t="shared" si="40"/>
        <v>0.63304382155546779</v>
      </c>
      <c r="BC16" s="55">
        <f t="shared" si="40"/>
        <v>0.55344851582476606</v>
      </c>
      <c r="BD16" s="55">
        <f t="shared" si="40"/>
        <v>0.59335670243367977</v>
      </c>
      <c r="BE16" s="55">
        <f t="shared" si="40"/>
        <v>0.75388419066589663</v>
      </c>
      <c r="BF16" s="55">
        <f t="shared" si="40"/>
        <v>0.63572509540729039</v>
      </c>
      <c r="BG16" s="55">
        <f t="shared" si="40"/>
        <v>0.54032943596779359</v>
      </c>
      <c r="BH16" s="55">
        <f t="shared" si="40"/>
        <v>0.60323018199948519</v>
      </c>
      <c r="BI16" s="55">
        <f t="shared" si="40"/>
        <v>0.75379003199897321</v>
      </c>
      <c r="BJ16" s="55">
        <f t="shared" si="40"/>
        <v>0.63510549633723734</v>
      </c>
      <c r="BK16" s="55">
        <f t="shared" si="40"/>
        <v>0.54728555534228773</v>
      </c>
      <c r="BL16" s="55">
        <f t="shared" si="40"/>
        <v>0.59379007158728403</v>
      </c>
      <c r="BM16" s="55">
        <f t="shared" si="40"/>
        <v>0.75498261026019042</v>
      </c>
      <c r="BN16" s="55">
        <f t="shared" si="40"/>
        <v>0.63462480443333191</v>
      </c>
      <c r="BO16" s="53"/>
      <c r="BP16" s="53"/>
      <c r="BQ16" s="53"/>
      <c r="BR16" s="53"/>
      <c r="BS16" s="53"/>
      <c r="BT16" s="53"/>
      <c r="BU16" s="53"/>
      <c r="BV16" s="53"/>
      <c r="BW16" s="53"/>
      <c r="BX16" s="53"/>
      <c r="BY16" s="53"/>
      <c r="BZ16" s="35">
        <f t="shared" ref="BZ16:CF16" si="41">BZ13/BZ$8</f>
        <v>0.68559195830230824</v>
      </c>
      <c r="CA16" s="35">
        <f t="shared" si="41"/>
        <v>0.66187399030694671</v>
      </c>
      <c r="CB16" s="35">
        <f t="shared" si="41"/>
        <v>0.6541569652778837</v>
      </c>
      <c r="CC16" s="35">
        <f t="shared" si="41"/>
        <v>0.64970430928788636</v>
      </c>
      <c r="CD16" s="35">
        <f t="shared" si="41"/>
        <v>0.65244936209839</v>
      </c>
      <c r="CE16" s="35">
        <f t="shared" si="41"/>
        <v>0.65126176922764678</v>
      </c>
      <c r="CF16" s="35">
        <f t="shared" si="41"/>
        <v>0.65132048405484211</v>
      </c>
      <c r="CG16" s="53"/>
      <c r="CH16" s="52"/>
      <c r="CI16" s="52"/>
    </row>
    <row r="17" spans="1:87" s="58" customFormat="1" ht="12.75" hidden="1" customHeight="1" outlineLevel="1">
      <c r="A17" s="51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6"/>
      <c r="AW17" s="52"/>
      <c r="AX17" s="52"/>
      <c r="AY17" s="52"/>
      <c r="AZ17" s="52"/>
      <c r="BA17" s="52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/>
      <c r="BS17" s="53"/>
      <c r="BT17" s="53"/>
      <c r="BU17" s="53"/>
      <c r="BV17" s="53"/>
      <c r="BW17" s="53"/>
      <c r="BX17" s="53"/>
      <c r="BY17" s="53"/>
      <c r="BZ17" s="53"/>
      <c r="CA17" s="53"/>
      <c r="CB17" s="53"/>
      <c r="CC17" s="53"/>
      <c r="CD17" s="53"/>
      <c r="CE17" s="53"/>
      <c r="CF17" s="57"/>
      <c r="CG17" s="57"/>
      <c r="CH17" s="56"/>
      <c r="CI17" s="56"/>
    </row>
    <row r="18" spans="1:87" s="50" customFormat="1" ht="12.75" hidden="1" customHeight="1" outlineLevel="1">
      <c r="A18" s="42" t="s">
        <v>250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5">
        <f t="shared" ref="AE18:AI18" si="42">AE125+AE167</f>
        <v>180</v>
      </c>
      <c r="AF18" s="45">
        <f t="shared" si="42"/>
        <v>171</v>
      </c>
      <c r="AG18" s="45">
        <f t="shared" si="42"/>
        <v>264</v>
      </c>
      <c r="AH18" s="45">
        <f t="shared" si="42"/>
        <v>194</v>
      </c>
      <c r="AI18" s="45">
        <f t="shared" si="42"/>
        <v>190</v>
      </c>
      <c r="AJ18" s="45">
        <f>AJ125+AJ167</f>
        <v>145</v>
      </c>
      <c r="AK18" s="46">
        <v>257</v>
      </c>
      <c r="AL18" s="46">
        <v>310</v>
      </c>
      <c r="AM18" s="46">
        <v>195</v>
      </c>
      <c r="AN18" s="46">
        <v>216</v>
      </c>
      <c r="AO18" s="46">
        <v>285</v>
      </c>
      <c r="AP18" s="46">
        <v>281</v>
      </c>
      <c r="AQ18" s="46">
        <v>340</v>
      </c>
      <c r="AR18" s="47">
        <v>225</v>
      </c>
      <c r="AS18" s="47">
        <v>399</v>
      </c>
      <c r="AT18" s="47">
        <v>346</v>
      </c>
      <c r="AU18" s="47">
        <f>361+9</f>
        <v>370</v>
      </c>
      <c r="AV18" s="47">
        <f>377+26</f>
        <v>403</v>
      </c>
      <c r="AW18" s="43">
        <f t="shared" ref="AW18:BN18" si="43">AW8-AW13-AW23</f>
        <v>349.55196399540074</v>
      </c>
      <c r="AX18" s="43">
        <f t="shared" si="43"/>
        <v>341.97984418180027</v>
      </c>
      <c r="AY18" s="43">
        <f t="shared" si="43"/>
        <v>331.57105202182913</v>
      </c>
      <c r="AZ18" s="43">
        <f t="shared" si="43"/>
        <v>459.70690008183306</v>
      </c>
      <c r="BA18" s="43">
        <f t="shared" si="43"/>
        <v>310.56839636702813</v>
      </c>
      <c r="BB18" s="43">
        <f t="shared" si="43"/>
        <v>250.33926497631256</v>
      </c>
      <c r="BC18" s="43">
        <f t="shared" si="43"/>
        <v>275.10976029026995</v>
      </c>
      <c r="BD18" s="43">
        <f t="shared" si="43"/>
        <v>424.62972444527264</v>
      </c>
      <c r="BE18" s="43">
        <f t="shared" si="43"/>
        <v>286.39171194987625</v>
      </c>
      <c r="BF18" s="43">
        <f t="shared" si="43"/>
        <v>222.71795095871602</v>
      </c>
      <c r="BG18" s="43">
        <f t="shared" si="43"/>
        <v>292.27145568040299</v>
      </c>
      <c r="BH18" s="43">
        <f t="shared" si="43"/>
        <v>544.76639680041376</v>
      </c>
      <c r="BI18" s="43">
        <f t="shared" si="43"/>
        <v>301.20591126034839</v>
      </c>
      <c r="BJ18" s="43">
        <f t="shared" si="43"/>
        <v>228.76675525457364</v>
      </c>
      <c r="BK18" s="43">
        <f t="shared" si="43"/>
        <v>285.34355661537717</v>
      </c>
      <c r="BL18" s="43">
        <f t="shared" si="43"/>
        <v>434.94491021317793</v>
      </c>
      <c r="BM18" s="43">
        <f t="shared" si="43"/>
        <v>272.70800549885109</v>
      </c>
      <c r="BN18" s="43">
        <f t="shared" si="43"/>
        <v>219.42881416507078</v>
      </c>
      <c r="BO18" s="48"/>
      <c r="BP18" s="48"/>
      <c r="BQ18" s="48"/>
      <c r="BR18" s="48"/>
      <c r="BS18" s="49"/>
      <c r="BT18" s="49"/>
      <c r="BU18" s="49"/>
      <c r="BV18" s="49"/>
      <c r="BW18" s="49"/>
      <c r="BX18" s="49"/>
      <c r="BY18" s="49"/>
      <c r="BZ18" s="49">
        <f>SUM(AM18:AP18)</f>
        <v>977</v>
      </c>
      <c r="CA18" s="49">
        <f>SUM(AQ18:AT18)</f>
        <v>1310</v>
      </c>
      <c r="CB18" s="49">
        <f>SUM(AU18:AX18)</f>
        <v>1464.5318081772009</v>
      </c>
      <c r="CC18" s="49">
        <f>SUM(AY18:BB18)</f>
        <v>1352.1856134470029</v>
      </c>
      <c r="CD18" s="49">
        <f>SUM(BC18:BF18)</f>
        <v>1208.849147644135</v>
      </c>
      <c r="CE18" s="49">
        <f>SUM(BG18:BJ18)</f>
        <v>1367.0105189957387</v>
      </c>
      <c r="CF18" s="49">
        <f>SUM(BK18:BN18)</f>
        <v>1212.425286492477</v>
      </c>
      <c r="CG18" s="43"/>
      <c r="CH18" s="43"/>
      <c r="CI18" s="43"/>
    </row>
    <row r="19" spans="1:87" s="54" customFormat="1" ht="12.75" hidden="1" customHeight="1" outlineLevel="1">
      <c r="A19" s="51" t="s">
        <v>0</v>
      </c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>
        <f t="shared" ref="AF19" si="44">AF18/AE18-1</f>
        <v>-5.0000000000000044E-2</v>
      </c>
      <c r="AG19" s="52">
        <f t="shared" ref="AG19" si="45">AG18/AF18-1</f>
        <v>0.54385964912280693</v>
      </c>
      <c r="AH19" s="52">
        <f t="shared" ref="AH19" si="46">AH18/AG18-1</f>
        <v>-0.26515151515151514</v>
      </c>
      <c r="AI19" s="52">
        <f t="shared" ref="AI19" si="47">AI18/AH18-1</f>
        <v>-2.0618556701030966E-2</v>
      </c>
      <c r="AJ19" s="52">
        <f t="shared" ref="AJ19" si="48">AJ18/AI18-1</f>
        <v>-0.23684210526315785</v>
      </c>
      <c r="AK19" s="52">
        <f t="shared" ref="AK19" si="49">AK18/AJ18-1</f>
        <v>0.77241379310344827</v>
      </c>
      <c r="AL19" s="52">
        <f t="shared" ref="AL19" si="50">AL18/AK18-1</f>
        <v>0.20622568093385207</v>
      </c>
      <c r="AM19" s="52">
        <f t="shared" ref="AM19" si="51">AM18/AL18-1</f>
        <v>-0.37096774193548387</v>
      </c>
      <c r="AN19" s="52">
        <f t="shared" ref="AN19" si="52">AN18/AM18-1</f>
        <v>0.10769230769230775</v>
      </c>
      <c r="AO19" s="52">
        <f t="shared" ref="AO19" si="53">AO18/AN18-1</f>
        <v>0.31944444444444442</v>
      </c>
      <c r="AP19" s="52">
        <f t="shared" ref="AP19" si="54">AP18/AO18-1</f>
        <v>-1.4035087719298289E-2</v>
      </c>
      <c r="AQ19" s="52">
        <f t="shared" ref="AQ19" si="55">AQ18/AP18-1</f>
        <v>0.209964412811388</v>
      </c>
      <c r="AR19" s="52">
        <f t="shared" ref="AR19" si="56">AR18/AQ18-1</f>
        <v>-0.33823529411764708</v>
      </c>
      <c r="AS19" s="52">
        <f t="shared" ref="AS19" si="57">AS18/AR18-1</f>
        <v>0.77333333333333343</v>
      </c>
      <c r="AT19" s="52">
        <f t="shared" ref="AT19" si="58">AT18/AS18-1</f>
        <v>-0.1328320802005013</v>
      </c>
      <c r="AU19" s="52">
        <f>AU18/AT18-1</f>
        <v>6.9364161849710948E-2</v>
      </c>
      <c r="AV19" s="52">
        <f>AV18/AU18-1</f>
        <v>8.9189189189189166E-2</v>
      </c>
      <c r="AW19" s="52">
        <f t="shared" ref="AW19:BN19" si="59">AW18/AV18-1</f>
        <v>-0.13262539951513463</v>
      </c>
      <c r="AX19" s="52">
        <f t="shared" si="59"/>
        <v>-2.1662358085621003E-2</v>
      </c>
      <c r="AY19" s="52">
        <f t="shared" si="59"/>
        <v>-3.0436858595788263E-2</v>
      </c>
      <c r="AZ19" s="52">
        <f t="shared" si="59"/>
        <v>0.38645064844674093</v>
      </c>
      <c r="BA19" s="52">
        <f t="shared" si="59"/>
        <v>-0.32442085095580808</v>
      </c>
      <c r="BB19" s="52">
        <f t="shared" si="59"/>
        <v>-0.19393193929345309</v>
      </c>
      <c r="BC19" s="52">
        <f t="shared" si="59"/>
        <v>9.8947703294971268E-2</v>
      </c>
      <c r="BD19" s="52">
        <f t="shared" si="59"/>
        <v>0.54349203749530117</v>
      </c>
      <c r="BE19" s="52">
        <f t="shared" si="59"/>
        <v>-0.32554954243014345</v>
      </c>
      <c r="BF19" s="52">
        <f t="shared" si="59"/>
        <v>-0.22233101844198722</v>
      </c>
      <c r="BG19" s="52">
        <f t="shared" si="59"/>
        <v>0.31229411200258261</v>
      </c>
      <c r="BH19" s="52">
        <f t="shared" si="59"/>
        <v>0.86390557891535047</v>
      </c>
      <c r="BI19" s="52">
        <f t="shared" si="59"/>
        <v>-0.4470916102215069</v>
      </c>
      <c r="BJ19" s="52">
        <f t="shared" si="59"/>
        <v>-0.24049712604465356</v>
      </c>
      <c r="BK19" s="52">
        <f t="shared" si="59"/>
        <v>0.24731216429522007</v>
      </c>
      <c r="BL19" s="52">
        <f t="shared" si="59"/>
        <v>0.52428502459388904</v>
      </c>
      <c r="BM19" s="52">
        <f t="shared" si="59"/>
        <v>-0.37300564026559191</v>
      </c>
      <c r="BN19" s="52">
        <f t="shared" si="59"/>
        <v>-0.19537083715719805</v>
      </c>
      <c r="BO19" s="53"/>
      <c r="BP19" s="53"/>
      <c r="BQ19" s="53"/>
      <c r="BR19" s="53"/>
      <c r="BS19" s="53"/>
      <c r="BT19" s="53"/>
      <c r="BU19" s="53"/>
      <c r="BV19" s="53"/>
      <c r="BW19" s="53"/>
      <c r="BX19" s="53"/>
      <c r="BY19" s="53"/>
      <c r="BZ19" s="35" t="s">
        <v>17</v>
      </c>
      <c r="CA19" s="35" t="s">
        <v>17</v>
      </c>
      <c r="CB19" s="35" t="s">
        <v>17</v>
      </c>
      <c r="CC19" s="35" t="s">
        <v>17</v>
      </c>
      <c r="CD19" s="35" t="s">
        <v>17</v>
      </c>
      <c r="CE19" s="35" t="s">
        <v>17</v>
      </c>
      <c r="CF19" s="35" t="s">
        <v>17</v>
      </c>
      <c r="CG19" s="53"/>
      <c r="CH19" s="52"/>
      <c r="CI19" s="52"/>
    </row>
    <row r="20" spans="1:87" s="54" customFormat="1" ht="12.75" hidden="1" customHeight="1" outlineLevel="1">
      <c r="A20" s="51" t="s">
        <v>1</v>
      </c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>
        <f t="shared" ref="AI20" si="60">AI18/AE18-1</f>
        <v>5.555555555555558E-2</v>
      </c>
      <c r="AJ20" s="52">
        <f t="shared" ref="AJ20" si="61">AJ18/AF18-1</f>
        <v>-0.15204678362573099</v>
      </c>
      <c r="AK20" s="52">
        <f t="shared" ref="AK20:AL20" si="62">AK18/AG18-1</f>
        <v>-2.6515151515151492E-2</v>
      </c>
      <c r="AL20" s="52">
        <f t="shared" si="62"/>
        <v>0.597938144329897</v>
      </c>
      <c r="AM20" s="52">
        <f t="shared" ref="AM20" si="63">AM18/AI18-1</f>
        <v>2.6315789473684292E-2</v>
      </c>
      <c r="AN20" s="52">
        <f t="shared" ref="AN20" si="64">AN18/AJ18-1</f>
        <v>0.48965517241379319</v>
      </c>
      <c r="AO20" s="52">
        <f t="shared" ref="AO20" si="65">AO18/AK18-1</f>
        <v>0.10894941634241251</v>
      </c>
      <c r="AP20" s="52">
        <f t="shared" ref="AP20" si="66">AP18/AL18-1</f>
        <v>-9.3548387096774155E-2</v>
      </c>
      <c r="AQ20" s="52">
        <f t="shared" ref="AQ20" si="67">AQ18/AM18-1</f>
        <v>0.74358974358974361</v>
      </c>
      <c r="AR20" s="52">
        <f t="shared" ref="AR20" si="68">AR18/AN18-1</f>
        <v>4.1666666666666741E-2</v>
      </c>
      <c r="AS20" s="52">
        <f t="shared" ref="AS20" si="69">AS18/AO18-1</f>
        <v>0.39999999999999991</v>
      </c>
      <c r="AT20" s="52">
        <f t="shared" ref="AT20" si="70">AT18/AP18-1</f>
        <v>0.23131672597864772</v>
      </c>
      <c r="AU20" s="52">
        <f>AU18/AQ18-1</f>
        <v>8.8235294117646967E-2</v>
      </c>
      <c r="AV20" s="52">
        <f>AV18/AR18-1</f>
        <v>0.7911111111111111</v>
      </c>
      <c r="AW20" s="52">
        <f t="shared" ref="AW20:BN20" si="71">AW18/AS18-1</f>
        <v>-0.12392991479849436</v>
      </c>
      <c r="AX20" s="52">
        <f t="shared" si="71"/>
        <v>-1.1618947451444317E-2</v>
      </c>
      <c r="AY20" s="52">
        <f t="shared" si="71"/>
        <v>-0.10386202156262392</v>
      </c>
      <c r="AZ20" s="52">
        <f t="shared" si="71"/>
        <v>0.14071191087303481</v>
      </c>
      <c r="BA20" s="52">
        <f t="shared" si="71"/>
        <v>-0.11152438448002977</v>
      </c>
      <c r="BB20" s="52">
        <f t="shared" si="71"/>
        <v>-0.26797070284870517</v>
      </c>
      <c r="BC20" s="52">
        <f t="shared" si="71"/>
        <v>-0.17028414087199029</v>
      </c>
      <c r="BD20" s="52">
        <f t="shared" si="71"/>
        <v>-7.6303348134031168E-2</v>
      </c>
      <c r="BE20" s="52">
        <f t="shared" si="71"/>
        <v>-7.7846570030841167E-2</v>
      </c>
      <c r="BF20" s="52">
        <f t="shared" si="71"/>
        <v>-0.11033552415443149</v>
      </c>
      <c r="BG20" s="52">
        <f t="shared" si="71"/>
        <v>6.2381266924247392E-2</v>
      </c>
      <c r="BH20" s="52">
        <f t="shared" si="71"/>
        <v>0.28292101433098016</v>
      </c>
      <c r="BI20" s="52">
        <f t="shared" si="71"/>
        <v>5.1727053166485737E-2</v>
      </c>
      <c r="BJ20" s="52">
        <f t="shared" si="71"/>
        <v>2.7159033521185982E-2</v>
      </c>
      <c r="BK20" s="52">
        <f t="shared" si="71"/>
        <v>-2.3703645807278018E-2</v>
      </c>
      <c r="BL20" s="52">
        <f t="shared" si="71"/>
        <v>-0.201593723901203</v>
      </c>
      <c r="BM20" s="52">
        <f t="shared" si="71"/>
        <v>-9.461270412075351E-2</v>
      </c>
      <c r="BN20" s="52">
        <f t="shared" si="71"/>
        <v>-4.0818610549909318E-2</v>
      </c>
      <c r="BO20" s="53"/>
      <c r="BP20" s="53"/>
      <c r="BQ20" s="53"/>
      <c r="BR20" s="53"/>
      <c r="BS20" s="53"/>
      <c r="BT20" s="53"/>
      <c r="BU20" s="53"/>
      <c r="BV20" s="53"/>
      <c r="BW20" s="53"/>
      <c r="BX20" s="53"/>
      <c r="BY20" s="53"/>
      <c r="BZ20" s="35" t="str">
        <f t="shared" ref="BZ20" si="72">IF(OR(AND(BY18&lt;0,BZ18&gt;0),BY18=0),"n/a",BZ18/BY18-1)</f>
        <v>n/a</v>
      </c>
      <c r="CA20" s="35">
        <f t="shared" ref="CA20" si="73">IF(OR(AND(BZ18&lt;0,CA18&gt;0),BZ18=0),"n/a",CA18/BZ18-1)</f>
        <v>0.34083930399181162</v>
      </c>
      <c r="CB20" s="35">
        <f t="shared" ref="CB20" si="74">IF(OR(AND(CA18&lt;0,CB18&gt;0),CA18=0),"n/a",CB18/CA18-1)</f>
        <v>0.11796321234900842</v>
      </c>
      <c r="CC20" s="35">
        <f t="shared" ref="CC20" si="75">IF(OR(AND(CB18&lt;0,CC18&gt;0),CB18=0),"n/a",CC18/CB18-1)</f>
        <v>-7.6711338123838568E-2</v>
      </c>
      <c r="CD20" s="35">
        <f t="shared" ref="CD20" si="76">IF(OR(AND(CC18&lt;0,CD18&gt;0),CC18=0),"n/a",CD18/CC18-1)</f>
        <v>-0.10600354298806169</v>
      </c>
      <c r="CE20" s="35">
        <f t="shared" ref="CE20" si="77">IF(OR(AND(CD18&lt;0,CE18&gt;0),CD18=0),"n/a",CE18/CD18-1)</f>
        <v>0.13083631788121486</v>
      </c>
      <c r="CF20" s="35">
        <f t="shared" ref="CF20" si="78">IF(OR(AND(CE18&lt;0,CF18&gt;0),CE18=0),"n/a",CF18/CE18-1)</f>
        <v>-0.11308269421132644</v>
      </c>
      <c r="CG20" s="53"/>
      <c r="CH20" s="52"/>
      <c r="CI20" s="52"/>
    </row>
    <row r="21" spans="1:87" s="54" customFormat="1" ht="12.75" hidden="1" customHeight="1" outlineLevel="1">
      <c r="A21" s="51" t="s">
        <v>98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>
        <f t="shared" ref="AE21:AK21" si="79">AE18/AE$27</f>
        <v>0.23225806451612904</v>
      </c>
      <c r="AF21" s="52">
        <f t="shared" si="79"/>
        <v>0.14503816793893129</v>
      </c>
      <c r="AG21" s="52">
        <f t="shared" si="79"/>
        <v>0.13394216133942161</v>
      </c>
      <c r="AH21" s="52">
        <f t="shared" si="79"/>
        <v>0.15458167330677292</v>
      </c>
      <c r="AI21" s="52">
        <f t="shared" si="79"/>
        <v>0.23809523809523808</v>
      </c>
      <c r="AJ21" s="52">
        <f t="shared" si="79"/>
        <v>0.11453396524486571</v>
      </c>
      <c r="AK21" s="52">
        <f t="shared" si="79"/>
        <v>0.15509957754978879</v>
      </c>
      <c r="AL21" s="52">
        <f t="shared" ref="AL21:BN21" si="80">AL18/AL$27</f>
        <v>0.21970233876683204</v>
      </c>
      <c r="AM21" s="52">
        <f t="shared" si="80"/>
        <v>0.24936061381074168</v>
      </c>
      <c r="AN21" s="52">
        <f t="shared" si="80"/>
        <v>0.16450875856816452</v>
      </c>
      <c r="AO21" s="52">
        <f t="shared" si="80"/>
        <v>0.14101929737753588</v>
      </c>
      <c r="AP21" s="52">
        <f t="shared" si="80"/>
        <v>0.22372611464968153</v>
      </c>
      <c r="AQ21" s="52">
        <f t="shared" si="80"/>
        <v>0.2446043165467626</v>
      </c>
      <c r="AR21" s="52">
        <f t="shared" si="80"/>
        <v>0.24725274725274726</v>
      </c>
      <c r="AS21" s="52">
        <f t="shared" si="80"/>
        <v>0.16625000000000001</v>
      </c>
      <c r="AT21" s="52">
        <f t="shared" si="80"/>
        <v>0.23221476510067113</v>
      </c>
      <c r="AU21" s="52">
        <f t="shared" si="80"/>
        <v>0.27694610778443113</v>
      </c>
      <c r="AV21" s="52">
        <f t="shared" ref="AV21" si="81">AV18/AV$27</f>
        <v>0.21772015126958402</v>
      </c>
      <c r="AW21" s="52">
        <f t="shared" si="80"/>
        <v>0.1324999952363575</v>
      </c>
      <c r="AX21" s="52">
        <f t="shared" si="80"/>
        <v>0.19052306073937905</v>
      </c>
      <c r="AY21" s="52">
        <f t="shared" si="80"/>
        <v>0.21869577780646773</v>
      </c>
      <c r="AZ21" s="52">
        <f t="shared" si="80"/>
        <v>0.2361016005399679</v>
      </c>
      <c r="BA21" s="52">
        <f t="shared" si="80"/>
        <v>0.10810046624975207</v>
      </c>
      <c r="BB21" s="52">
        <f t="shared" si="80"/>
        <v>0.14604063306187548</v>
      </c>
      <c r="BC21" s="52">
        <f t="shared" si="80"/>
        <v>0.18019906852098708</v>
      </c>
      <c r="BD21" s="52">
        <f t="shared" si="80"/>
        <v>0.20912493333591808</v>
      </c>
      <c r="BE21" s="52">
        <f t="shared" si="80"/>
        <v>9.6399303103502976E-2</v>
      </c>
      <c r="BF21" s="52">
        <f t="shared" si="80"/>
        <v>0.12325954480942593</v>
      </c>
      <c r="BG21" s="52">
        <f t="shared" si="80"/>
        <v>0.18165635953876447</v>
      </c>
      <c r="BH21" s="52">
        <f t="shared" si="80"/>
        <v>0.21923030618468431</v>
      </c>
      <c r="BI21" s="52">
        <f t="shared" si="80"/>
        <v>9.3816726778702467E-2</v>
      </c>
      <c r="BJ21" s="52">
        <f t="shared" si="80"/>
        <v>0.11793571233112501</v>
      </c>
      <c r="BK21" s="52">
        <f t="shared" si="80"/>
        <v>0.16617290041541638</v>
      </c>
      <c r="BL21" s="52">
        <f t="shared" si="80"/>
        <v>0.1919942167537847</v>
      </c>
      <c r="BM21" s="52">
        <f t="shared" si="80"/>
        <v>8.2399503302582194E-2</v>
      </c>
      <c r="BN21" s="52">
        <f t="shared" si="80"/>
        <v>0.10741791040059073</v>
      </c>
      <c r="BO21" s="53"/>
      <c r="BP21" s="53"/>
      <c r="BQ21" s="53"/>
      <c r="BR21" s="53"/>
      <c r="BS21" s="53"/>
      <c r="BT21" s="53"/>
      <c r="BU21" s="53"/>
      <c r="BV21" s="53"/>
      <c r="BW21" s="53"/>
      <c r="BX21" s="53"/>
      <c r="BY21" s="53"/>
      <c r="BZ21" s="35">
        <f t="shared" ref="BZ21:CF21" si="82">BZ18/BZ$8</f>
        <v>0.18186895011169024</v>
      </c>
      <c r="CA21" s="35">
        <f t="shared" si="82"/>
        <v>0.21163166397415187</v>
      </c>
      <c r="CB21" s="35">
        <f t="shared" si="82"/>
        <v>0.19219374180535012</v>
      </c>
      <c r="CC21" s="35">
        <f t="shared" si="82"/>
        <v>0.16796632139276862</v>
      </c>
      <c r="CD21" s="35">
        <f t="shared" si="82"/>
        <v>0.14503291463332843</v>
      </c>
      <c r="CE21" s="35">
        <f t="shared" si="82"/>
        <v>0.14787819419169318</v>
      </c>
      <c r="CF21" s="35">
        <f t="shared" si="82"/>
        <v>0.12988096119585424</v>
      </c>
      <c r="CG21" s="53"/>
      <c r="CH21" s="52"/>
      <c r="CI21" s="52"/>
    </row>
    <row r="22" spans="1:87" s="58" customFormat="1" ht="12.75" hidden="1" customHeight="1" outlineLevel="1">
      <c r="A22" s="51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6"/>
      <c r="AW22" s="52"/>
      <c r="AX22" s="52"/>
      <c r="AY22" s="52"/>
      <c r="AZ22" s="52"/>
      <c r="BA22" s="52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53"/>
      <c r="BW22" s="53"/>
      <c r="BX22" s="53"/>
      <c r="BY22" s="53"/>
      <c r="BZ22" s="53"/>
      <c r="CA22" s="53"/>
      <c r="CB22" s="53"/>
      <c r="CC22" s="53"/>
      <c r="CD22" s="53"/>
      <c r="CE22" s="53"/>
      <c r="CF22" s="57"/>
      <c r="CG22" s="57"/>
      <c r="CH22" s="56"/>
      <c r="CI22" s="56"/>
    </row>
    <row r="23" spans="1:87" s="50" customFormat="1" ht="12.75" hidden="1" customHeight="1" outlineLevel="1">
      <c r="A23" s="42" t="s">
        <v>251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5">
        <f t="shared" ref="AE23:AJ23" si="83">AE126+AE168</f>
        <v>151</v>
      </c>
      <c r="AF23" s="45">
        <f t="shared" si="83"/>
        <v>155</v>
      </c>
      <c r="AG23" s="45">
        <f t="shared" si="83"/>
        <v>187</v>
      </c>
      <c r="AH23" s="45">
        <f t="shared" si="83"/>
        <v>178</v>
      </c>
      <c r="AI23" s="45">
        <f t="shared" si="83"/>
        <v>191</v>
      </c>
      <c r="AJ23" s="45">
        <f t="shared" si="83"/>
        <v>196</v>
      </c>
      <c r="AK23" s="46">
        <v>192</v>
      </c>
      <c r="AL23" s="46">
        <v>188</v>
      </c>
      <c r="AM23" s="46">
        <v>171</v>
      </c>
      <c r="AN23" s="46">
        <v>166</v>
      </c>
      <c r="AO23" s="46">
        <v>185</v>
      </c>
      <c r="AP23" s="46">
        <v>190</v>
      </c>
      <c r="AQ23" s="46">
        <v>226</v>
      </c>
      <c r="AR23" s="47">
        <v>172</v>
      </c>
      <c r="AS23" s="47">
        <v>191</v>
      </c>
      <c r="AT23" s="47">
        <v>194</v>
      </c>
      <c r="AU23" s="47">
        <f>218+54</f>
        <v>272</v>
      </c>
      <c r="AV23" s="47">
        <f>251+28</f>
        <v>279</v>
      </c>
      <c r="AW23" s="43">
        <f t="shared" ref="AW23:BN23" si="84">AW58</f>
        <v>309.42</v>
      </c>
      <c r="AX23" s="43">
        <f t="shared" si="84"/>
        <v>310.40000000000003</v>
      </c>
      <c r="AY23" s="43">
        <f t="shared" si="84"/>
        <v>353.6</v>
      </c>
      <c r="AZ23" s="43">
        <f t="shared" si="84"/>
        <v>348.75</v>
      </c>
      <c r="BA23" s="43">
        <f t="shared" si="84"/>
        <v>386.77500000000003</v>
      </c>
      <c r="BB23" s="43">
        <f t="shared" si="84"/>
        <v>378.68800000000005</v>
      </c>
      <c r="BC23" s="43">
        <f t="shared" si="84"/>
        <v>406.64</v>
      </c>
      <c r="BD23" s="43">
        <f t="shared" si="84"/>
        <v>401.06249999999994</v>
      </c>
      <c r="BE23" s="43">
        <f t="shared" si="84"/>
        <v>444.79124999999999</v>
      </c>
      <c r="BF23" s="43">
        <f t="shared" si="84"/>
        <v>435.49119999999999</v>
      </c>
      <c r="BG23" s="43">
        <f t="shared" si="84"/>
        <v>447.30400000000003</v>
      </c>
      <c r="BH23" s="43">
        <f t="shared" si="84"/>
        <v>441.16874999999999</v>
      </c>
      <c r="BI23" s="43">
        <f t="shared" si="84"/>
        <v>489.270375</v>
      </c>
      <c r="BJ23" s="43">
        <f t="shared" si="84"/>
        <v>479.04032000000001</v>
      </c>
      <c r="BK23" s="43">
        <f t="shared" si="84"/>
        <v>492.03440000000006</v>
      </c>
      <c r="BL23" s="43">
        <f t="shared" si="84"/>
        <v>485.28562500000004</v>
      </c>
      <c r="BM23" s="43">
        <f t="shared" si="84"/>
        <v>538.19741250000004</v>
      </c>
      <c r="BN23" s="43">
        <f t="shared" si="84"/>
        <v>526.94435200000009</v>
      </c>
      <c r="BO23" s="48"/>
      <c r="BP23" s="48"/>
      <c r="BQ23" s="48"/>
      <c r="BR23" s="48"/>
      <c r="BS23" s="49"/>
      <c r="BT23" s="49"/>
      <c r="BU23" s="49"/>
      <c r="BV23" s="49"/>
      <c r="BW23" s="49"/>
      <c r="BX23" s="49"/>
      <c r="BY23" s="49"/>
      <c r="BZ23" s="49">
        <f>SUM(AM23:AP23)</f>
        <v>712</v>
      </c>
      <c r="CA23" s="49">
        <f>SUM(AQ23:AT23)</f>
        <v>783</v>
      </c>
      <c r="CB23" s="49">
        <f>SUM(AU23:AX23)</f>
        <v>1170.8200000000002</v>
      </c>
      <c r="CC23" s="49">
        <f>SUM(AY23:BB23)</f>
        <v>1467.8130000000001</v>
      </c>
      <c r="CD23" s="49">
        <f>SUM(BC23:BF23)</f>
        <v>1687.9849499999998</v>
      </c>
      <c r="CE23" s="49">
        <f>SUM(BG23:BJ23)</f>
        <v>1856.783445</v>
      </c>
      <c r="CF23" s="49">
        <f>SUM(BK23:BN23)</f>
        <v>2042.4617895000001</v>
      </c>
      <c r="CG23" s="43"/>
      <c r="CH23" s="43"/>
      <c r="CI23" s="43"/>
    </row>
    <row r="24" spans="1:87" s="58" customFormat="1" ht="12.75" hidden="1" customHeight="1" outlineLevel="1">
      <c r="A24" s="51" t="s">
        <v>0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>
        <f t="shared" ref="AF24" si="85">AF23/AE23-1</f>
        <v>2.6490066225165476E-2</v>
      </c>
      <c r="AG24" s="52">
        <f t="shared" ref="AG24" si="86">AG23/AF23-1</f>
        <v>0.20645161290322589</v>
      </c>
      <c r="AH24" s="52">
        <f t="shared" ref="AH24" si="87">AH23/AG23-1</f>
        <v>-4.8128342245989275E-2</v>
      </c>
      <c r="AI24" s="52">
        <f t="shared" ref="AI24" si="88">AI23/AH23-1</f>
        <v>7.3033707865168607E-2</v>
      </c>
      <c r="AJ24" s="52">
        <f t="shared" ref="AJ24" si="89">AJ23/AI23-1</f>
        <v>2.6178010471204161E-2</v>
      </c>
      <c r="AK24" s="52">
        <f t="shared" ref="AK24" si="90">AK23/AJ23-1</f>
        <v>-2.0408163265306145E-2</v>
      </c>
      <c r="AL24" s="52">
        <f t="shared" ref="AL24" si="91">AL23/AK23-1</f>
        <v>-2.083333333333337E-2</v>
      </c>
      <c r="AM24" s="52">
        <f t="shared" ref="AM24" si="92">AM23/AL23-1</f>
        <v>-9.0425531914893664E-2</v>
      </c>
      <c r="AN24" s="52">
        <f t="shared" ref="AN24" si="93">AN23/AM23-1</f>
        <v>-2.9239766081871399E-2</v>
      </c>
      <c r="AO24" s="52">
        <f t="shared" ref="AO24" si="94">AO23/AN23-1</f>
        <v>0.1144578313253013</v>
      </c>
      <c r="AP24" s="52">
        <f t="shared" ref="AP24" si="95">AP23/AO23-1</f>
        <v>2.7027027027026973E-2</v>
      </c>
      <c r="AQ24" s="52">
        <f t="shared" ref="AQ24" si="96">AQ23/AP23-1</f>
        <v>0.18947368421052624</v>
      </c>
      <c r="AR24" s="52">
        <f t="shared" ref="AR24" si="97">AR23/AQ23-1</f>
        <v>-0.23893805309734517</v>
      </c>
      <c r="AS24" s="52">
        <f t="shared" ref="AS24" si="98">AS23/AR23-1</f>
        <v>0.11046511627906974</v>
      </c>
      <c r="AT24" s="52">
        <f t="shared" ref="AT24" si="99">AT23/AS23-1</f>
        <v>1.5706806282722585E-2</v>
      </c>
      <c r="AU24" s="52">
        <f>AU23/AT23-1</f>
        <v>0.402061855670103</v>
      </c>
      <c r="AV24" s="52">
        <f>AV23/AU23-1</f>
        <v>2.5735294117646967E-2</v>
      </c>
      <c r="AW24" s="52">
        <f t="shared" ref="AW24:BN24" si="100">AW23/AV23-1</f>
        <v>0.10903225806451622</v>
      </c>
      <c r="AX24" s="52">
        <f t="shared" si="100"/>
        <v>3.1672160817013406E-3</v>
      </c>
      <c r="AY24" s="52">
        <f t="shared" si="100"/>
        <v>0.13917525773195871</v>
      </c>
      <c r="AZ24" s="52">
        <f t="shared" si="100"/>
        <v>-1.3716063348416352E-2</v>
      </c>
      <c r="BA24" s="52">
        <f t="shared" si="100"/>
        <v>0.10903225806451622</v>
      </c>
      <c r="BB24" s="52">
        <f t="shared" si="100"/>
        <v>-2.0908797104259524E-2</v>
      </c>
      <c r="BC24" s="52">
        <f t="shared" si="100"/>
        <v>7.3812742944059373E-2</v>
      </c>
      <c r="BD24" s="52">
        <f t="shared" si="100"/>
        <v>-1.3716063348416352E-2</v>
      </c>
      <c r="BE24" s="52">
        <f t="shared" si="100"/>
        <v>0.10903225806451622</v>
      </c>
      <c r="BF24" s="52">
        <f t="shared" si="100"/>
        <v>-2.0908797104259635E-2</v>
      </c>
      <c r="BG24" s="52">
        <f t="shared" si="100"/>
        <v>2.7125232381274289E-2</v>
      </c>
      <c r="BH24" s="52">
        <f t="shared" si="100"/>
        <v>-1.3716063348416352E-2</v>
      </c>
      <c r="BI24" s="52">
        <f t="shared" si="100"/>
        <v>0.10903225806451622</v>
      </c>
      <c r="BJ24" s="52">
        <f t="shared" si="100"/>
        <v>-2.0908797104259524E-2</v>
      </c>
      <c r="BK24" s="52">
        <f t="shared" si="100"/>
        <v>2.7125232381274511E-2</v>
      </c>
      <c r="BL24" s="52">
        <f t="shared" si="100"/>
        <v>-1.3716063348416352E-2</v>
      </c>
      <c r="BM24" s="52">
        <f t="shared" si="100"/>
        <v>0.10903225806451622</v>
      </c>
      <c r="BN24" s="52">
        <f t="shared" si="100"/>
        <v>-2.0908797104259524E-2</v>
      </c>
      <c r="BO24" s="53"/>
      <c r="BP24" s="53"/>
      <c r="BQ24" s="53"/>
      <c r="BR24" s="53"/>
      <c r="BS24" s="53"/>
      <c r="BT24" s="53"/>
      <c r="BU24" s="53"/>
      <c r="BV24" s="53"/>
      <c r="BW24" s="53"/>
      <c r="BX24" s="53"/>
      <c r="BY24" s="53"/>
      <c r="BZ24" s="35" t="s">
        <v>17</v>
      </c>
      <c r="CA24" s="35" t="s">
        <v>17</v>
      </c>
      <c r="CB24" s="35" t="s">
        <v>17</v>
      </c>
      <c r="CC24" s="35" t="s">
        <v>17</v>
      </c>
      <c r="CD24" s="35" t="s">
        <v>17</v>
      </c>
      <c r="CE24" s="35" t="s">
        <v>17</v>
      </c>
      <c r="CF24" s="35" t="s">
        <v>17</v>
      </c>
      <c r="CG24" s="57"/>
      <c r="CH24" s="56"/>
      <c r="CI24" s="56"/>
    </row>
    <row r="25" spans="1:87" s="58" customFormat="1" ht="12.75" hidden="1" customHeight="1" outlineLevel="1">
      <c r="A25" s="51" t="s">
        <v>1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>
        <f t="shared" ref="AI25" si="101">AI23/AE23-1</f>
        <v>0.26490066225165565</v>
      </c>
      <c r="AJ25" s="52">
        <f t="shared" ref="AJ25" si="102">AJ23/AF23-1</f>
        <v>0.26451612903225796</v>
      </c>
      <c r="AK25" s="52">
        <f t="shared" ref="AK25:AL25" si="103">AK23/AG23-1</f>
        <v>2.673796791443861E-2</v>
      </c>
      <c r="AL25" s="52">
        <f t="shared" si="103"/>
        <v>5.6179775280898792E-2</v>
      </c>
      <c r="AM25" s="52">
        <f t="shared" ref="AM25" si="104">AM23/AI23-1</f>
        <v>-0.10471204188481675</v>
      </c>
      <c r="AN25" s="52">
        <f t="shared" ref="AN25" si="105">AN23/AJ23-1</f>
        <v>-0.15306122448979587</v>
      </c>
      <c r="AO25" s="52">
        <f t="shared" ref="AO25" si="106">AO23/AK23-1</f>
        <v>-3.645833333333337E-2</v>
      </c>
      <c r="AP25" s="52">
        <f t="shared" ref="AP25" si="107">AP23/AL23-1</f>
        <v>1.0638297872340496E-2</v>
      </c>
      <c r="AQ25" s="52">
        <f t="shared" ref="AQ25" si="108">AQ23/AM23-1</f>
        <v>0.32163742690058483</v>
      </c>
      <c r="AR25" s="52">
        <f t="shared" ref="AR25" si="109">AR23/AN23-1</f>
        <v>3.6144578313253017E-2</v>
      </c>
      <c r="AS25" s="52">
        <f t="shared" ref="AS25" si="110">AS23/AO23-1</f>
        <v>3.2432432432432323E-2</v>
      </c>
      <c r="AT25" s="52">
        <f t="shared" ref="AT25" si="111">AT23/AP23-1</f>
        <v>2.1052631578947434E-2</v>
      </c>
      <c r="AU25" s="52">
        <f>AU23/AQ23-1</f>
        <v>0.20353982300884965</v>
      </c>
      <c r="AV25" s="52">
        <f>AV23/AR23-1</f>
        <v>0.62209302325581395</v>
      </c>
      <c r="AW25" s="52">
        <f t="shared" ref="AW25:BN25" si="112">AW23/AS23-1</f>
        <v>0.62000000000000011</v>
      </c>
      <c r="AX25" s="52">
        <f t="shared" si="112"/>
        <v>0.60000000000000009</v>
      </c>
      <c r="AY25" s="52">
        <f t="shared" si="112"/>
        <v>0.30000000000000004</v>
      </c>
      <c r="AZ25" s="52">
        <f t="shared" si="112"/>
        <v>0.25</v>
      </c>
      <c r="BA25" s="52">
        <f t="shared" si="112"/>
        <v>0.25</v>
      </c>
      <c r="BB25" s="52">
        <f t="shared" si="112"/>
        <v>0.21999999999999997</v>
      </c>
      <c r="BC25" s="52">
        <f t="shared" si="112"/>
        <v>0.14999999999999991</v>
      </c>
      <c r="BD25" s="52">
        <f t="shared" si="112"/>
        <v>0.14999999999999991</v>
      </c>
      <c r="BE25" s="52">
        <f t="shared" si="112"/>
        <v>0.14999999999999991</v>
      </c>
      <c r="BF25" s="52">
        <f t="shared" si="112"/>
        <v>0.14999999999999991</v>
      </c>
      <c r="BG25" s="52">
        <f t="shared" si="112"/>
        <v>0.10000000000000009</v>
      </c>
      <c r="BH25" s="52">
        <f t="shared" si="112"/>
        <v>0.10000000000000009</v>
      </c>
      <c r="BI25" s="52">
        <f t="shared" si="112"/>
        <v>0.10000000000000009</v>
      </c>
      <c r="BJ25" s="52">
        <f t="shared" si="112"/>
        <v>0.10000000000000009</v>
      </c>
      <c r="BK25" s="52">
        <f t="shared" si="112"/>
        <v>0.10000000000000009</v>
      </c>
      <c r="BL25" s="52">
        <f t="shared" si="112"/>
        <v>0.10000000000000009</v>
      </c>
      <c r="BM25" s="52">
        <f t="shared" si="112"/>
        <v>0.10000000000000009</v>
      </c>
      <c r="BN25" s="52">
        <f t="shared" si="112"/>
        <v>0.10000000000000009</v>
      </c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35" t="str">
        <f t="shared" ref="BZ25" si="113">IF(OR(AND(BY23&lt;0,BZ23&gt;0),BY23=0),"n/a",BZ23/BY23-1)</f>
        <v>n/a</v>
      </c>
      <c r="CA25" s="35">
        <f t="shared" ref="CA25" si="114">IF(OR(AND(BZ23&lt;0,CA23&gt;0),BZ23=0),"n/a",CA23/BZ23-1)</f>
        <v>9.971910112359561E-2</v>
      </c>
      <c r="CB25" s="35">
        <f t="shared" ref="CB25" si="115">IF(OR(AND(CA23&lt;0,CB23&gt;0),CA23=0),"n/a",CB23/CA23-1)</f>
        <v>0.49530012771392107</v>
      </c>
      <c r="CC25" s="35">
        <f t="shared" ref="CC25" si="116">IF(OR(AND(CB23&lt;0,CC23&gt;0),CB23=0),"n/a",CC23/CB23-1)</f>
        <v>0.25366239046138594</v>
      </c>
      <c r="CD25" s="35">
        <f t="shared" ref="CD25" si="117">IF(OR(AND(CC23&lt;0,CD23&gt;0),CC23=0),"n/a",CD23/CC23-1)</f>
        <v>0.14999999999999969</v>
      </c>
      <c r="CE25" s="35">
        <f t="shared" ref="CE25" si="118">IF(OR(AND(CD23&lt;0,CE23&gt;0),CD23=0),"n/a",CE23/CD23-1)</f>
        <v>0.10000000000000009</v>
      </c>
      <c r="CF25" s="35">
        <f t="shared" ref="CF25" si="119">IF(OR(AND(CE23&lt;0,CF23&gt;0),CE23=0),"n/a",CF23/CE23-1)</f>
        <v>0.10000000000000009</v>
      </c>
      <c r="CG25" s="57"/>
      <c r="CH25" s="56"/>
      <c r="CI25" s="56"/>
    </row>
    <row r="26" spans="1:87" s="58" customFormat="1" ht="12.75" hidden="1" customHeight="1" outlineLevel="1">
      <c r="A26" s="51" t="s">
        <v>98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>
        <f t="shared" ref="AE26:AK26" si="120">AE23/AE$27</f>
        <v>0.19483870967741934</v>
      </c>
      <c r="AF26" s="52">
        <f t="shared" si="120"/>
        <v>0.13146734520780323</v>
      </c>
      <c r="AG26" s="52">
        <f t="shared" si="120"/>
        <v>9.4875697615423638E-2</v>
      </c>
      <c r="AH26" s="52">
        <f t="shared" si="120"/>
        <v>0.14183266932270916</v>
      </c>
      <c r="AI26" s="52">
        <f t="shared" si="120"/>
        <v>0.23934837092731828</v>
      </c>
      <c r="AJ26" s="52">
        <f t="shared" si="120"/>
        <v>0.15481832543443919</v>
      </c>
      <c r="AK26" s="52">
        <f t="shared" si="120"/>
        <v>0.11587205793602896</v>
      </c>
      <c r="AL26" s="52">
        <f t="shared" ref="AL26:AU26" si="121">AL23/AL$27</f>
        <v>0.13323883770375619</v>
      </c>
      <c r="AM26" s="52">
        <f t="shared" si="121"/>
        <v>0.2186700767263427</v>
      </c>
      <c r="AN26" s="52">
        <f t="shared" si="121"/>
        <v>0.12642802741812642</v>
      </c>
      <c r="AO26" s="52">
        <f t="shared" si="121"/>
        <v>9.1538842157347852E-2</v>
      </c>
      <c r="AP26" s="52">
        <f t="shared" si="121"/>
        <v>0.15127388535031847</v>
      </c>
      <c r="AQ26" s="52">
        <f t="shared" si="121"/>
        <v>0.16258992805755396</v>
      </c>
      <c r="AR26" s="52">
        <f t="shared" si="121"/>
        <v>0.18901098901098901</v>
      </c>
      <c r="AS26" s="52">
        <f t="shared" si="121"/>
        <v>7.9583333333333339E-2</v>
      </c>
      <c r="AT26" s="52">
        <f t="shared" si="121"/>
        <v>0.13020134228187918</v>
      </c>
      <c r="AU26" s="52">
        <f t="shared" si="121"/>
        <v>0.20359281437125748</v>
      </c>
      <c r="AV26" s="52">
        <f t="shared" ref="AV26:BN26" si="122">AV23/AV$27</f>
        <v>0.1507293354943274</v>
      </c>
      <c r="AW26" s="52">
        <f t="shared" si="122"/>
        <v>0.11728770754832084</v>
      </c>
      <c r="AX26" s="52">
        <f t="shared" si="122"/>
        <v>0.17292936721166718</v>
      </c>
      <c r="AY26" s="52">
        <f t="shared" si="122"/>
        <v>0.23322550795922886</v>
      </c>
      <c r="AZ26" s="52">
        <f t="shared" si="122"/>
        <v>0.17911506913134495</v>
      </c>
      <c r="BA26" s="52">
        <f t="shared" si="122"/>
        <v>0.1346259256345464</v>
      </c>
      <c r="BB26" s="52">
        <f t="shared" si="122"/>
        <v>0.22091554538265673</v>
      </c>
      <c r="BC26" s="52">
        <f t="shared" si="122"/>
        <v>0.26635241565424683</v>
      </c>
      <c r="BD26" s="52">
        <f t="shared" si="122"/>
        <v>0.19751836423040209</v>
      </c>
      <c r="BE26" s="52">
        <f t="shared" si="122"/>
        <v>0.14971650623060043</v>
      </c>
      <c r="BF26" s="52">
        <f t="shared" si="122"/>
        <v>0.24101535978328364</v>
      </c>
      <c r="BG26" s="52">
        <f t="shared" si="122"/>
        <v>0.27801420449344194</v>
      </c>
      <c r="BH26" s="52">
        <f t="shared" si="122"/>
        <v>0.17753951181583047</v>
      </c>
      <c r="BI26" s="52">
        <f t="shared" si="122"/>
        <v>0.15239324122232437</v>
      </c>
      <c r="BJ26" s="52">
        <f t="shared" si="122"/>
        <v>0.24695879133163764</v>
      </c>
      <c r="BK26" s="52">
        <f t="shared" si="122"/>
        <v>0.28654154424229589</v>
      </c>
      <c r="BL26" s="52">
        <f t="shared" si="122"/>
        <v>0.21421571165893127</v>
      </c>
      <c r="BM26" s="52">
        <f t="shared" si="122"/>
        <v>0.16261788643722735</v>
      </c>
      <c r="BN26" s="52">
        <f t="shared" si="122"/>
        <v>0.25795728516607735</v>
      </c>
      <c r="BO26" s="53"/>
      <c r="BP26" s="53"/>
      <c r="BQ26" s="53"/>
      <c r="BR26" s="53"/>
      <c r="BS26" s="53"/>
      <c r="BT26" s="53"/>
      <c r="BU26" s="53"/>
      <c r="BV26" s="53"/>
      <c r="BW26" s="53"/>
      <c r="BX26" s="53"/>
      <c r="BY26" s="53"/>
      <c r="BZ26" s="35">
        <f t="shared" ref="BZ26:CF26" si="123">BZ23/BZ$8</f>
        <v>0.1325390915860015</v>
      </c>
      <c r="CA26" s="35">
        <f t="shared" si="123"/>
        <v>0.12649434571890145</v>
      </c>
      <c r="CB26" s="35">
        <f t="shared" si="123"/>
        <v>0.15364929291676624</v>
      </c>
      <c r="CC26" s="35">
        <f t="shared" si="123"/>
        <v>0.18232936931934518</v>
      </c>
      <c r="CD26" s="35">
        <f t="shared" si="123"/>
        <v>0.20251772326828171</v>
      </c>
      <c r="CE26" s="35">
        <f t="shared" si="123"/>
        <v>0.20086003658065998</v>
      </c>
      <c r="CF26" s="35">
        <f t="shared" si="123"/>
        <v>0.21879855474930376</v>
      </c>
      <c r="CG26" s="57"/>
      <c r="CH26" s="56"/>
      <c r="CI26" s="56"/>
    </row>
    <row r="27" spans="1:87" s="64" customFormat="1" ht="12.75" hidden="1" customHeight="1" outlineLevel="1">
      <c r="A27" s="59" t="s">
        <v>177</v>
      </c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>
        <f t="shared" ref="AE27:AJ27" si="124">SUM(AE13,AE18,AE23)</f>
        <v>775</v>
      </c>
      <c r="AF27" s="61">
        <f t="shared" si="124"/>
        <v>1179</v>
      </c>
      <c r="AG27" s="61">
        <f t="shared" si="124"/>
        <v>1971</v>
      </c>
      <c r="AH27" s="61">
        <f t="shared" si="124"/>
        <v>1255</v>
      </c>
      <c r="AI27" s="61">
        <f t="shared" si="124"/>
        <v>798</v>
      </c>
      <c r="AJ27" s="61">
        <f t="shared" si="124"/>
        <v>1266</v>
      </c>
      <c r="AK27" s="61">
        <f t="shared" ref="AK27:AT27" si="125">SUM(AK13,AK18,AK23)</f>
        <v>1657</v>
      </c>
      <c r="AL27" s="61">
        <f t="shared" si="125"/>
        <v>1411</v>
      </c>
      <c r="AM27" s="61">
        <f t="shared" si="125"/>
        <v>782</v>
      </c>
      <c r="AN27" s="61">
        <f t="shared" si="125"/>
        <v>1313</v>
      </c>
      <c r="AO27" s="61">
        <f t="shared" si="125"/>
        <v>2021</v>
      </c>
      <c r="AP27" s="61">
        <f t="shared" si="125"/>
        <v>1256</v>
      </c>
      <c r="AQ27" s="61">
        <f t="shared" si="125"/>
        <v>1390</v>
      </c>
      <c r="AR27" s="61">
        <f t="shared" si="125"/>
        <v>910</v>
      </c>
      <c r="AS27" s="61">
        <f t="shared" si="125"/>
        <v>2400</v>
      </c>
      <c r="AT27" s="61">
        <f t="shared" si="125"/>
        <v>1490</v>
      </c>
      <c r="AU27" s="61">
        <f>SUM(AU13,AU18,AU23)</f>
        <v>1336</v>
      </c>
      <c r="AV27" s="61">
        <f>SUM(AV13,AV18,AV23)</f>
        <v>1851</v>
      </c>
      <c r="AW27" s="61">
        <f t="shared" ref="AW27:BN27" si="126">SUM(AW13,AW18,AW23)</f>
        <v>2638.1281250000002</v>
      </c>
      <c r="AX27" s="61">
        <f t="shared" si="126"/>
        <v>1794.9524999999999</v>
      </c>
      <c r="AY27" s="61">
        <f t="shared" si="126"/>
        <v>1516.1291879866517</v>
      </c>
      <c r="AZ27" s="61">
        <f t="shared" si="126"/>
        <v>1947.0723579614728</v>
      </c>
      <c r="BA27" s="61">
        <f t="shared" si="126"/>
        <v>2872.9607479166671</v>
      </c>
      <c r="BB27" s="61">
        <f t="shared" si="126"/>
        <v>1714.1754299999998</v>
      </c>
      <c r="BC27" s="61">
        <f t="shared" si="126"/>
        <v>1526.6991252966936</v>
      </c>
      <c r="BD27" s="61">
        <f t="shared" si="126"/>
        <v>2030.5073989584421</v>
      </c>
      <c r="BE27" s="61">
        <f t="shared" si="126"/>
        <v>2970.8898584295812</v>
      </c>
      <c r="BF27" s="61">
        <f t="shared" si="126"/>
        <v>1806.9022671068983</v>
      </c>
      <c r="BG27" s="61">
        <f t="shared" si="126"/>
        <v>1608.924985739538</v>
      </c>
      <c r="BH27" s="61">
        <f t="shared" si="126"/>
        <v>2484.904602292946</v>
      </c>
      <c r="BI27" s="61">
        <f t="shared" si="126"/>
        <v>3210.5779172070388</v>
      </c>
      <c r="BJ27" s="61">
        <f t="shared" si="126"/>
        <v>1939.758116797321</v>
      </c>
      <c r="BK27" s="61">
        <f t="shared" si="126"/>
        <v>1717.1485597353451</v>
      </c>
      <c r="BL27" s="61">
        <f t="shared" si="126"/>
        <v>2265.4063104981733</v>
      </c>
      <c r="BM27" s="61">
        <f t="shared" si="126"/>
        <v>3309.5831233039135</v>
      </c>
      <c r="BN27" s="61">
        <f t="shared" si="126"/>
        <v>2042.7581708372541</v>
      </c>
      <c r="BO27" s="62"/>
      <c r="BP27" s="62"/>
      <c r="BQ27" s="62"/>
      <c r="BR27" s="62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0"/>
      <c r="CG27" s="60"/>
      <c r="CH27" s="60"/>
      <c r="CI27" s="60"/>
    </row>
    <row r="28" spans="1:87" s="64" customFormat="1" ht="12.75" customHeight="1" collapsed="1">
      <c r="A28" s="59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0"/>
      <c r="AW28" s="65"/>
      <c r="AX28" s="65"/>
      <c r="AY28" s="65"/>
      <c r="AZ28" s="65"/>
      <c r="BA28" s="65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2"/>
      <c r="BP28" s="62"/>
      <c r="BQ28" s="62"/>
      <c r="BR28" s="62"/>
      <c r="BS28" s="63"/>
      <c r="BT28" s="63"/>
      <c r="BU28" s="63"/>
      <c r="BV28" s="63"/>
      <c r="BW28" s="63"/>
      <c r="BX28" s="63"/>
      <c r="BY28" s="63"/>
      <c r="BZ28" s="63"/>
      <c r="CA28" s="63"/>
      <c r="CB28" s="63"/>
      <c r="CC28" s="63"/>
      <c r="CD28" s="63"/>
      <c r="CE28" s="63"/>
      <c r="CF28" s="60"/>
      <c r="CG28" s="60"/>
      <c r="CH28" s="60"/>
      <c r="CI28" s="60"/>
    </row>
    <row r="29" spans="1:87" s="37" customFormat="1" ht="12.75" customHeight="1">
      <c r="A29" s="38" t="s">
        <v>445</v>
      </c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66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40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6"/>
      <c r="CH29" s="36"/>
      <c r="CI29" s="36"/>
    </row>
    <row r="30" spans="1:87" s="32" customFormat="1" ht="12.75" customHeight="1">
      <c r="A30" s="42" t="s">
        <v>202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44">
        <v>705</v>
      </c>
      <c r="Q30" s="44">
        <v>1127</v>
      </c>
      <c r="R30" s="44">
        <v>449</v>
      </c>
      <c r="S30" s="44">
        <v>349</v>
      </c>
      <c r="T30" s="44">
        <v>832</v>
      </c>
      <c r="U30" s="44">
        <v>831</v>
      </c>
      <c r="V30" s="44">
        <v>378</v>
      </c>
      <c r="W30" s="44">
        <v>223</v>
      </c>
      <c r="X30" s="44">
        <v>740</v>
      </c>
      <c r="Y30" s="44">
        <v>1160</v>
      </c>
      <c r="Z30" s="44">
        <v>324</v>
      </c>
      <c r="AA30" s="44">
        <v>183</v>
      </c>
      <c r="AB30" s="44">
        <v>692</v>
      </c>
      <c r="AC30" s="44">
        <v>1310</v>
      </c>
      <c r="AD30" s="44">
        <v>391</v>
      </c>
      <c r="AE30" s="44">
        <v>204</v>
      </c>
      <c r="AF30" s="44">
        <v>714</v>
      </c>
      <c r="AG30" s="44">
        <v>1001</v>
      </c>
      <c r="AH30" s="44">
        <v>396</v>
      </c>
      <c r="AI30" s="44">
        <v>150</v>
      </c>
      <c r="AJ30" s="44">
        <v>742</v>
      </c>
      <c r="AK30" s="44">
        <v>676</v>
      </c>
      <c r="AL30" s="44">
        <v>379</v>
      </c>
      <c r="AM30" s="45">
        <f t="shared" ref="AM30:AR30" si="127">+AM35+AM41</f>
        <v>95</v>
      </c>
      <c r="AN30" s="45">
        <f t="shared" si="127"/>
        <v>637</v>
      </c>
      <c r="AO30" s="45">
        <f t="shared" si="127"/>
        <v>780</v>
      </c>
      <c r="AP30" s="45">
        <f t="shared" si="127"/>
        <v>268</v>
      </c>
      <c r="AQ30" s="45">
        <f t="shared" si="127"/>
        <v>287</v>
      </c>
      <c r="AR30" s="45">
        <f t="shared" si="127"/>
        <v>266</v>
      </c>
      <c r="AS30" s="45">
        <f>+AS35+AS41</f>
        <v>858</v>
      </c>
      <c r="AT30" s="45">
        <f>+AT35+AT41</f>
        <v>187</v>
      </c>
      <c r="AU30" s="45">
        <f>+AU35+AU41</f>
        <v>282</v>
      </c>
      <c r="AV30" s="45">
        <f>+AV35+AV41</f>
        <v>696</v>
      </c>
      <c r="AW30" s="27">
        <f>AW78*AW70</f>
        <v>1019.0281249999999</v>
      </c>
      <c r="AX30" s="27">
        <f t="shared" ref="AX30:BN30" si="128">AX78*AX70</f>
        <v>322.5625</v>
      </c>
      <c r="AY30" s="27">
        <f t="shared" si="128"/>
        <v>367.26918798665179</v>
      </c>
      <c r="AZ30" s="27">
        <f t="shared" si="128"/>
        <v>667.33235796147278</v>
      </c>
      <c r="BA30" s="27">
        <f t="shared" si="128"/>
        <v>1111.3799479166669</v>
      </c>
      <c r="BB30" s="27">
        <f>BB78*BB70</f>
        <v>113.68750000000001</v>
      </c>
      <c r="BC30" s="27">
        <f t="shared" si="128"/>
        <v>285.10922630082808</v>
      </c>
      <c r="BD30" s="27">
        <f t="shared" si="128"/>
        <v>644.70137364870357</v>
      </c>
      <c r="BE30" s="27">
        <f t="shared" si="128"/>
        <v>1083.1908029513891</v>
      </c>
      <c r="BF30" s="27">
        <f t="shared" si="128"/>
        <v>87.697708333333338</v>
      </c>
      <c r="BG30" s="27">
        <f t="shared" si="128"/>
        <v>284.96562487125618</v>
      </c>
      <c r="BH30" s="27">
        <f t="shared" si="128"/>
        <v>1005.6128361646211</v>
      </c>
      <c r="BI30" s="27">
        <f t="shared" si="128"/>
        <v>1206.621360054977</v>
      </c>
      <c r="BJ30" s="27">
        <f t="shared" si="128"/>
        <v>112.34529652777779</v>
      </c>
      <c r="BK30" s="27">
        <f t="shared" si="128"/>
        <v>304.6722672087642</v>
      </c>
      <c r="BL30" s="27">
        <f t="shared" si="128"/>
        <v>685.5349725550227</v>
      </c>
      <c r="BM30" s="27">
        <f t="shared" si="128"/>
        <v>1181.3689345042922</v>
      </c>
      <c r="BN30" s="27">
        <f t="shared" si="128"/>
        <v>99.501872641203704</v>
      </c>
      <c r="BO30" s="28"/>
      <c r="BP30" s="68"/>
      <c r="BQ30" s="68"/>
      <c r="BR30" s="68"/>
      <c r="BS30" s="68"/>
      <c r="BT30" s="49">
        <f>SUM(O30:R30)</f>
        <v>2281</v>
      </c>
      <c r="BU30" s="49">
        <f>SUM(S30:V30)</f>
        <v>2390</v>
      </c>
      <c r="BV30" s="49">
        <f>SUM(W30:Z30)</f>
        <v>2447</v>
      </c>
      <c r="BW30" s="49">
        <f>SUM(AA30:AD30)</f>
        <v>2576</v>
      </c>
      <c r="BX30" s="49">
        <f>SUM(AE30:AH30)</f>
        <v>2315</v>
      </c>
      <c r="BY30" s="49">
        <f>SUM(AI30:AL30)</f>
        <v>1947</v>
      </c>
      <c r="BZ30" s="49">
        <f>SUM(AM30:AP30)</f>
        <v>1780</v>
      </c>
      <c r="CA30" s="49">
        <f>SUM(AQ30:AT30)</f>
        <v>1598</v>
      </c>
      <c r="CB30" s="49">
        <f>SUM(AU30:AX30)</f>
        <v>2319.5906249999998</v>
      </c>
      <c r="CC30" s="49">
        <f>SUM(AY30:BB30)</f>
        <v>2259.6689938647914</v>
      </c>
      <c r="CD30" s="49">
        <f>SUM(BC30:BF30)</f>
        <v>2100.6991112342539</v>
      </c>
      <c r="CE30" s="49">
        <f>SUM(BG30:BJ30)</f>
        <v>2609.545117618632</v>
      </c>
      <c r="CF30" s="49">
        <f>SUM(BK30:BN30)</f>
        <v>2271.0780469092824</v>
      </c>
      <c r="CG30" s="31"/>
      <c r="CH30" s="31"/>
      <c r="CI30" s="31"/>
    </row>
    <row r="31" spans="1:87" s="37" customFormat="1" ht="12.75" customHeight="1">
      <c r="A31" s="69" t="s">
        <v>0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4" t="s">
        <v>17</v>
      </c>
      <c r="Q31" s="34">
        <f t="shared" ref="Q31:AV31" si="129">Q30/P30-1</f>
        <v>0.59858156028368792</v>
      </c>
      <c r="R31" s="34">
        <f t="shared" si="129"/>
        <v>-0.60159716060337176</v>
      </c>
      <c r="S31" s="34">
        <f t="shared" si="129"/>
        <v>-0.22271714922049002</v>
      </c>
      <c r="T31" s="34">
        <f t="shared" si="129"/>
        <v>1.3839541547277938</v>
      </c>
      <c r="U31" s="34">
        <f t="shared" si="129"/>
        <v>-1.2019230769231282E-3</v>
      </c>
      <c r="V31" s="34">
        <f t="shared" si="129"/>
        <v>-0.54512635379061369</v>
      </c>
      <c r="W31" s="34">
        <f t="shared" si="129"/>
        <v>-0.41005291005291</v>
      </c>
      <c r="X31" s="34">
        <f t="shared" si="129"/>
        <v>2.3183856502242151</v>
      </c>
      <c r="Y31" s="34">
        <f t="shared" si="129"/>
        <v>0.56756756756756754</v>
      </c>
      <c r="Z31" s="34">
        <f t="shared" si="129"/>
        <v>-0.72068965517241379</v>
      </c>
      <c r="AA31" s="34">
        <f t="shared" si="129"/>
        <v>-0.43518518518518523</v>
      </c>
      <c r="AB31" s="34">
        <f t="shared" si="129"/>
        <v>2.7814207650273226</v>
      </c>
      <c r="AC31" s="34">
        <f t="shared" si="129"/>
        <v>0.89306358381502893</v>
      </c>
      <c r="AD31" s="34">
        <f t="shared" si="129"/>
        <v>-0.70152671755725193</v>
      </c>
      <c r="AE31" s="34">
        <f t="shared" si="129"/>
        <v>-0.47826086956521741</v>
      </c>
      <c r="AF31" s="34">
        <f t="shared" si="129"/>
        <v>2.5</v>
      </c>
      <c r="AG31" s="34">
        <f t="shared" si="129"/>
        <v>0.40196078431372539</v>
      </c>
      <c r="AH31" s="34">
        <f t="shared" si="129"/>
        <v>-0.60439560439560447</v>
      </c>
      <c r="AI31" s="34">
        <f t="shared" si="129"/>
        <v>-0.62121212121212122</v>
      </c>
      <c r="AJ31" s="34">
        <f t="shared" si="129"/>
        <v>3.9466666666666663</v>
      </c>
      <c r="AK31" s="34">
        <f t="shared" si="129"/>
        <v>-8.8948787061994605E-2</v>
      </c>
      <c r="AL31" s="34">
        <f t="shared" si="129"/>
        <v>-0.43934911242603547</v>
      </c>
      <c r="AM31" s="34">
        <f t="shared" si="129"/>
        <v>-0.74934036939313986</v>
      </c>
      <c r="AN31" s="34">
        <f t="shared" si="129"/>
        <v>5.7052631578947368</v>
      </c>
      <c r="AO31" s="34">
        <f t="shared" si="129"/>
        <v>0.22448979591836737</v>
      </c>
      <c r="AP31" s="34">
        <f t="shared" si="129"/>
        <v>-0.65641025641025641</v>
      </c>
      <c r="AQ31" s="34">
        <f t="shared" si="129"/>
        <v>7.0895522388059629E-2</v>
      </c>
      <c r="AR31" s="34">
        <f t="shared" si="129"/>
        <v>-7.3170731707317027E-2</v>
      </c>
      <c r="AS31" s="34">
        <f t="shared" si="129"/>
        <v>2.225563909774436</v>
      </c>
      <c r="AT31" s="34">
        <f t="shared" si="129"/>
        <v>-0.78205128205128205</v>
      </c>
      <c r="AU31" s="34">
        <f t="shared" si="129"/>
        <v>0.50802139037433158</v>
      </c>
      <c r="AV31" s="34">
        <f t="shared" si="129"/>
        <v>1.4680851063829787</v>
      </c>
      <c r="AW31" s="34">
        <f t="shared" ref="AW31" si="130">AW30/AV30-1</f>
        <v>0.46412086925287355</v>
      </c>
      <c r="AX31" s="34">
        <f t="shared" ref="AX31" si="131">AX30/AW30-1</f>
        <v>-0.68346065031325809</v>
      </c>
      <c r="AY31" s="34">
        <f t="shared" ref="AY31" si="132">AY30/AX30-1</f>
        <v>0.13859852892587265</v>
      </c>
      <c r="AZ31" s="34">
        <f t="shared" ref="AZ31" si="133">AZ30/AY30-1</f>
        <v>0.81701155389524982</v>
      </c>
      <c r="BA31" s="34">
        <f t="shared" ref="BA31" si="134">BA30/AZ30-1</f>
        <v>0.66540695151010554</v>
      </c>
      <c r="BB31" s="34">
        <f t="shared" ref="BB31" si="135">BB30/BA30-1</f>
        <v>-0.89770600035288339</v>
      </c>
      <c r="BC31" s="34">
        <f t="shared" ref="BC31" si="136">BC30/BB30-1</f>
        <v>1.5078326667472504</v>
      </c>
      <c r="BD31" s="34">
        <f t="shared" ref="BD31" si="137">BD30/BC30-1</f>
        <v>1.2612434610181924</v>
      </c>
      <c r="BE31" s="34">
        <f t="shared" ref="BE31" si="138">BE30/BD30-1</f>
        <v>0.6801434698689155</v>
      </c>
      <c r="BF31" s="34">
        <f t="shared" ref="BF31" si="139">BF30/BE30-1</f>
        <v>-0.91903761729292577</v>
      </c>
      <c r="BG31" s="34">
        <f t="shared" ref="BG31" si="140">BG30/BF30-1</f>
        <v>2.2494078840477814</v>
      </c>
      <c r="BH31" s="34">
        <f t="shared" ref="BH31" si="141">BH30/BG30-1</f>
        <v>2.5288917272704174</v>
      </c>
      <c r="BI31" s="34">
        <f t="shared" ref="BI31" si="142">BI30/BH30-1</f>
        <v>0.199886593191269</v>
      </c>
      <c r="BJ31" s="34">
        <f t="shared" ref="BJ31" si="143">BJ30/BI30-1</f>
        <v>-0.90689266720534512</v>
      </c>
      <c r="BK31" s="34">
        <f t="shared" ref="BK31" si="144">BK30/BJ30-1</f>
        <v>1.7119272156928513</v>
      </c>
      <c r="BL31" s="34">
        <f t="shared" ref="BL31" si="145">BL30/BK30-1</f>
        <v>1.2500734275407086</v>
      </c>
      <c r="BM31" s="34">
        <f t="shared" ref="BM31" si="146">BM30/BL30-1</f>
        <v>0.72328033112777868</v>
      </c>
      <c r="BN31" s="34">
        <f t="shared" ref="BN31" si="147">BN30/BM30-1</f>
        <v>-0.91577409077295979</v>
      </c>
      <c r="BO31" s="35"/>
      <c r="BP31" s="35"/>
      <c r="BQ31" s="35"/>
      <c r="BR31" s="35"/>
      <c r="BS31" s="35"/>
      <c r="BT31" s="35" t="s">
        <v>17</v>
      </c>
      <c r="BU31" s="35" t="s">
        <v>17</v>
      </c>
      <c r="BV31" s="35" t="s">
        <v>17</v>
      </c>
      <c r="BW31" s="35" t="s">
        <v>17</v>
      </c>
      <c r="BX31" s="35" t="s">
        <v>17</v>
      </c>
      <c r="BY31" s="35" t="s">
        <v>17</v>
      </c>
      <c r="BZ31" s="35" t="s">
        <v>17</v>
      </c>
      <c r="CA31" s="35" t="s">
        <v>17</v>
      </c>
      <c r="CB31" s="35" t="s">
        <v>17</v>
      </c>
      <c r="CC31" s="35" t="s">
        <v>17</v>
      </c>
      <c r="CD31" s="35" t="s">
        <v>17</v>
      </c>
      <c r="CE31" s="35" t="s">
        <v>17</v>
      </c>
      <c r="CF31" s="35" t="s">
        <v>17</v>
      </c>
      <c r="CG31" s="36"/>
      <c r="CH31" s="36"/>
      <c r="CI31" s="36"/>
    </row>
    <row r="32" spans="1:87" s="37" customFormat="1" ht="12.75" customHeight="1">
      <c r="A32" s="69" t="s">
        <v>1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4" t="s">
        <v>17</v>
      </c>
      <c r="Q32" s="34" t="s">
        <v>17</v>
      </c>
      <c r="R32" s="34" t="s">
        <v>17</v>
      </c>
      <c r="S32" s="34" t="s">
        <v>17</v>
      </c>
      <c r="T32" s="34">
        <f t="shared" ref="T32:AV32" si="148">T30/P30-1</f>
        <v>0.18014184397163113</v>
      </c>
      <c r="U32" s="34">
        <f t="shared" si="148"/>
        <v>-0.26264418811002666</v>
      </c>
      <c r="V32" s="34">
        <f t="shared" si="148"/>
        <v>-0.15812917594654785</v>
      </c>
      <c r="W32" s="34">
        <f t="shared" si="148"/>
        <v>-0.36103151862464178</v>
      </c>
      <c r="X32" s="34">
        <f t="shared" si="148"/>
        <v>-0.11057692307692313</v>
      </c>
      <c r="Y32" s="34">
        <f t="shared" si="148"/>
        <v>0.39590854392298436</v>
      </c>
      <c r="Z32" s="34">
        <f t="shared" si="148"/>
        <v>-0.1428571428571429</v>
      </c>
      <c r="AA32" s="34">
        <f t="shared" si="148"/>
        <v>-0.179372197309417</v>
      </c>
      <c r="AB32" s="34">
        <f t="shared" si="148"/>
        <v>-6.4864864864864868E-2</v>
      </c>
      <c r="AC32" s="34">
        <f t="shared" si="148"/>
        <v>0.1293103448275863</v>
      </c>
      <c r="AD32" s="34">
        <f t="shared" si="148"/>
        <v>0.20679012345679015</v>
      </c>
      <c r="AE32" s="34">
        <f t="shared" si="148"/>
        <v>0.11475409836065564</v>
      </c>
      <c r="AF32" s="34">
        <f t="shared" si="148"/>
        <v>3.1791907514450823E-2</v>
      </c>
      <c r="AG32" s="34">
        <f t="shared" si="148"/>
        <v>-0.23587786259541987</v>
      </c>
      <c r="AH32" s="34">
        <f t="shared" si="148"/>
        <v>1.2787723785166349E-2</v>
      </c>
      <c r="AI32" s="34">
        <f t="shared" si="148"/>
        <v>-0.26470588235294112</v>
      </c>
      <c r="AJ32" s="34">
        <f t="shared" si="148"/>
        <v>3.9215686274509887E-2</v>
      </c>
      <c r="AK32" s="34">
        <f t="shared" si="148"/>
        <v>-0.32467532467532467</v>
      </c>
      <c r="AL32" s="34">
        <f t="shared" si="148"/>
        <v>-4.2929292929292928E-2</v>
      </c>
      <c r="AM32" s="34">
        <f t="shared" si="148"/>
        <v>-0.3666666666666667</v>
      </c>
      <c r="AN32" s="34">
        <f t="shared" si="148"/>
        <v>-0.14150943396226412</v>
      </c>
      <c r="AO32" s="34">
        <f t="shared" si="148"/>
        <v>0.15384615384615374</v>
      </c>
      <c r="AP32" s="34">
        <f t="shared" si="148"/>
        <v>-0.29287598944591031</v>
      </c>
      <c r="AQ32" s="34">
        <f t="shared" si="148"/>
        <v>2.0210526315789474</v>
      </c>
      <c r="AR32" s="34">
        <f t="shared" si="148"/>
        <v>-0.58241758241758235</v>
      </c>
      <c r="AS32" s="34">
        <f t="shared" si="148"/>
        <v>0.10000000000000009</v>
      </c>
      <c r="AT32" s="34">
        <f t="shared" si="148"/>
        <v>-0.30223880597014929</v>
      </c>
      <c r="AU32" s="34">
        <f t="shared" si="148"/>
        <v>-1.7421602787456414E-2</v>
      </c>
      <c r="AV32" s="34">
        <f t="shared" si="148"/>
        <v>1.6165413533834587</v>
      </c>
      <c r="AW32" s="34">
        <f t="shared" ref="AW32" si="149">AW30/AS30-1</f>
        <v>0.18767846736596727</v>
      </c>
      <c r="AX32" s="34">
        <f t="shared" ref="AX32" si="150">AX30/AT30-1</f>
        <v>0.72493315508021383</v>
      </c>
      <c r="AY32" s="34">
        <f t="shared" ref="AY32" si="151">AY30/AU30-1</f>
        <v>0.30237300704486447</v>
      </c>
      <c r="AZ32" s="34">
        <f t="shared" ref="AZ32" si="152">AZ30/AV30-1</f>
        <v>-4.1189140859952955E-2</v>
      </c>
      <c r="BA32" s="34">
        <f t="shared" ref="BA32" si="153">BA30/AW30-1</f>
        <v>9.0627354290802264E-2</v>
      </c>
      <c r="BB32" s="34">
        <f t="shared" ref="BB32" si="154">BB30/AX30-1</f>
        <v>-0.6475489246270103</v>
      </c>
      <c r="BC32" s="34">
        <f t="shared" ref="BC32" si="155">BC30/AY30-1</f>
        <v>-0.22370502174772622</v>
      </c>
      <c r="BD32" s="34">
        <f t="shared" ref="BD32" si="156">BD30/AZ30-1</f>
        <v>-3.3912613471795416E-2</v>
      </c>
      <c r="BE32" s="34">
        <f t="shared" ref="BE32" si="157">BE30/BA30-1</f>
        <v>-2.536409354705349E-2</v>
      </c>
      <c r="BF32" s="34">
        <f t="shared" ref="BF32" si="158">BF30/BB30-1</f>
        <v>-0.22860729338464358</v>
      </c>
      <c r="BG32" s="34">
        <f t="shared" ref="BG32" si="159">BG30/BC30-1</f>
        <v>-5.0367163292142081E-4</v>
      </c>
      <c r="BH32" s="34">
        <f t="shared" ref="BH32" si="160">BH30/BD30-1</f>
        <v>0.55981184043913235</v>
      </c>
      <c r="BI32" s="34">
        <f t="shared" ref="BI32" si="161">BI30/BE30-1</f>
        <v>0.11395089098547961</v>
      </c>
      <c r="BJ32" s="34">
        <f t="shared" ref="BJ32" si="162">BJ30/BF30-1</f>
        <v>0.28105167926122498</v>
      </c>
      <c r="BK32" s="34">
        <f t="shared" ref="BK32" si="163">BK30/BG30-1</f>
        <v>6.9154454493980611E-2</v>
      </c>
      <c r="BL32" s="34">
        <f t="shared" ref="BL32" si="164">BL30/BH30-1</f>
        <v>-0.3182913464294731</v>
      </c>
      <c r="BM32" s="34">
        <f t="shared" ref="BM32" si="165">BM30/BI30-1</f>
        <v>-2.0928210279266279E-2</v>
      </c>
      <c r="BN32" s="34">
        <f t="shared" ref="BN32" si="166">BN30/BJ30-1</f>
        <v>-0.11432097545266173</v>
      </c>
      <c r="BO32" s="40"/>
      <c r="BP32" s="35"/>
      <c r="BQ32" s="35"/>
      <c r="BR32" s="35"/>
      <c r="BS32" s="35"/>
      <c r="BT32" s="35" t="str">
        <f t="shared" ref="BT32:CF32" si="167">IF(OR(AND(BS30&lt;0,BT30&gt;0),BS30=0),"n/a",BT30/BS30-1)</f>
        <v>n/a</v>
      </c>
      <c r="BU32" s="35">
        <f t="shared" si="167"/>
        <v>4.778605874616404E-2</v>
      </c>
      <c r="BV32" s="35">
        <f t="shared" si="167"/>
        <v>2.384937238493734E-2</v>
      </c>
      <c r="BW32" s="35">
        <f t="shared" si="167"/>
        <v>5.2717613404168473E-2</v>
      </c>
      <c r="BX32" s="35">
        <f t="shared" si="167"/>
        <v>-0.10131987577639756</v>
      </c>
      <c r="BY32" s="35">
        <f t="shared" si="167"/>
        <v>-0.15896328293736506</v>
      </c>
      <c r="BZ32" s="35">
        <f t="shared" si="167"/>
        <v>-8.577298407806877E-2</v>
      </c>
      <c r="CA32" s="35">
        <f t="shared" si="167"/>
        <v>-0.10224719101123592</v>
      </c>
      <c r="CB32" s="35">
        <f t="shared" si="167"/>
        <v>0.45155858886107625</v>
      </c>
      <c r="CC32" s="35">
        <f t="shared" si="167"/>
        <v>-2.5832847610861687E-2</v>
      </c>
      <c r="CD32" s="35">
        <f t="shared" si="167"/>
        <v>-7.0350959836221749E-2</v>
      </c>
      <c r="CE32" s="35">
        <f t="shared" si="167"/>
        <v>0.24222698227610939</v>
      </c>
      <c r="CF32" s="35">
        <f t="shared" si="167"/>
        <v>-0.12970347530079163</v>
      </c>
      <c r="CG32" s="36"/>
      <c r="CH32" s="36"/>
      <c r="CI32" s="36"/>
    </row>
    <row r="33" spans="1:87" s="37" customFormat="1" ht="12.75" customHeight="1">
      <c r="A33" s="69" t="s">
        <v>98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70">
        <f t="shared" ref="P33:AU33" si="168">P30/P$8</f>
        <v>0.67788461538461542</v>
      </c>
      <c r="Q33" s="70">
        <f t="shared" si="168"/>
        <v>0.7169211195928753</v>
      </c>
      <c r="R33" s="70">
        <f t="shared" si="168"/>
        <v>0.49124726477024072</v>
      </c>
      <c r="S33" s="70">
        <f t="shared" si="168"/>
        <v>0.45032258064516129</v>
      </c>
      <c r="T33" s="70">
        <f t="shared" si="168"/>
        <v>0.68196721311475406</v>
      </c>
      <c r="U33" s="70">
        <f t="shared" si="168"/>
        <v>0.58193277310924374</v>
      </c>
      <c r="V33" s="70">
        <f t="shared" si="168"/>
        <v>0.421875</v>
      </c>
      <c r="W33" s="70">
        <f t="shared" si="168"/>
        <v>0.32178932178932179</v>
      </c>
      <c r="X33" s="70">
        <f t="shared" si="168"/>
        <v>0.64572425828970337</v>
      </c>
      <c r="Y33" s="70">
        <f t="shared" si="168"/>
        <v>0.64337215751525234</v>
      </c>
      <c r="Z33" s="70">
        <f t="shared" si="168"/>
        <v>0.35064935064935066</v>
      </c>
      <c r="AA33" s="70">
        <f t="shared" si="168"/>
        <v>0.26832844574780057</v>
      </c>
      <c r="AB33" s="70">
        <f t="shared" si="168"/>
        <v>0.63023679417122036</v>
      </c>
      <c r="AC33" s="70">
        <f t="shared" si="168"/>
        <v>0.63285024154589375</v>
      </c>
      <c r="AD33" s="70">
        <f t="shared" si="168"/>
        <v>0.35805860805860806</v>
      </c>
      <c r="AE33" s="70">
        <f t="shared" si="168"/>
        <v>0.26322580645161292</v>
      </c>
      <c r="AF33" s="70">
        <f t="shared" si="168"/>
        <v>0.6055979643765903</v>
      </c>
      <c r="AG33" s="70">
        <f t="shared" si="168"/>
        <v>0.50786402841197364</v>
      </c>
      <c r="AH33" s="70">
        <f t="shared" si="168"/>
        <v>0.31553784860557771</v>
      </c>
      <c r="AI33" s="70">
        <f>AI30/AI$8</f>
        <v>0.20026702269692923</v>
      </c>
      <c r="AJ33" s="70">
        <f t="shared" si="168"/>
        <v>0.60720130932896887</v>
      </c>
      <c r="AK33" s="70">
        <f t="shared" si="168"/>
        <v>0.42013673088875075</v>
      </c>
      <c r="AL33" s="70">
        <f t="shared" si="168"/>
        <v>0.27785923753665687</v>
      </c>
      <c r="AM33" s="70">
        <f t="shared" si="168"/>
        <v>0.12148337595907928</v>
      </c>
      <c r="AN33" s="70">
        <f t="shared" si="168"/>
        <v>0.48514851485148514</v>
      </c>
      <c r="AO33" s="70">
        <f t="shared" si="168"/>
        <v>0.38594755071746661</v>
      </c>
      <c r="AP33" s="70">
        <f t="shared" si="168"/>
        <v>0.21337579617834396</v>
      </c>
      <c r="AQ33" s="70">
        <f t="shared" si="168"/>
        <v>0.20647482014388488</v>
      </c>
      <c r="AR33" s="70">
        <f t="shared" si="168"/>
        <v>0.29230769230769232</v>
      </c>
      <c r="AS33" s="70">
        <f t="shared" si="168"/>
        <v>0.35749999999999998</v>
      </c>
      <c r="AT33" s="70">
        <f t="shared" si="168"/>
        <v>0.12550335570469798</v>
      </c>
      <c r="AU33" s="70">
        <f t="shared" si="168"/>
        <v>0.21107784431137724</v>
      </c>
      <c r="AV33" s="70">
        <f t="shared" ref="AV33" si="169">AV30/AV$8</f>
        <v>0.37601296596434358</v>
      </c>
      <c r="AW33" s="70">
        <f t="shared" ref="AW33:BN33" si="170">AW30/AW$8</f>
        <v>0.38626938371312042</v>
      </c>
      <c r="AX33" s="70">
        <f t="shared" si="170"/>
        <v>0.17970531253612562</v>
      </c>
      <c r="AY33" s="70">
        <f t="shared" si="170"/>
        <v>0.24224135442862094</v>
      </c>
      <c r="AZ33" s="70">
        <f t="shared" si="170"/>
        <v>0.34273629083828711</v>
      </c>
      <c r="BA33" s="70">
        <f t="shared" si="170"/>
        <v>0.38684132692122097</v>
      </c>
      <c r="BB33" s="70">
        <f t="shared" si="170"/>
        <v>6.6321974991789504E-2</v>
      </c>
      <c r="BC33" s="70">
        <f t="shared" si="170"/>
        <v>0.18674879783233053</v>
      </c>
      <c r="BD33" s="70">
        <f t="shared" si="170"/>
        <v>0.31750752249383873</v>
      </c>
      <c r="BE33" s="70">
        <f t="shared" si="170"/>
        <v>0.36460146776493635</v>
      </c>
      <c r="BF33" s="70">
        <f t="shared" si="170"/>
        <v>4.8534837732950302E-2</v>
      </c>
      <c r="BG33" s="70">
        <f t="shared" si="170"/>
        <v>0.17711554447659503</v>
      </c>
      <c r="BH33" s="70">
        <f t="shared" si="170"/>
        <v>0.40468870927145117</v>
      </c>
      <c r="BI33" s="70">
        <f t="shared" si="170"/>
        <v>0.37582684213583789</v>
      </c>
      <c r="BJ33" s="70">
        <f t="shared" si="170"/>
        <v>5.7917167895793049E-2</v>
      </c>
      <c r="BK33" s="70">
        <f t="shared" si="170"/>
        <v>0.17742918367862226</v>
      </c>
      <c r="BL33" s="70">
        <f t="shared" si="170"/>
        <v>0.30261016285607079</v>
      </c>
      <c r="BM33" s="70">
        <f t="shared" si="170"/>
        <v>0.35695400009320422</v>
      </c>
      <c r="BN33" s="70">
        <f t="shared" si="170"/>
        <v>4.8709570257365033E-2</v>
      </c>
      <c r="BO33" s="71"/>
      <c r="BP33" s="35"/>
      <c r="BQ33" s="35"/>
      <c r="BR33" s="35"/>
      <c r="BS33" s="35"/>
      <c r="BT33" s="35">
        <f t="shared" ref="BT33:CF33" si="171">BT30/BT$8</f>
        <v>0.56727182292961953</v>
      </c>
      <c r="BU33" s="35">
        <f t="shared" si="171"/>
        <v>0.55336883537855985</v>
      </c>
      <c r="BV33" s="35">
        <f t="shared" si="171"/>
        <v>0.53591765221200172</v>
      </c>
      <c r="BW33" s="35">
        <f t="shared" si="171"/>
        <v>0.52124645892351273</v>
      </c>
      <c r="BX33" s="35">
        <f t="shared" si="171"/>
        <v>0.44691119691119691</v>
      </c>
      <c r="BY33" s="35">
        <f t="shared" si="171"/>
        <v>0.3938106796116505</v>
      </c>
      <c r="BZ33" s="35">
        <f t="shared" si="171"/>
        <v>0.3313477289650037</v>
      </c>
      <c r="CA33" s="35">
        <f t="shared" si="171"/>
        <v>0.25815831987075927</v>
      </c>
      <c r="CB33" s="35">
        <f>CB30/CB$8</f>
        <v>0.30440499768334145</v>
      </c>
      <c r="CC33" s="35">
        <f t="shared" si="171"/>
        <v>0.28069244687289641</v>
      </c>
      <c r="CD33" s="35">
        <f t="shared" si="171"/>
        <v>0.25203352747834867</v>
      </c>
      <c r="CE33" s="35">
        <f t="shared" si="171"/>
        <v>0.28229103894437246</v>
      </c>
      <c r="CF33" s="35">
        <f t="shared" si="171"/>
        <v>0.24328905291700317</v>
      </c>
      <c r="CG33" s="36"/>
      <c r="CH33" s="36"/>
      <c r="CI33" s="36"/>
    </row>
    <row r="34" spans="1:87" s="37" customFormat="1" ht="12.75" customHeight="1">
      <c r="A34" s="69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27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0"/>
      <c r="BL34" s="70"/>
      <c r="BM34" s="70"/>
      <c r="BN34" s="70"/>
      <c r="BO34" s="71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6"/>
      <c r="CH34" s="36"/>
      <c r="CI34" s="36"/>
    </row>
    <row r="35" spans="1:87" s="44" customFormat="1" ht="12.75" customHeight="1">
      <c r="A35" s="72" t="s">
        <v>204</v>
      </c>
      <c r="AM35" s="44">
        <f>133-57</f>
        <v>76</v>
      </c>
      <c r="AN35" s="44">
        <f>181-5</f>
        <v>176</v>
      </c>
      <c r="AO35" s="44">
        <f>286+31</f>
        <v>317</v>
      </c>
      <c r="AP35" s="44">
        <f>211-21</f>
        <v>190</v>
      </c>
      <c r="AQ35" s="44">
        <f>223-5</f>
        <v>218</v>
      </c>
      <c r="AR35" s="44">
        <f>163-2</f>
        <v>161</v>
      </c>
      <c r="AS35" s="44">
        <f>347+53</f>
        <v>400</v>
      </c>
      <c r="AT35" s="44">
        <f>185-19</f>
        <v>166</v>
      </c>
      <c r="AU35" s="44">
        <f>233-5</f>
        <v>228</v>
      </c>
      <c r="AV35" s="44">
        <f>337+35</f>
        <v>372</v>
      </c>
      <c r="AW35" s="27">
        <f t="shared" ref="AW35:BN35" si="172">AW30*AW38</f>
        <v>551.321684520791</v>
      </c>
      <c r="AX35" s="27">
        <f t="shared" si="172"/>
        <v>165.43539553752535</v>
      </c>
      <c r="AY35" s="27">
        <f t="shared" si="172"/>
        <v>226.9645178964532</v>
      </c>
      <c r="AZ35" s="27">
        <f t="shared" si="172"/>
        <v>389.11005923949676</v>
      </c>
      <c r="BA35" s="27">
        <f t="shared" si="172"/>
        <v>579.27808678266581</v>
      </c>
      <c r="BB35" s="27">
        <f t="shared" si="172"/>
        <v>58.307883061956723</v>
      </c>
      <c r="BC35" s="27">
        <f t="shared" si="172"/>
        <v>176.19141548446493</v>
      </c>
      <c r="BD35" s="27">
        <f t="shared" si="172"/>
        <v>375.91432020252029</v>
      </c>
      <c r="BE35" s="27">
        <f t="shared" si="172"/>
        <v>564.58522319975202</v>
      </c>
      <c r="BF35" s="27">
        <f t="shared" si="172"/>
        <v>44.978275732174488</v>
      </c>
      <c r="BG35" s="27">
        <f t="shared" si="172"/>
        <v>176.10267286652115</v>
      </c>
      <c r="BH35" s="27">
        <f t="shared" si="172"/>
        <v>586.35560764251852</v>
      </c>
      <c r="BI35" s="27">
        <f t="shared" si="172"/>
        <v>628.92021242059968</v>
      </c>
      <c r="BJ35" s="27">
        <f t="shared" si="172"/>
        <v>57.619495656976532</v>
      </c>
      <c r="BK35" s="27">
        <f t="shared" si="172"/>
        <v>188.28095714353731</v>
      </c>
      <c r="BL35" s="27">
        <f t="shared" si="172"/>
        <v>399.72369179950948</v>
      </c>
      <c r="BM35" s="27">
        <f t="shared" si="172"/>
        <v>615.75803796618061</v>
      </c>
      <c r="BN35" s="27">
        <f t="shared" si="172"/>
        <v>51.03237870838057</v>
      </c>
      <c r="BO35" s="27"/>
      <c r="BZ35" s="45">
        <f>SUM(AM35:AP35)</f>
        <v>759</v>
      </c>
      <c r="CA35" s="45">
        <f>SUM(AQ35:AT35)</f>
        <v>945</v>
      </c>
      <c r="CB35" s="45">
        <f>SUM(AU35:AX35)</f>
        <v>1316.7570800583164</v>
      </c>
      <c r="CC35" s="45">
        <f>SUM(AY35:BB35)</f>
        <v>1253.6605469805725</v>
      </c>
      <c r="CD35" s="45">
        <f>SUM(BC35:BF35)</f>
        <v>1161.6692346189118</v>
      </c>
      <c r="CE35" s="45">
        <f>SUM(BG35:BJ35)</f>
        <v>1448.997988586616</v>
      </c>
      <c r="CF35" s="45">
        <f>SUM(BK35:BN35)</f>
        <v>1254.7950656176079</v>
      </c>
    </row>
    <row r="36" spans="1:87" s="37" customFormat="1" ht="12.75" customHeight="1">
      <c r="A36" s="73" t="s">
        <v>0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4"/>
      <c r="AK36" s="34"/>
      <c r="AL36" s="34"/>
      <c r="AM36" s="34" t="s">
        <v>17</v>
      </c>
      <c r="AN36" s="34">
        <f t="shared" ref="AN36:AV36" si="173">AN35/AM35-1</f>
        <v>1.3157894736842106</v>
      </c>
      <c r="AO36" s="34">
        <f t="shared" si="173"/>
        <v>0.80113636363636354</v>
      </c>
      <c r="AP36" s="34">
        <f t="shared" si="173"/>
        <v>-0.40063091482649837</v>
      </c>
      <c r="AQ36" s="34">
        <f t="shared" si="173"/>
        <v>0.14736842105263159</v>
      </c>
      <c r="AR36" s="34">
        <f t="shared" si="173"/>
        <v>-0.26146788990825687</v>
      </c>
      <c r="AS36" s="34">
        <f t="shared" si="173"/>
        <v>1.4844720496894408</v>
      </c>
      <c r="AT36" s="34">
        <f t="shared" si="173"/>
        <v>-0.58499999999999996</v>
      </c>
      <c r="AU36" s="34">
        <f t="shared" si="173"/>
        <v>0.37349397590361444</v>
      </c>
      <c r="AV36" s="34">
        <f t="shared" si="173"/>
        <v>0.63157894736842102</v>
      </c>
      <c r="AW36" s="34">
        <f t="shared" ref="AW36" si="174">AW35/AV35-1</f>
        <v>0.48204753903438435</v>
      </c>
      <c r="AX36" s="34">
        <f t="shared" ref="AX36" si="175">AX35/AW35-1</f>
        <v>-0.6999294600913043</v>
      </c>
      <c r="AY36" s="34">
        <f t="shared" ref="AY36" si="176">AY35/AX35-1</f>
        <v>0.37192235772163595</v>
      </c>
      <c r="AZ36" s="34">
        <f t="shared" ref="AZ36" si="177">AZ35/AY35-1</f>
        <v>0.71440920742077552</v>
      </c>
      <c r="BA36" s="34">
        <f t="shared" ref="BA36" si="178">BA35/AZ35-1</f>
        <v>0.48872554956519609</v>
      </c>
      <c r="BB36" s="34">
        <f t="shared" ref="BB36" si="179">BB35/BA35-1</f>
        <v>-0.89934388268370191</v>
      </c>
      <c r="BC36" s="34">
        <f t="shared" ref="BC36" si="180">BC35/BB35-1</f>
        <v>2.02174262264414</v>
      </c>
      <c r="BD36" s="34">
        <f t="shared" ref="BD36" si="181">BD35/BC35-1</f>
        <v>1.1335563890493021</v>
      </c>
      <c r="BE36" s="34">
        <f t="shared" ref="BE36" si="182">BE35/BD35-1</f>
        <v>0.50189868503968427</v>
      </c>
      <c r="BF36" s="34">
        <f t="shared" ref="BF36" si="183">BF35/BE35-1</f>
        <v>-0.92033394803133017</v>
      </c>
      <c r="BG36" s="34">
        <f t="shared" ref="BG36" si="184">BG35/BF35-1</f>
        <v>2.915282878230677</v>
      </c>
      <c r="BH36" s="34">
        <f t="shared" ref="BH36" si="185">BH35/BG35-1</f>
        <v>2.3296235548165294</v>
      </c>
      <c r="BI36" s="34">
        <f t="shared" ref="BI36" si="186">BI35/BH35-1</f>
        <v>7.2591792801666832E-2</v>
      </c>
      <c r="BJ36" s="34">
        <f t="shared" ref="BJ36" si="187">BJ35/BI35-1</f>
        <v>-0.90838345704424162</v>
      </c>
      <c r="BK36" s="34">
        <f t="shared" ref="BK36" si="188">BK35/BJ35-1</f>
        <v>2.2676606241821622</v>
      </c>
      <c r="BL36" s="34">
        <f t="shared" ref="BL36" si="189">BL35/BK35-1</f>
        <v>1.1230171009528984</v>
      </c>
      <c r="BM36" s="34">
        <f t="shared" ref="BM36" si="190">BM35/BL35-1</f>
        <v>0.5404591986882481</v>
      </c>
      <c r="BN36" s="34">
        <f t="shared" ref="BN36" si="191">BN35/BM35-1</f>
        <v>-0.9171226755286247</v>
      </c>
      <c r="BO36" s="34"/>
      <c r="BP36" s="35"/>
      <c r="BQ36" s="35"/>
      <c r="BR36" s="35"/>
      <c r="BS36" s="35"/>
      <c r="BT36" s="35"/>
      <c r="BU36" s="35"/>
      <c r="BV36" s="35"/>
      <c r="BW36" s="35"/>
      <c r="BX36" s="35"/>
      <c r="BY36" s="35"/>
      <c r="BZ36" s="35" t="s">
        <v>17</v>
      </c>
      <c r="CA36" s="35" t="s">
        <v>17</v>
      </c>
      <c r="CB36" s="35" t="s">
        <v>17</v>
      </c>
      <c r="CC36" s="35" t="s">
        <v>17</v>
      </c>
      <c r="CD36" s="35" t="s">
        <v>17</v>
      </c>
      <c r="CE36" s="35" t="s">
        <v>17</v>
      </c>
      <c r="CF36" s="35" t="s">
        <v>17</v>
      </c>
      <c r="CG36" s="36"/>
      <c r="CH36" s="36"/>
      <c r="CI36" s="36"/>
    </row>
    <row r="37" spans="1:87" s="37" customFormat="1" ht="12.75" customHeight="1">
      <c r="A37" s="73" t="s">
        <v>1</v>
      </c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4"/>
      <c r="AK37" s="34"/>
      <c r="AL37" s="34"/>
      <c r="AM37" s="34" t="s">
        <v>17</v>
      </c>
      <c r="AN37" s="34" t="s">
        <v>17</v>
      </c>
      <c r="AO37" s="34" t="s">
        <v>17</v>
      </c>
      <c r="AP37" s="34" t="s">
        <v>17</v>
      </c>
      <c r="AQ37" s="34">
        <f t="shared" ref="AQ37:AV37" si="192">AQ35/AM35-1</f>
        <v>1.8684210526315788</v>
      </c>
      <c r="AR37" s="34">
        <f t="shared" si="192"/>
        <v>-8.5227272727272707E-2</v>
      </c>
      <c r="AS37" s="34">
        <f t="shared" si="192"/>
        <v>0.26182965299684535</v>
      </c>
      <c r="AT37" s="34">
        <f t="shared" si="192"/>
        <v>-0.12631578947368416</v>
      </c>
      <c r="AU37" s="34">
        <f t="shared" si="192"/>
        <v>4.587155963302747E-2</v>
      </c>
      <c r="AV37" s="34">
        <f t="shared" si="192"/>
        <v>1.31055900621118</v>
      </c>
      <c r="AW37" s="34">
        <f t="shared" ref="AW37:BN37" si="193">AW35/AS35-1</f>
        <v>0.37830421130197744</v>
      </c>
      <c r="AX37" s="34">
        <f t="shared" si="193"/>
        <v>-3.4012317016545168E-3</v>
      </c>
      <c r="AY37" s="34">
        <f t="shared" si="193"/>
        <v>-4.5415881734508501E-3</v>
      </c>
      <c r="AZ37" s="34">
        <f t="shared" si="193"/>
        <v>4.5994782901872977E-2</v>
      </c>
      <c r="BA37" s="34">
        <f t="shared" si="193"/>
        <v>5.0707967864849213E-2</v>
      </c>
      <c r="BB37" s="34">
        <f t="shared" si="193"/>
        <v>-0.6475489246270103</v>
      </c>
      <c r="BC37" s="34">
        <f t="shared" si="193"/>
        <v>-0.22370502174772633</v>
      </c>
      <c r="BD37" s="34">
        <f t="shared" si="193"/>
        <v>-3.3912613471795416E-2</v>
      </c>
      <c r="BE37" s="34">
        <f t="shared" si="193"/>
        <v>-2.5364093547053601E-2</v>
      </c>
      <c r="BF37" s="34">
        <f t="shared" si="193"/>
        <v>-0.22860729338464369</v>
      </c>
      <c r="BG37" s="34">
        <f t="shared" si="193"/>
        <v>-5.0367163292130979E-4</v>
      </c>
      <c r="BH37" s="34">
        <f t="shared" si="193"/>
        <v>0.55981184043913257</v>
      </c>
      <c r="BI37" s="34">
        <f t="shared" si="193"/>
        <v>0.11395089098547961</v>
      </c>
      <c r="BJ37" s="34">
        <f t="shared" si="193"/>
        <v>0.28105167926122498</v>
      </c>
      <c r="BK37" s="34">
        <f t="shared" si="193"/>
        <v>6.9154454493980388E-2</v>
      </c>
      <c r="BL37" s="34">
        <f t="shared" si="193"/>
        <v>-0.3182913464294731</v>
      </c>
      <c r="BM37" s="34">
        <f t="shared" si="193"/>
        <v>-2.0928210279266168E-2</v>
      </c>
      <c r="BN37" s="34">
        <f t="shared" si="193"/>
        <v>-0.11432097545266173</v>
      </c>
      <c r="BO37" s="34"/>
      <c r="BP37" s="35"/>
      <c r="BQ37" s="35"/>
      <c r="BR37" s="35"/>
      <c r="BS37" s="35"/>
      <c r="BT37" s="35"/>
      <c r="BU37" s="35"/>
      <c r="BV37" s="35"/>
      <c r="BW37" s="35"/>
      <c r="BX37" s="35"/>
      <c r="BY37" s="35"/>
      <c r="BZ37" s="35" t="str">
        <f t="shared" ref="BZ37" si="194">IF(OR(AND(BY35&lt;0,BZ35&gt;0),BY35=0),"n/a",BZ35/BY35-1)</f>
        <v>n/a</v>
      </c>
      <c r="CA37" s="35">
        <f t="shared" ref="CA37" si="195">IF(OR(AND(BZ35&lt;0,CA35&gt;0),BZ35=0),"n/a",CA35/BZ35-1)</f>
        <v>0.24505928853754932</v>
      </c>
      <c r="CB37" s="35">
        <f t="shared" ref="CB37" si="196">IF(OR(AND(CA35&lt;0,CB35&gt;0),CA35=0),"n/a",CB35/CA35-1)</f>
        <v>0.39339373551144585</v>
      </c>
      <c r="CC37" s="35">
        <f t="shared" ref="CC37" si="197">IF(OR(AND(CB35&lt;0,CC35&gt;0),CB35=0),"n/a",CC35/CB35-1)</f>
        <v>-4.7918127066345129E-2</v>
      </c>
      <c r="CD37" s="35">
        <f t="shared" ref="CD37" si="198">IF(OR(AND(CC35&lt;0,CD35&gt;0),CC35=0),"n/a",CD35/CC35-1)</f>
        <v>-7.3378166508646037E-2</v>
      </c>
      <c r="CE37" s="35">
        <f t="shared" ref="CE37" si="199">IF(OR(AND(CD35&lt;0,CE35&gt;0),CD35=0),"n/a",CE35/CD35-1)</f>
        <v>0.24734127874356848</v>
      </c>
      <c r="CF37" s="35">
        <f t="shared" ref="CF37" si="200">IF(OR(AND(CE35&lt;0,CF35&gt;0),CE35=0),"n/a",CF35/CE35-1)</f>
        <v>-0.13402566773639057</v>
      </c>
      <c r="CG37" s="36"/>
      <c r="CH37" s="36"/>
      <c r="CI37" s="36"/>
    </row>
    <row r="38" spans="1:87" s="37" customFormat="1" ht="12.75" customHeight="1">
      <c r="A38" s="74" t="s">
        <v>427</v>
      </c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70"/>
      <c r="AK38" s="70"/>
      <c r="AL38" s="70"/>
      <c r="AM38" s="70">
        <f>AM35/AM$30</f>
        <v>0.8</v>
      </c>
      <c r="AN38" s="70">
        <f t="shared" ref="AN38:AT38" si="201">AN35/AN$30</f>
        <v>0.27629513343799056</v>
      </c>
      <c r="AO38" s="70">
        <f t="shared" si="201"/>
        <v>0.40641025641025641</v>
      </c>
      <c r="AP38" s="70">
        <f t="shared" si="201"/>
        <v>0.70895522388059706</v>
      </c>
      <c r="AQ38" s="70">
        <f t="shared" si="201"/>
        <v>0.75958188153310102</v>
      </c>
      <c r="AR38" s="70">
        <f t="shared" si="201"/>
        <v>0.60526315789473684</v>
      </c>
      <c r="AS38" s="70">
        <f t="shared" si="201"/>
        <v>0.46620046620046618</v>
      </c>
      <c r="AT38" s="70">
        <f t="shared" si="201"/>
        <v>0.88770053475935828</v>
      </c>
      <c r="AU38" s="70">
        <f>AU35/AU$30</f>
        <v>0.80851063829787229</v>
      </c>
      <c r="AV38" s="70">
        <f>AV35/AV$30</f>
        <v>0.53448275862068961</v>
      </c>
      <c r="AW38" s="1">
        <f t="shared" ref="AW38:BA38" si="202">AV38*AW39/AV39</f>
        <v>0.54102695597414552</v>
      </c>
      <c r="AX38" s="1">
        <f t="shared" si="202"/>
        <v>0.51287857558620531</v>
      </c>
      <c r="AY38" s="1">
        <f>AX38*AY39/AX39</f>
        <v>0.61797865249916395</v>
      </c>
      <c r="AZ38" s="1">
        <f t="shared" si="202"/>
        <v>0.58308285908408075</v>
      </c>
      <c r="BA38" s="1">
        <f t="shared" si="202"/>
        <v>0.52122416628854007</v>
      </c>
      <c r="BB38" s="1">
        <f>AX38</f>
        <v>0.51287857558620531</v>
      </c>
      <c r="BC38" s="1">
        <f t="shared" ref="BC38:BN38" si="203">AY38</f>
        <v>0.61797865249916395</v>
      </c>
      <c r="BD38" s="1">
        <f t="shared" si="203"/>
        <v>0.58308285908408075</v>
      </c>
      <c r="BE38" s="1">
        <f t="shared" si="203"/>
        <v>0.52122416628854007</v>
      </c>
      <c r="BF38" s="1">
        <f t="shared" si="203"/>
        <v>0.51287857558620531</v>
      </c>
      <c r="BG38" s="1">
        <f t="shared" si="203"/>
        <v>0.61797865249916395</v>
      </c>
      <c r="BH38" s="1">
        <f t="shared" si="203"/>
        <v>0.58308285908408075</v>
      </c>
      <c r="BI38" s="1">
        <f t="shared" si="203"/>
        <v>0.52122416628854007</v>
      </c>
      <c r="BJ38" s="1">
        <f t="shared" si="203"/>
        <v>0.51287857558620531</v>
      </c>
      <c r="BK38" s="1">
        <f t="shared" si="203"/>
        <v>0.61797865249916395</v>
      </c>
      <c r="BL38" s="1">
        <f t="shared" si="203"/>
        <v>0.58308285908408075</v>
      </c>
      <c r="BM38" s="1">
        <f t="shared" si="203"/>
        <v>0.52122416628854007</v>
      </c>
      <c r="BN38" s="1">
        <f t="shared" si="203"/>
        <v>0.51287857558620531</v>
      </c>
      <c r="BO38" s="1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>
        <f t="shared" ref="BZ38:CF38" si="204">BZ35/BZ$8</f>
        <v>0.14128816083395385</v>
      </c>
      <c r="CA38" s="35">
        <f t="shared" si="204"/>
        <v>0.15266558966074315</v>
      </c>
      <c r="CB38" s="35">
        <f>CB35/CB$8</f>
        <v>0.17280093805547059</v>
      </c>
      <c r="CC38" s="35">
        <f t="shared" si="204"/>
        <v>0.15572769615169851</v>
      </c>
      <c r="CD38" s="35">
        <f t="shared" si="204"/>
        <v>0.13937245624484354</v>
      </c>
      <c r="CE38" s="35">
        <f t="shared" si="204"/>
        <v>0.15674729854822161</v>
      </c>
      <c r="CF38" s="35">
        <f t="shared" si="204"/>
        <v>0.13441982037318811</v>
      </c>
      <c r="CG38" s="36"/>
      <c r="CH38" s="36"/>
      <c r="CI38" s="36"/>
    </row>
    <row r="39" spans="1:87" s="37" customFormat="1" ht="12.75" customHeight="1">
      <c r="A39" s="74" t="s">
        <v>444</v>
      </c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70"/>
      <c r="AK39" s="70"/>
      <c r="AL39" s="70"/>
      <c r="AM39" s="70">
        <f>AM72</f>
        <v>0.47</v>
      </c>
      <c r="AN39" s="70">
        <f t="shared" ref="AN39:BN39" si="205">AN72</f>
        <v>0.5</v>
      </c>
      <c r="AO39" s="70">
        <f t="shared" si="205"/>
        <v>0.49</v>
      </c>
      <c r="AP39" s="70">
        <f t="shared" si="205"/>
        <v>0.49</v>
      </c>
      <c r="AQ39" s="70">
        <f t="shared" si="205"/>
        <v>0.52</v>
      </c>
      <c r="AR39" s="70">
        <f t="shared" si="205"/>
        <v>0.56000000000000005</v>
      </c>
      <c r="AS39" s="70">
        <f t="shared" si="205"/>
        <v>0.62</v>
      </c>
      <c r="AT39" s="70">
        <f t="shared" si="205"/>
        <v>0.62</v>
      </c>
      <c r="AU39" s="70">
        <f t="shared" si="205"/>
        <v>0.57999999999999996</v>
      </c>
      <c r="AV39" s="70">
        <f t="shared" ref="AV39" si="206">AV72</f>
        <v>0.62</v>
      </c>
      <c r="AW39" s="70">
        <f t="shared" si="205"/>
        <v>0.62759126893000883</v>
      </c>
      <c r="AX39" s="70">
        <f t="shared" si="205"/>
        <v>0.59493914767999823</v>
      </c>
      <c r="AY39" s="70">
        <f t="shared" si="205"/>
        <v>0.71685523689903019</v>
      </c>
      <c r="AZ39" s="70">
        <f t="shared" si="205"/>
        <v>0.67637611653753371</v>
      </c>
      <c r="BA39" s="70">
        <f t="shared" si="205"/>
        <v>0.60462003289470656</v>
      </c>
      <c r="BB39" s="70">
        <f t="shared" si="205"/>
        <v>0.76583979562138216</v>
      </c>
      <c r="BC39" s="70">
        <f t="shared" si="205"/>
        <v>0.75417058149377159</v>
      </c>
      <c r="BD39" s="70">
        <f t="shared" si="205"/>
        <v>0.69881291356580799</v>
      </c>
      <c r="BE39" s="70">
        <f t="shared" si="205"/>
        <v>0.6247235212804394</v>
      </c>
      <c r="BF39" s="70">
        <f t="shared" si="205"/>
        <v>0.76743943691376337</v>
      </c>
      <c r="BG39" s="70">
        <f t="shared" si="205"/>
        <v>0.763537575465847</v>
      </c>
      <c r="BH39" s="70">
        <f t="shared" si="205"/>
        <v>0.76164334367675368</v>
      </c>
      <c r="BI39" s="70">
        <f t="shared" si="205"/>
        <v>0.67006373741747838</v>
      </c>
      <c r="BJ39" s="70">
        <f t="shared" si="205"/>
        <v>0.79422152218218545</v>
      </c>
      <c r="BK39" s="70">
        <f t="shared" si="205"/>
        <v>0.77589977325728876</v>
      </c>
      <c r="BL39" s="70">
        <f t="shared" si="205"/>
        <v>0.75162380115143623</v>
      </c>
      <c r="BM39" s="70">
        <f t="shared" si="205"/>
        <v>0.68834667730206855</v>
      </c>
      <c r="BN39" s="70">
        <f t="shared" si="205"/>
        <v>0.79388969788075925</v>
      </c>
      <c r="BO39" s="71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6"/>
      <c r="CH39" s="36"/>
      <c r="CI39" s="36"/>
    </row>
    <row r="40" spans="1:87" s="37" customFormat="1" ht="12.75" customHeight="1">
      <c r="A40" s="69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1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6"/>
      <c r="CH40" s="36"/>
      <c r="CI40" s="36"/>
    </row>
    <row r="41" spans="1:87" s="44" customFormat="1" ht="12.75" customHeight="1">
      <c r="A41" s="72" t="s">
        <v>205</v>
      </c>
      <c r="AM41" s="44">
        <f>129-110</f>
        <v>19</v>
      </c>
      <c r="AN41" s="44">
        <f>399+62</f>
        <v>461</v>
      </c>
      <c r="AO41" s="44">
        <f>403+60</f>
        <v>463</v>
      </c>
      <c r="AP41" s="44">
        <f>145-67</f>
        <v>78</v>
      </c>
      <c r="AQ41" s="44">
        <f>136-67</f>
        <v>69</v>
      </c>
      <c r="AR41" s="44">
        <f>119-14</f>
        <v>105</v>
      </c>
      <c r="AS41" s="44">
        <f>375+83</f>
        <v>458</v>
      </c>
      <c r="AT41" s="44">
        <f>65-44</f>
        <v>21</v>
      </c>
      <c r="AU41" s="44">
        <f>89-35</f>
        <v>54</v>
      </c>
      <c r="AV41" s="44">
        <f>280+44</f>
        <v>324</v>
      </c>
      <c r="AW41" s="27">
        <f t="shared" ref="AW41:BN41" si="207">AW30-AW35</f>
        <v>467.70644047920894</v>
      </c>
      <c r="AX41" s="27">
        <f t="shared" si="207"/>
        <v>157.12710446247465</v>
      </c>
      <c r="AY41" s="27">
        <f t="shared" si="207"/>
        <v>140.30467009019858</v>
      </c>
      <c r="AZ41" s="27">
        <f t="shared" si="207"/>
        <v>278.22229872197602</v>
      </c>
      <c r="BA41" s="27">
        <f t="shared" si="207"/>
        <v>532.10186113400107</v>
      </c>
      <c r="BB41" s="27">
        <f t="shared" si="207"/>
        <v>55.379616938043291</v>
      </c>
      <c r="BC41" s="27">
        <f t="shared" si="207"/>
        <v>108.91781081636316</v>
      </c>
      <c r="BD41" s="27">
        <f t="shared" si="207"/>
        <v>268.78705344618328</v>
      </c>
      <c r="BE41" s="27">
        <f t="shared" si="207"/>
        <v>518.60557975163704</v>
      </c>
      <c r="BF41" s="27">
        <f t="shared" si="207"/>
        <v>42.71943260115885</v>
      </c>
      <c r="BG41" s="27">
        <f t="shared" si="207"/>
        <v>108.86295200473504</v>
      </c>
      <c r="BH41" s="27">
        <f t="shared" si="207"/>
        <v>419.25722852210254</v>
      </c>
      <c r="BI41" s="27">
        <f t="shared" si="207"/>
        <v>577.70114763437732</v>
      </c>
      <c r="BJ41" s="27">
        <f t="shared" si="207"/>
        <v>54.725800870801258</v>
      </c>
      <c r="BK41" s="27">
        <f t="shared" si="207"/>
        <v>116.39131006522689</v>
      </c>
      <c r="BL41" s="27">
        <f t="shared" si="207"/>
        <v>285.81128075551322</v>
      </c>
      <c r="BM41" s="27">
        <f t="shared" si="207"/>
        <v>565.61089653811155</v>
      </c>
      <c r="BN41" s="27">
        <f t="shared" si="207"/>
        <v>48.469493932823134</v>
      </c>
      <c r="BO41" s="27"/>
      <c r="BZ41" s="27">
        <f>SUM(AM41:AP41)</f>
        <v>1021</v>
      </c>
      <c r="CA41" s="27">
        <f>SUM(AQ41:AT41)</f>
        <v>653</v>
      </c>
      <c r="CB41" s="27">
        <f>SUM(AU41:AX41)</f>
        <v>1002.8335449416836</v>
      </c>
      <c r="CC41" s="27">
        <f>SUM(AY41:BB41)</f>
        <v>1006.008446884219</v>
      </c>
      <c r="CD41" s="27">
        <f>SUM(BC41:BF41)</f>
        <v>939.02987661534235</v>
      </c>
      <c r="CE41" s="27">
        <f>SUM(BG41:BJ41)</f>
        <v>1160.5471290320161</v>
      </c>
      <c r="CF41" s="27">
        <f>SUM(BK41:BN41)</f>
        <v>1016.2829812916749</v>
      </c>
    </row>
    <row r="42" spans="1:87" s="37" customFormat="1" ht="12.75" customHeight="1">
      <c r="A42" s="73" t="s">
        <v>0</v>
      </c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4"/>
      <c r="AK42" s="34"/>
      <c r="AL42" s="34"/>
      <c r="AM42" s="34" t="s">
        <v>17</v>
      </c>
      <c r="AN42" s="34">
        <f t="shared" ref="AN42:AV42" si="208">AN41/AM41-1</f>
        <v>23.263157894736842</v>
      </c>
      <c r="AO42" s="34">
        <f t="shared" si="208"/>
        <v>4.3383947939261702E-3</v>
      </c>
      <c r="AP42" s="34">
        <f t="shared" si="208"/>
        <v>-0.83153347732181426</v>
      </c>
      <c r="AQ42" s="34">
        <f t="shared" si="208"/>
        <v>-0.11538461538461542</v>
      </c>
      <c r="AR42" s="34">
        <f t="shared" si="208"/>
        <v>0.52173913043478271</v>
      </c>
      <c r="AS42" s="34">
        <f t="shared" si="208"/>
        <v>3.3619047619047615</v>
      </c>
      <c r="AT42" s="34">
        <f t="shared" si="208"/>
        <v>-0.95414847161572047</v>
      </c>
      <c r="AU42" s="34">
        <f t="shared" si="208"/>
        <v>1.5714285714285716</v>
      </c>
      <c r="AV42" s="34">
        <f t="shared" si="208"/>
        <v>5</v>
      </c>
      <c r="AW42" s="34">
        <f t="shared" ref="AW42" si="209">AW41/AV41-1</f>
        <v>0.44353839654076843</v>
      </c>
      <c r="AX42" s="34">
        <f t="shared" ref="AX42" si="210">AX41/AW41-1</f>
        <v>-0.66404759296989102</v>
      </c>
      <c r="AY42" s="34">
        <f t="shared" ref="AY42" si="211">AY41/AX41-1</f>
        <v>-0.10706258751362419</v>
      </c>
      <c r="AZ42" s="34">
        <f t="shared" ref="AZ42" si="212">AZ41/AY41-1</f>
        <v>0.98298672840407542</v>
      </c>
      <c r="BA42" s="34">
        <f t="shared" ref="BA42" si="213">BA41/AZ41-1</f>
        <v>0.9125061635182723</v>
      </c>
      <c r="BB42" s="34">
        <f t="shared" ref="BB42" si="214">BB41/BA41-1</f>
        <v>-0.89592290314486078</v>
      </c>
      <c r="BC42" s="34">
        <f t="shared" ref="BC42" si="215">BC41/BB41-1</f>
        <v>0.96674908275758664</v>
      </c>
      <c r="BD42" s="34">
        <f t="shared" ref="BD42" si="216">BD41/BC41-1</f>
        <v>1.4677970612112441</v>
      </c>
      <c r="BE42" s="34">
        <f t="shared" ref="BE42" si="217">BE41/BD41-1</f>
        <v>0.92942916372820239</v>
      </c>
      <c r="BF42" s="34">
        <f t="shared" ref="BF42" si="218">BF41/BE41-1</f>
        <v>-0.91762635368941192</v>
      </c>
      <c r="BG42" s="34">
        <f t="shared" ref="BG42" si="219">BG41/BF41-1</f>
        <v>1.5483239213664537</v>
      </c>
      <c r="BH42" s="34">
        <f t="shared" ref="BH42" si="220">BH41/BG41-1</f>
        <v>2.8512388356313063</v>
      </c>
      <c r="BI42" s="34">
        <f t="shared" ref="BI42" si="221">BI41/BH41-1</f>
        <v>0.37791577183009006</v>
      </c>
      <c r="BJ42" s="34">
        <f t="shared" ref="BJ42" si="222">BJ41/BI41-1</f>
        <v>-0.90526970373021176</v>
      </c>
      <c r="BK42" s="34">
        <f t="shared" ref="BK42" si="223">BK41/BJ41-1</f>
        <v>1.1268087120370867</v>
      </c>
      <c r="BL42" s="34">
        <f t="shared" ref="BL42" si="224">BL41/BK41-1</f>
        <v>1.4556066994635737</v>
      </c>
      <c r="BM42" s="34">
        <f t="shared" ref="BM42" si="225">BM41/BL41-1</f>
        <v>0.97896631316642346</v>
      </c>
      <c r="BN42" s="34">
        <f t="shared" ref="BN42" si="226">BN41/BM41-1</f>
        <v>-0.91430594030368506</v>
      </c>
      <c r="BO42" s="71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35" t="s">
        <v>17</v>
      </c>
      <c r="CA42" s="35" t="s">
        <v>17</v>
      </c>
      <c r="CB42" s="35" t="s">
        <v>17</v>
      </c>
      <c r="CC42" s="35" t="s">
        <v>17</v>
      </c>
      <c r="CD42" s="35" t="s">
        <v>17</v>
      </c>
      <c r="CE42" s="35" t="s">
        <v>17</v>
      </c>
      <c r="CF42" s="35" t="s">
        <v>17</v>
      </c>
      <c r="CG42" s="36"/>
      <c r="CH42" s="36"/>
      <c r="CI42" s="36"/>
    </row>
    <row r="43" spans="1:87" s="37" customFormat="1" ht="12.75" customHeight="1">
      <c r="A43" s="73" t="s">
        <v>1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4"/>
      <c r="AK43" s="34"/>
      <c r="AL43" s="34"/>
      <c r="AM43" s="34" t="s">
        <v>17</v>
      </c>
      <c r="AN43" s="34" t="s">
        <v>17</v>
      </c>
      <c r="AO43" s="34" t="s">
        <v>17</v>
      </c>
      <c r="AP43" s="34" t="s">
        <v>17</v>
      </c>
      <c r="AQ43" s="34">
        <f t="shared" ref="AQ43:AV43" si="227">AQ41/AM41-1</f>
        <v>2.6315789473684212</v>
      </c>
      <c r="AR43" s="34">
        <f t="shared" si="227"/>
        <v>-0.77223427331887207</v>
      </c>
      <c r="AS43" s="34">
        <f t="shared" si="227"/>
        <v>-1.0799136069114423E-2</v>
      </c>
      <c r="AT43" s="34">
        <f t="shared" si="227"/>
        <v>-0.73076923076923084</v>
      </c>
      <c r="AU43" s="34">
        <f t="shared" si="227"/>
        <v>-0.21739130434782605</v>
      </c>
      <c r="AV43" s="34">
        <f t="shared" si="227"/>
        <v>2.0857142857142859</v>
      </c>
      <c r="AW43" s="34">
        <f t="shared" ref="AW43:BB43" si="228">AW41/AS41-1</f>
        <v>2.1193101482988919E-2</v>
      </c>
      <c r="AX43" s="34">
        <f t="shared" si="228"/>
        <v>6.4822430696416502</v>
      </c>
      <c r="AY43" s="34">
        <f t="shared" si="228"/>
        <v>1.5982346312999738</v>
      </c>
      <c r="AZ43" s="34">
        <f t="shared" si="228"/>
        <v>-0.14128920147538271</v>
      </c>
      <c r="BA43" s="34">
        <f t="shared" si="228"/>
        <v>0.13768341652257976</v>
      </c>
      <c r="BB43" s="34">
        <f t="shared" si="228"/>
        <v>-0.64754892462701019</v>
      </c>
      <c r="BC43" s="34">
        <f t="shared" ref="BC43" si="229">BC41/AY41-1</f>
        <v>-0.22370502174772622</v>
      </c>
      <c r="BD43" s="34">
        <f t="shared" ref="BD43" si="230">BD41/AZ41-1</f>
        <v>-3.3912613471795305E-2</v>
      </c>
      <c r="BE43" s="34">
        <f t="shared" ref="BE43" si="231">BE41/BA41-1</f>
        <v>-2.5364093547053379E-2</v>
      </c>
      <c r="BF43" s="34">
        <f t="shared" ref="BF43" si="232">BF41/BB41-1</f>
        <v>-0.22860729338464358</v>
      </c>
      <c r="BG43" s="34">
        <f t="shared" ref="BG43" si="233">BG41/BC41-1</f>
        <v>-5.0367163292164285E-4</v>
      </c>
      <c r="BH43" s="34">
        <f t="shared" ref="BH43" si="234">BH41/BD41-1</f>
        <v>0.55981184043913212</v>
      </c>
      <c r="BI43" s="34">
        <f t="shared" ref="BI43" si="235">BI41/BE41-1</f>
        <v>0.11395089098547961</v>
      </c>
      <c r="BJ43" s="34">
        <f t="shared" ref="BJ43" si="236">BJ41/BF41-1</f>
        <v>0.28105167926122476</v>
      </c>
      <c r="BK43" s="34">
        <f t="shared" ref="BK43" si="237">BK41/BG41-1</f>
        <v>6.9154454493980611E-2</v>
      </c>
      <c r="BL43" s="34">
        <f t="shared" ref="BL43" si="238">BL41/BH41-1</f>
        <v>-0.3182913464294731</v>
      </c>
      <c r="BM43" s="34">
        <f t="shared" ref="BM43" si="239">BM41/BI41-1</f>
        <v>-2.092821027926639E-2</v>
      </c>
      <c r="BN43" s="34">
        <f t="shared" ref="BN43" si="240">BN41/BJ41-1</f>
        <v>-0.11432097545266173</v>
      </c>
      <c r="BO43" s="71"/>
      <c r="BP43" s="35"/>
      <c r="BQ43" s="35"/>
      <c r="BR43" s="35"/>
      <c r="BS43" s="35"/>
      <c r="BT43" s="35"/>
      <c r="BU43" s="35"/>
      <c r="BV43" s="35"/>
      <c r="BW43" s="35"/>
      <c r="BX43" s="35"/>
      <c r="BY43" s="35"/>
      <c r="BZ43" s="35" t="str">
        <f t="shared" ref="BZ43" si="241">IF(OR(AND(BY41&lt;0,BZ41&gt;0),BY41=0),"n/a",BZ41/BY41-1)</f>
        <v>n/a</v>
      </c>
      <c r="CA43" s="35">
        <f t="shared" ref="CA43" si="242">IF(OR(AND(BZ41&lt;0,CA41&gt;0),BZ41=0),"n/a",CA41/BZ41-1)</f>
        <v>-0.36043095004897163</v>
      </c>
      <c r="CB43" s="35">
        <f t="shared" ref="CB43" si="243">IF(OR(AND(CA41&lt;0,CB41&gt;0),CA41=0),"n/a",CB41/CA41-1)</f>
        <v>0.53573284064576354</v>
      </c>
      <c r="CC43" s="35">
        <f t="shared" ref="CC43" si="244">IF(OR(AND(CB41&lt;0,CC41&gt;0),CB41=0),"n/a",CC41/CB41-1)</f>
        <v>3.1659311343839036E-3</v>
      </c>
      <c r="CD43" s="35">
        <f t="shared" ref="CD43" si="245">IF(OR(AND(CC41&lt;0,CD41&gt;0),CC41=0),"n/a",CD41/CC41-1)</f>
        <v>-6.6578536667679877E-2</v>
      </c>
      <c r="CE43" s="35">
        <f t="shared" ref="CE43" si="246">IF(OR(AND(CD41&lt;0,CE41&gt;0),CD41=0),"n/a",CE41/CD41-1)</f>
        <v>0.23590011130967925</v>
      </c>
      <c r="CF43" s="35">
        <f t="shared" ref="CF43" si="247">IF(OR(AND(CE41&lt;0,CF41&gt;0),CE41=0),"n/a",CF41/CE41-1)</f>
        <v>-0.12430701358993357</v>
      </c>
      <c r="CG43" s="36"/>
      <c r="CH43" s="36"/>
      <c r="CI43" s="36"/>
    </row>
    <row r="44" spans="1:87" s="37" customFormat="1" ht="12.75" customHeight="1">
      <c r="A44" s="74" t="s">
        <v>427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70"/>
      <c r="AK44" s="70"/>
      <c r="AL44" s="70"/>
      <c r="AM44" s="70">
        <f t="shared" ref="AM44:AT44" si="248">AM41/AM$30</f>
        <v>0.2</v>
      </c>
      <c r="AN44" s="70">
        <f>AN41/AN$30</f>
        <v>0.72370486656200939</v>
      </c>
      <c r="AO44" s="70">
        <f t="shared" si="248"/>
        <v>0.59358974358974359</v>
      </c>
      <c r="AP44" s="70">
        <f t="shared" si="248"/>
        <v>0.29104477611940299</v>
      </c>
      <c r="AQ44" s="70">
        <f t="shared" si="248"/>
        <v>0.24041811846689895</v>
      </c>
      <c r="AR44" s="70">
        <f t="shared" si="248"/>
        <v>0.39473684210526316</v>
      </c>
      <c r="AS44" s="70">
        <f t="shared" si="248"/>
        <v>0.53379953379953382</v>
      </c>
      <c r="AT44" s="70">
        <f t="shared" si="248"/>
        <v>0.11229946524064172</v>
      </c>
      <c r="AU44" s="70">
        <f>AU41/AU$30</f>
        <v>0.19148936170212766</v>
      </c>
      <c r="AV44" s="70">
        <f>AV41/AV$30</f>
        <v>0.46551724137931033</v>
      </c>
      <c r="AW44" s="70">
        <f t="shared" ref="AW44:BB44" si="249">AW41/AW$30</f>
        <v>0.45897304402585448</v>
      </c>
      <c r="AX44" s="70">
        <f t="shared" si="249"/>
        <v>0.48712142441379469</v>
      </c>
      <c r="AY44" s="70">
        <f t="shared" si="249"/>
        <v>0.38202134750083605</v>
      </c>
      <c r="AZ44" s="70">
        <f t="shared" si="249"/>
        <v>0.41691714091591925</v>
      </c>
      <c r="BA44" s="70">
        <f t="shared" si="249"/>
        <v>0.47877583371145993</v>
      </c>
      <c r="BB44" s="70">
        <f t="shared" si="249"/>
        <v>0.48712142441379469</v>
      </c>
      <c r="BC44" s="70">
        <f t="shared" ref="BC44:BN44" si="250">BC41/BC$30</f>
        <v>0.38202134750083605</v>
      </c>
      <c r="BD44" s="70">
        <f t="shared" si="250"/>
        <v>0.4169171409159193</v>
      </c>
      <c r="BE44" s="70">
        <f t="shared" si="250"/>
        <v>0.47877583371145993</v>
      </c>
      <c r="BF44" s="70">
        <f t="shared" si="250"/>
        <v>0.48712142441379469</v>
      </c>
      <c r="BG44" s="70">
        <f t="shared" si="250"/>
        <v>0.38202134750083599</v>
      </c>
      <c r="BH44" s="70">
        <f t="shared" si="250"/>
        <v>0.41691714091591925</v>
      </c>
      <c r="BI44" s="70">
        <f t="shared" si="250"/>
        <v>0.47877583371145993</v>
      </c>
      <c r="BJ44" s="70">
        <f t="shared" si="250"/>
        <v>0.48712142441379469</v>
      </c>
      <c r="BK44" s="70">
        <f t="shared" si="250"/>
        <v>0.38202134750083605</v>
      </c>
      <c r="BL44" s="70">
        <f t="shared" si="250"/>
        <v>0.41691714091591925</v>
      </c>
      <c r="BM44" s="70">
        <f t="shared" si="250"/>
        <v>0.47877583371145993</v>
      </c>
      <c r="BN44" s="70">
        <f t="shared" si="250"/>
        <v>0.48712142441379469</v>
      </c>
      <c r="BO44" s="71"/>
      <c r="BP44" s="35"/>
      <c r="BQ44" s="35"/>
      <c r="BR44" s="35"/>
      <c r="BS44" s="35"/>
      <c r="BT44" s="35"/>
      <c r="BU44" s="35"/>
      <c r="BV44" s="35"/>
      <c r="BW44" s="35"/>
      <c r="BX44" s="35"/>
      <c r="BY44" s="35"/>
      <c r="BZ44" s="35">
        <f t="shared" ref="BZ44:CF44" si="251">BZ41/BZ$8</f>
        <v>0.19005956813104988</v>
      </c>
      <c r="CA44" s="35">
        <f t="shared" si="251"/>
        <v>0.10549273021001615</v>
      </c>
      <c r="CB44" s="35">
        <f t="shared" si="251"/>
        <v>0.13160405962787089</v>
      </c>
      <c r="CC44" s="35">
        <f t="shared" si="251"/>
        <v>0.12496475072119786</v>
      </c>
      <c r="CD44" s="35">
        <f t="shared" si="251"/>
        <v>0.11266107123350516</v>
      </c>
      <c r="CE44" s="35">
        <f t="shared" si="251"/>
        <v>0.12554374039615088</v>
      </c>
      <c r="CF44" s="35">
        <f t="shared" si="251"/>
        <v>0.10886923254381507</v>
      </c>
      <c r="CG44" s="36"/>
      <c r="CH44" s="36"/>
      <c r="CI44" s="36"/>
    </row>
    <row r="45" spans="1:87" s="37" customFormat="1" ht="12.75" customHeight="1">
      <c r="A45" s="38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75"/>
      <c r="AU45" s="75"/>
      <c r="AV45" s="75"/>
      <c r="AW45" s="75"/>
      <c r="AX45" s="75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40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76"/>
      <c r="CA45" s="76"/>
      <c r="CB45" s="76"/>
      <c r="CC45" s="35"/>
      <c r="CD45" s="35"/>
      <c r="CE45" s="35"/>
      <c r="CF45" s="35"/>
      <c r="CG45" s="36"/>
      <c r="CH45" s="36"/>
      <c r="CI45" s="36"/>
    </row>
    <row r="46" spans="1:87" s="32" customFormat="1" ht="12.75" customHeight="1">
      <c r="A46" s="42" t="s">
        <v>203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44"/>
      <c r="AC46" s="44"/>
      <c r="AD46" s="45"/>
      <c r="AE46" s="45"/>
      <c r="AF46" s="45"/>
      <c r="AG46" s="45"/>
      <c r="AH46" s="45"/>
      <c r="AI46" s="45">
        <f>AI150+AI119</f>
        <v>866</v>
      </c>
      <c r="AJ46" s="45">
        <f>AJ150+AJ119</f>
        <v>537</v>
      </c>
      <c r="AK46" s="45">
        <f>AK150+AK119</f>
        <v>1033</v>
      </c>
      <c r="AL46" s="45">
        <f>AL150+AL119</f>
        <v>1065</v>
      </c>
      <c r="AM46" s="44">
        <f>947-260</f>
        <v>687</v>
      </c>
      <c r="AN46" s="44">
        <f>768-92</f>
        <v>676</v>
      </c>
      <c r="AO46" s="44">
        <f>904+337</f>
        <v>1241</v>
      </c>
      <c r="AP46" s="44">
        <f>1031-43</f>
        <v>988</v>
      </c>
      <c r="AQ46" s="44">
        <f>1100+3</f>
        <v>1103</v>
      </c>
      <c r="AR46" s="44">
        <f>869-225</f>
        <v>644</v>
      </c>
      <c r="AS46" s="44">
        <f>951+591</f>
        <v>1542</v>
      </c>
      <c r="AT46" s="44">
        <f>1096+207</f>
        <v>1303</v>
      </c>
      <c r="AU46" s="44">
        <f>1229-175</f>
        <v>1054</v>
      </c>
      <c r="AV46" s="44">
        <f>1209-54</f>
        <v>1155</v>
      </c>
      <c r="AW46" s="27">
        <f t="shared" ref="AW46:BN46" si="252">AS46*(1+AW48)</f>
        <v>1619.1000000000001</v>
      </c>
      <c r="AX46" s="27">
        <f t="shared" si="252"/>
        <v>1472.3899999999999</v>
      </c>
      <c r="AY46" s="27">
        <f t="shared" si="252"/>
        <v>1148.8600000000001</v>
      </c>
      <c r="AZ46" s="27">
        <f t="shared" si="252"/>
        <v>1279.74</v>
      </c>
      <c r="BA46" s="27">
        <f t="shared" si="252"/>
        <v>1761.5808000000002</v>
      </c>
      <c r="BB46" s="27">
        <f t="shared" si="252"/>
        <v>1600.4879299999998</v>
      </c>
      <c r="BC46" s="27">
        <f t="shared" si="252"/>
        <v>1241.5898989958655</v>
      </c>
      <c r="BD46" s="27">
        <f t="shared" si="252"/>
        <v>1385.8060253097385</v>
      </c>
      <c r="BE46" s="27">
        <f t="shared" si="252"/>
        <v>1887.6990554781917</v>
      </c>
      <c r="BF46" s="27">
        <f t="shared" si="252"/>
        <v>1719.2045587735649</v>
      </c>
      <c r="BG46" s="27">
        <f t="shared" si="252"/>
        <v>1323.9593608682817</v>
      </c>
      <c r="BH46" s="27">
        <f t="shared" si="252"/>
        <v>1479.291766128325</v>
      </c>
      <c r="BI46" s="27">
        <f t="shared" si="252"/>
        <v>2003.9565571520616</v>
      </c>
      <c r="BJ46" s="27">
        <f t="shared" si="252"/>
        <v>1827.4128202695433</v>
      </c>
      <c r="BK46" s="27">
        <f t="shared" si="252"/>
        <v>1412.4762925265809</v>
      </c>
      <c r="BL46" s="27">
        <f t="shared" si="252"/>
        <v>1579.8713379431508</v>
      </c>
      <c r="BM46" s="27">
        <f t="shared" si="252"/>
        <v>2128.2141887996213</v>
      </c>
      <c r="BN46" s="27">
        <f t="shared" si="252"/>
        <v>1943.2562981960502</v>
      </c>
      <c r="BO46" s="28"/>
      <c r="BP46" s="68"/>
      <c r="BQ46" s="68"/>
      <c r="BR46" s="68"/>
      <c r="BS46" s="68"/>
      <c r="BT46" s="68"/>
      <c r="BU46" s="68"/>
      <c r="BV46" s="68"/>
      <c r="BW46" s="68"/>
      <c r="BX46" s="68"/>
      <c r="BY46" s="49">
        <f>SUM(AI46:AL46)</f>
        <v>3501</v>
      </c>
      <c r="BZ46" s="49">
        <f>SUM(AM46:AP46)</f>
        <v>3592</v>
      </c>
      <c r="CA46" s="49">
        <f>SUM(AQ46:AT46)</f>
        <v>4592</v>
      </c>
      <c r="CB46" s="49">
        <f>SUM(AU46:AX46)</f>
        <v>5300.49</v>
      </c>
      <c r="CC46" s="49">
        <f>SUM(AY46:BB46)</f>
        <v>5790.6687299999994</v>
      </c>
      <c r="CD46" s="49">
        <f>SUM(BC46:BF46)</f>
        <v>6234.2995385573604</v>
      </c>
      <c r="CE46" s="49">
        <f>SUM(BG46:BJ46)</f>
        <v>6634.6205044182116</v>
      </c>
      <c r="CF46" s="49">
        <f>SUM(BK46:BN46)</f>
        <v>7063.8181174654028</v>
      </c>
      <c r="CG46" s="31"/>
      <c r="CH46" s="31"/>
      <c r="CI46" s="31"/>
    </row>
    <row r="47" spans="1:87" s="37" customFormat="1" ht="12.75" customHeight="1">
      <c r="A47" s="69" t="s">
        <v>0</v>
      </c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1">
        <f t="shared" ref="AG47:AH47" si="253">AG52+AG58</f>
        <v>970</v>
      </c>
      <c r="AH47" s="31">
        <f t="shared" si="253"/>
        <v>859</v>
      </c>
      <c r="AI47" s="31"/>
      <c r="AJ47" s="31"/>
      <c r="AK47" s="31"/>
      <c r="AL47" s="31"/>
      <c r="AM47" s="77" t="s">
        <v>17</v>
      </c>
      <c r="AN47" s="34">
        <f t="shared" ref="AN47:BB47" si="254">AN46/AM46-1</f>
        <v>-1.6011644832605532E-2</v>
      </c>
      <c r="AO47" s="34">
        <f t="shared" si="254"/>
        <v>0.83579881656804744</v>
      </c>
      <c r="AP47" s="34">
        <f t="shared" si="254"/>
        <v>-0.20386784850926676</v>
      </c>
      <c r="AQ47" s="34">
        <f t="shared" si="254"/>
        <v>0.1163967611336032</v>
      </c>
      <c r="AR47" s="34">
        <f t="shared" si="254"/>
        <v>-0.41613780598368089</v>
      </c>
      <c r="AS47" s="34">
        <f t="shared" si="254"/>
        <v>1.3944099378881987</v>
      </c>
      <c r="AT47" s="34">
        <f t="shared" si="254"/>
        <v>-0.15499351491569391</v>
      </c>
      <c r="AU47" s="34">
        <f t="shared" si="254"/>
        <v>-0.1910974673829624</v>
      </c>
      <c r="AV47" s="34">
        <f t="shared" si="254"/>
        <v>9.5825426944971648E-2</v>
      </c>
      <c r="AW47" s="34">
        <f t="shared" si="254"/>
        <v>0.40181818181818185</v>
      </c>
      <c r="AX47" s="34">
        <f t="shared" si="254"/>
        <v>-9.0612068433080228E-2</v>
      </c>
      <c r="AY47" s="34">
        <f t="shared" si="254"/>
        <v>-0.21973118535170688</v>
      </c>
      <c r="AZ47" s="34">
        <f t="shared" si="254"/>
        <v>0.11392162665598926</v>
      </c>
      <c r="BA47" s="34">
        <f t="shared" si="254"/>
        <v>0.37651460452904506</v>
      </c>
      <c r="BB47" s="34">
        <f t="shared" si="254"/>
        <v>-9.1447902929005842E-2</v>
      </c>
      <c r="BC47" s="34">
        <f t="shared" ref="BC47" si="255">BC46/BB46-1</f>
        <v>-0.22424288510825219</v>
      </c>
      <c r="BD47" s="34">
        <f t="shared" ref="BD47" si="256">BD46/BC46-1</f>
        <v>0.11615439722126264</v>
      </c>
      <c r="BE47" s="34">
        <f t="shared" ref="BE47" si="257">BE46/BD46-1</f>
        <v>0.36216686967880385</v>
      </c>
      <c r="BF47" s="34">
        <f t="shared" ref="BF47" si="258">BF46/BE46-1</f>
        <v>-8.9259194263856756E-2</v>
      </c>
      <c r="BG47" s="34">
        <f t="shared" ref="BG47" si="259">BG46/BF46-1</f>
        <v>-0.2299000406253231</v>
      </c>
      <c r="BH47" s="34">
        <f t="shared" ref="BH47" si="260">BH46/BG46-1</f>
        <v>0.11732414895134924</v>
      </c>
      <c r="BI47" s="34">
        <f t="shared" ref="BI47" si="261">BI46/BH46-1</f>
        <v>0.35467296110010471</v>
      </c>
      <c r="BJ47" s="34">
        <f t="shared" ref="BJ47" si="262">BJ46/BI46-1</f>
        <v>-8.8097586872549205E-2</v>
      </c>
      <c r="BK47" s="34">
        <f t="shared" ref="BK47" si="263">BK46/BJ46-1</f>
        <v>-0.2270622834318079</v>
      </c>
      <c r="BL47" s="34">
        <f t="shared" ref="BL47" si="264">BL46/BK46-1</f>
        <v>0.11851175577406714</v>
      </c>
      <c r="BM47" s="34">
        <f t="shared" ref="BM47" si="265">BM46/BL46-1</f>
        <v>0.34708070061601548</v>
      </c>
      <c r="BN47" s="34">
        <f t="shared" ref="BN47" si="266">BN46/BM46-1</f>
        <v>-8.6907554501313156E-2</v>
      </c>
      <c r="BO47" s="35"/>
      <c r="BP47" s="35"/>
      <c r="BQ47" s="35"/>
      <c r="BR47" s="35"/>
      <c r="BS47" s="35"/>
      <c r="BT47" s="35"/>
      <c r="BU47" s="35"/>
      <c r="BV47" s="35"/>
      <c r="BW47" s="35"/>
      <c r="BX47" s="35"/>
      <c r="BY47" s="35" t="s">
        <v>17</v>
      </c>
      <c r="BZ47" s="35" t="s">
        <v>17</v>
      </c>
      <c r="CA47" s="35" t="s">
        <v>17</v>
      </c>
      <c r="CB47" s="35" t="s">
        <v>17</v>
      </c>
      <c r="CC47" s="35" t="s">
        <v>17</v>
      </c>
      <c r="CD47" s="35" t="s">
        <v>17</v>
      </c>
      <c r="CE47" s="35" t="s">
        <v>17</v>
      </c>
      <c r="CF47" s="35" t="s">
        <v>17</v>
      </c>
      <c r="CG47" s="36"/>
      <c r="CH47" s="36"/>
      <c r="CI47" s="36"/>
    </row>
    <row r="48" spans="1:87" s="37" customFormat="1" ht="12.75" customHeight="1">
      <c r="A48" s="69" t="s">
        <v>1</v>
      </c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77" t="s">
        <v>17</v>
      </c>
      <c r="AN48" s="77" t="s">
        <v>17</v>
      </c>
      <c r="AO48" s="77" t="s">
        <v>17</v>
      </c>
      <c r="AP48" s="77" t="s">
        <v>17</v>
      </c>
      <c r="AQ48" s="34">
        <f t="shared" ref="AQ48:AV48" si="267">AQ46/AM46-1</f>
        <v>0.6055312954876273</v>
      </c>
      <c r="AR48" s="34">
        <f t="shared" si="267"/>
        <v>-4.7337278106508895E-2</v>
      </c>
      <c r="AS48" s="34">
        <f t="shared" si="267"/>
        <v>0.24254633360193401</v>
      </c>
      <c r="AT48" s="34">
        <f t="shared" si="267"/>
        <v>0.31882591093117418</v>
      </c>
      <c r="AU48" s="34">
        <f t="shared" si="267"/>
        <v>-4.4424297370806887E-2</v>
      </c>
      <c r="AV48" s="34">
        <f t="shared" si="267"/>
        <v>0.79347826086956519</v>
      </c>
      <c r="AW48" s="1">
        <v>0.05</v>
      </c>
      <c r="AX48" s="1">
        <v>0.13</v>
      </c>
      <c r="AY48" s="1">
        <v>0.09</v>
      </c>
      <c r="AZ48" s="1">
        <v>0.108</v>
      </c>
      <c r="BA48" s="1">
        <v>8.7999999999999995E-2</v>
      </c>
      <c r="BB48" s="1">
        <v>8.6999999999999994E-2</v>
      </c>
      <c r="BC48" s="1">
        <v>8.0714707619610193E-2</v>
      </c>
      <c r="BD48" s="1">
        <v>8.2880917459592141E-2</v>
      </c>
      <c r="BE48" s="1">
        <v>7.1593795458142706E-2</v>
      </c>
      <c r="BF48" s="1">
        <v>7.4175272770451439E-2</v>
      </c>
      <c r="BG48" s="1">
        <v>6.6341923318667728E-2</v>
      </c>
      <c r="BH48" s="1">
        <v>6.7459470597764026E-2</v>
      </c>
      <c r="BI48" s="1">
        <v>6.1586883426404837E-2</v>
      </c>
      <c r="BJ48" s="1">
        <v>6.2940887949466173E-2</v>
      </c>
      <c r="BK48" s="1">
        <v>6.6857740709086233E-2</v>
      </c>
      <c r="BL48" s="1">
        <v>6.7991706651668649E-2</v>
      </c>
      <c r="BM48" s="1">
        <v>6.2006150384891212E-2</v>
      </c>
      <c r="BN48" s="1">
        <v>6.3392068087505304E-2</v>
      </c>
      <c r="BO48" s="40"/>
      <c r="BP48" s="35"/>
      <c r="BQ48" s="35"/>
      <c r="BR48" s="35"/>
      <c r="BS48" s="35"/>
      <c r="BT48" s="35"/>
      <c r="BU48" s="35"/>
      <c r="BV48" s="35"/>
      <c r="BW48" s="35"/>
      <c r="BX48" s="35"/>
      <c r="BY48" s="35" t="s">
        <v>17</v>
      </c>
      <c r="BZ48" s="35">
        <f t="shared" ref="BZ48:CF48" si="268">IF(OR(AND(BY46&lt;0,BZ46&gt;0),BY46=0),"n/a",BZ46/BY46-1)</f>
        <v>2.5992573550414066E-2</v>
      </c>
      <c r="CA48" s="35">
        <f t="shared" si="268"/>
        <v>0.27839643652561241</v>
      </c>
      <c r="CB48" s="35">
        <f t="shared" si="268"/>
        <v>0.15428789198606263</v>
      </c>
      <c r="CC48" s="35">
        <f t="shared" si="268"/>
        <v>9.2478002977083085E-2</v>
      </c>
      <c r="CD48" s="35">
        <f t="shared" si="268"/>
        <v>7.6611325779874395E-2</v>
      </c>
      <c r="CE48" s="35">
        <f t="shared" si="268"/>
        <v>6.4212661484258193E-2</v>
      </c>
      <c r="CF48" s="35">
        <f t="shared" si="268"/>
        <v>6.4690604799682916E-2</v>
      </c>
      <c r="CG48" s="36"/>
      <c r="CH48" s="36"/>
      <c r="CI48" s="36"/>
    </row>
    <row r="49" spans="1:87" s="37" customFormat="1" ht="12.75" customHeight="1">
      <c r="A49" s="69" t="s">
        <v>98</v>
      </c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70">
        <f t="shared" ref="AM49:BB49" si="269">AM46/AM$8</f>
        <v>0.87851662404092068</v>
      </c>
      <c r="AN49" s="70">
        <f>AN46/AN$8</f>
        <v>0.51485148514851486</v>
      </c>
      <c r="AO49" s="70">
        <f t="shared" si="269"/>
        <v>0.61405244928253344</v>
      </c>
      <c r="AP49" s="70">
        <f t="shared" si="269"/>
        <v>0.7866242038216561</v>
      </c>
      <c r="AQ49" s="70">
        <f t="shared" si="269"/>
        <v>0.79352517985611515</v>
      </c>
      <c r="AR49" s="70">
        <f t="shared" si="269"/>
        <v>0.70769230769230773</v>
      </c>
      <c r="AS49" s="70">
        <f t="shared" si="269"/>
        <v>0.64249999999999996</v>
      </c>
      <c r="AT49" s="70">
        <f t="shared" si="269"/>
        <v>0.87449664429530205</v>
      </c>
      <c r="AU49" s="70">
        <f t="shared" si="269"/>
        <v>0.78892215568862278</v>
      </c>
      <c r="AV49" s="70">
        <f t="shared" ref="AV49" si="270">AV46/AV$8</f>
        <v>0.62398703403565636</v>
      </c>
      <c r="AW49" s="70">
        <f t="shared" si="269"/>
        <v>0.61373061628687953</v>
      </c>
      <c r="AX49" s="70">
        <f t="shared" si="269"/>
        <v>0.82029468746387435</v>
      </c>
      <c r="AY49" s="70">
        <f t="shared" si="269"/>
        <v>0.75775864557137906</v>
      </c>
      <c r="AZ49" s="70">
        <f t="shared" si="269"/>
        <v>0.65726370916171295</v>
      </c>
      <c r="BA49" s="70">
        <f t="shared" si="269"/>
        <v>0.61315867307877903</v>
      </c>
      <c r="BB49" s="70">
        <f t="shared" si="269"/>
        <v>0.93367802500821051</v>
      </c>
      <c r="BC49" s="70">
        <f t="shared" ref="BC49:BN49" si="271">BC46/BC$8</f>
        <v>0.81325120216766944</v>
      </c>
      <c r="BD49" s="70">
        <f t="shared" si="271"/>
        <v>0.68249247750616127</v>
      </c>
      <c r="BE49" s="70">
        <f t="shared" si="271"/>
        <v>0.63539853223506371</v>
      </c>
      <c r="BF49" s="70">
        <f t="shared" si="271"/>
        <v>0.95146516226704969</v>
      </c>
      <c r="BG49" s="70">
        <f t="shared" si="271"/>
        <v>0.82288445552340483</v>
      </c>
      <c r="BH49" s="70">
        <f t="shared" si="271"/>
        <v>0.59531129072854883</v>
      </c>
      <c r="BI49" s="70">
        <f t="shared" si="271"/>
        <v>0.62417315786416205</v>
      </c>
      <c r="BJ49" s="70">
        <f t="shared" si="271"/>
        <v>0.94208283210420696</v>
      </c>
      <c r="BK49" s="70">
        <f t="shared" si="271"/>
        <v>0.82257081632137774</v>
      </c>
      <c r="BL49" s="70">
        <f t="shared" si="271"/>
        <v>0.69738983714392933</v>
      </c>
      <c r="BM49" s="70">
        <f t="shared" si="271"/>
        <v>0.64304599990679578</v>
      </c>
      <c r="BN49" s="70">
        <f t="shared" si="271"/>
        <v>0.95129042974263489</v>
      </c>
      <c r="BO49" s="71"/>
      <c r="BP49" s="35"/>
      <c r="BQ49" s="35"/>
      <c r="BR49" s="35"/>
      <c r="BS49" s="35"/>
      <c r="BT49" s="35"/>
      <c r="BU49" s="35"/>
      <c r="BV49" s="35"/>
      <c r="BW49" s="35"/>
      <c r="BX49" s="35"/>
      <c r="BY49" s="35">
        <f t="shared" ref="BY49:CF49" si="272">BY46/BY$8</f>
        <v>0.70813106796116509</v>
      </c>
      <c r="BZ49" s="35">
        <f t="shared" si="272"/>
        <v>0.66865227103499625</v>
      </c>
      <c r="CA49" s="35">
        <f t="shared" si="272"/>
        <v>0.74184168012924068</v>
      </c>
      <c r="CB49" s="35">
        <f t="shared" si="272"/>
        <v>0.69559500231665861</v>
      </c>
      <c r="CC49" s="35">
        <f t="shared" si="272"/>
        <v>0.71930755312710359</v>
      </c>
      <c r="CD49" s="35">
        <f t="shared" si="272"/>
        <v>0.74796647252165138</v>
      </c>
      <c r="CE49" s="35">
        <f t="shared" si="272"/>
        <v>0.71770896105562743</v>
      </c>
      <c r="CF49" s="35">
        <f t="shared" si="272"/>
        <v>0.75671094708299691</v>
      </c>
      <c r="CG49" s="36"/>
      <c r="CH49" s="36"/>
      <c r="CI49" s="36"/>
    </row>
    <row r="50" spans="1:87" s="37" customFormat="1" ht="12.75" customHeight="1">
      <c r="A50" s="73" t="s">
        <v>455</v>
      </c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70">
        <f t="shared" ref="AI50:AK50" si="273">AI46/$BY$46</f>
        <v>0.24735789774350186</v>
      </c>
      <c r="AJ50" s="70">
        <f t="shared" si="273"/>
        <v>0.15338474721508141</v>
      </c>
      <c r="AK50" s="70">
        <f t="shared" si="273"/>
        <v>0.29505855469865755</v>
      </c>
      <c r="AL50" s="70">
        <f>AL46/$BY$46</f>
        <v>0.3041988003427592</v>
      </c>
      <c r="AM50" s="70">
        <f>AM46/$BZ$46</f>
        <v>0.19125835189309576</v>
      </c>
      <c r="AN50" s="70">
        <f t="shared" ref="AN50:AP50" si="274">AN46/$BZ$46</f>
        <v>0.18819599109131402</v>
      </c>
      <c r="AO50" s="70">
        <f t="shared" si="274"/>
        <v>0.3454899777282851</v>
      </c>
      <c r="AP50" s="70">
        <f t="shared" si="274"/>
        <v>0.27505567928730512</v>
      </c>
      <c r="AQ50" s="70">
        <f>AQ46/$CA$46</f>
        <v>0.24020034843205576</v>
      </c>
      <c r="AR50" s="70">
        <f t="shared" ref="AR50:AT50" si="275">AR46/$CA$46</f>
        <v>0.1402439024390244</v>
      </c>
      <c r="AS50" s="70">
        <f t="shared" si="275"/>
        <v>0.33580139372822299</v>
      </c>
      <c r="AT50" s="70">
        <f t="shared" si="275"/>
        <v>0.28375435540069688</v>
      </c>
      <c r="AU50" s="70">
        <f>AU46/$CB$46</f>
        <v>0.19884954032551708</v>
      </c>
      <c r="AV50" s="70">
        <f>AV46/$CB$46</f>
        <v>0.21790438242502108</v>
      </c>
      <c r="AW50" s="70">
        <f t="shared" ref="AW50:AX50" si="276">AW46/$CB$46</f>
        <v>0.30546232518125688</v>
      </c>
      <c r="AX50" s="70">
        <f t="shared" si="276"/>
        <v>0.27778375206820499</v>
      </c>
      <c r="AY50" s="70">
        <f>AY46/$CC$46</f>
        <v>0.19839850172192466</v>
      </c>
      <c r="AZ50" s="70">
        <f t="shared" ref="AZ50:BB50" si="277">AZ46/$CC$46</f>
        <v>0.2210003817641974</v>
      </c>
      <c r="BA50" s="70">
        <f t="shared" si="277"/>
        <v>0.30421025310491218</v>
      </c>
      <c r="BB50" s="70">
        <f t="shared" si="277"/>
        <v>0.2763908634089659</v>
      </c>
      <c r="BC50" s="70">
        <f>BC46/$CD$46</f>
        <v>0.19915467508691023</v>
      </c>
      <c r="BD50" s="70">
        <f t="shared" ref="BD50:BF50" si="278">BD46/$CD$46</f>
        <v>0.22228736632542667</v>
      </c>
      <c r="BE50" s="70">
        <f t="shared" si="278"/>
        <v>0.30279248595665204</v>
      </c>
      <c r="BF50" s="70">
        <f t="shared" si="278"/>
        <v>0.27576547263101109</v>
      </c>
      <c r="BG50" s="70">
        <f>BG46/$CE$46</f>
        <v>0.1995531409801983</v>
      </c>
      <c r="BH50" s="70">
        <f t="shared" ref="BH50:BJ50" si="279">BH46/$CE$46</f>
        <v>0.22296554341626865</v>
      </c>
      <c r="BI50" s="70">
        <f t="shared" si="279"/>
        <v>0.30204539292301064</v>
      </c>
      <c r="BJ50" s="70">
        <f t="shared" si="279"/>
        <v>0.27543592268052242</v>
      </c>
      <c r="BK50" s="70">
        <f>BK46/$CF$46</f>
        <v>0.19995932356103716</v>
      </c>
      <c r="BL50" s="70">
        <f t="shared" ref="BL50:BN50" si="280">BL46/$CF$46</f>
        <v>0.22365685407965047</v>
      </c>
      <c r="BM50" s="70">
        <f t="shared" si="280"/>
        <v>0.3012838316911895</v>
      </c>
      <c r="BN50" s="70">
        <f t="shared" si="280"/>
        <v>0.27509999066812296</v>
      </c>
      <c r="BO50" s="71"/>
      <c r="BP50" s="35"/>
      <c r="BQ50" s="35"/>
      <c r="BR50" s="35"/>
      <c r="BS50" s="35"/>
      <c r="BT50" s="35"/>
      <c r="BU50" s="35"/>
      <c r="BV50" s="35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6"/>
      <c r="CH50" s="36"/>
      <c r="CI50" s="36"/>
    </row>
    <row r="51" spans="1:87" s="37" customFormat="1" ht="12.75" customHeight="1">
      <c r="A51" s="69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70"/>
      <c r="AN51" s="70"/>
      <c r="AO51" s="70"/>
      <c r="AP51" s="70"/>
      <c r="AQ51" s="70"/>
      <c r="AR51" s="70"/>
      <c r="AS51" s="70"/>
      <c r="AT51" s="70"/>
      <c r="AU51" s="70"/>
      <c r="AV51" s="78"/>
      <c r="AW51" s="78"/>
      <c r="AX51" s="78"/>
      <c r="AY51" s="78"/>
      <c r="AZ51" s="78"/>
      <c r="BA51" s="78"/>
      <c r="BB51" s="78"/>
      <c r="BC51" s="78"/>
      <c r="BD51" s="78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1"/>
      <c r="BP51" s="35"/>
      <c r="BQ51" s="35"/>
      <c r="BR51" s="35"/>
      <c r="BS51" s="35"/>
      <c r="BT51" s="35"/>
      <c r="BU51" s="35"/>
      <c r="BV51" s="35"/>
      <c r="BW51" s="35"/>
      <c r="BX51" s="35"/>
      <c r="BY51" s="35"/>
      <c r="BZ51" s="35"/>
      <c r="CA51" s="35"/>
      <c r="CB51" s="35"/>
      <c r="CC51" s="35"/>
      <c r="CD51" s="35"/>
      <c r="CE51" s="35"/>
      <c r="CF51" s="35"/>
      <c r="CG51" s="36"/>
      <c r="CH51" s="36"/>
      <c r="CI51" s="36"/>
    </row>
    <row r="52" spans="1:87" s="64" customFormat="1" ht="12.75" customHeight="1">
      <c r="A52" s="72" t="s">
        <v>425</v>
      </c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45">
        <f t="shared" ref="AE52:AH52" si="281">AE13+AE18-AE30</f>
        <v>420</v>
      </c>
      <c r="AF52" s="45">
        <f t="shared" si="281"/>
        <v>310</v>
      </c>
      <c r="AG52" s="45">
        <f t="shared" si="281"/>
        <v>783</v>
      </c>
      <c r="AH52" s="45">
        <f t="shared" si="281"/>
        <v>681</v>
      </c>
      <c r="AI52" s="45"/>
      <c r="AJ52" s="45"/>
      <c r="AK52" s="45"/>
      <c r="AL52" s="45"/>
      <c r="AM52" s="45">
        <f t="shared" ref="AM52:AU52" si="282">AM13+AM18-AM30</f>
        <v>516</v>
      </c>
      <c r="AN52" s="45">
        <f t="shared" si="282"/>
        <v>510</v>
      </c>
      <c r="AO52" s="45">
        <f t="shared" si="282"/>
        <v>1056</v>
      </c>
      <c r="AP52" s="45">
        <f t="shared" si="282"/>
        <v>798</v>
      </c>
      <c r="AQ52" s="45">
        <f t="shared" si="282"/>
        <v>877</v>
      </c>
      <c r="AR52" s="45">
        <f t="shared" si="282"/>
        <v>472</v>
      </c>
      <c r="AS52" s="45">
        <f t="shared" si="282"/>
        <v>1351</v>
      </c>
      <c r="AT52" s="45">
        <f t="shared" si="282"/>
        <v>1109</v>
      </c>
      <c r="AU52" s="45">
        <f t="shared" si="282"/>
        <v>782</v>
      </c>
      <c r="AV52" s="45">
        <f t="shared" ref="AV52" si="283">AV13+AV18-AV30</f>
        <v>876</v>
      </c>
      <c r="AW52" s="45">
        <f t="shared" ref="AW52:BN52" si="284">AW13+AW18-AW30</f>
        <v>1309.6800000000003</v>
      </c>
      <c r="AX52" s="45">
        <f t="shared" si="284"/>
        <v>1161.9899999999998</v>
      </c>
      <c r="AY52" s="45">
        <f t="shared" si="284"/>
        <v>795.26</v>
      </c>
      <c r="AZ52" s="45">
        <f t="shared" si="284"/>
        <v>930.99</v>
      </c>
      <c r="BA52" s="45">
        <f t="shared" si="284"/>
        <v>1374.8058000000001</v>
      </c>
      <c r="BB52" s="45">
        <f t="shared" si="284"/>
        <v>1221.7999299999997</v>
      </c>
      <c r="BC52" s="45">
        <f t="shared" si="284"/>
        <v>834.94989899586562</v>
      </c>
      <c r="BD52" s="45">
        <f t="shared" si="284"/>
        <v>984.74352530973852</v>
      </c>
      <c r="BE52" s="45">
        <f t="shared" si="284"/>
        <v>1442.9078054781919</v>
      </c>
      <c r="BF52" s="45">
        <f t="shared" si="284"/>
        <v>1283.713358773565</v>
      </c>
      <c r="BG52" s="45">
        <f t="shared" si="284"/>
        <v>876.65536086828172</v>
      </c>
      <c r="BH52" s="45">
        <f t="shared" si="284"/>
        <v>1038.1230161283249</v>
      </c>
      <c r="BI52" s="45">
        <f t="shared" si="284"/>
        <v>1514.6861821520617</v>
      </c>
      <c r="BJ52" s="45">
        <f t="shared" si="284"/>
        <v>1348.3725002695433</v>
      </c>
      <c r="BK52" s="45">
        <f t="shared" si="284"/>
        <v>920.44189252658089</v>
      </c>
      <c r="BL52" s="45">
        <f t="shared" si="284"/>
        <v>1094.5857129431506</v>
      </c>
      <c r="BM52" s="45">
        <f t="shared" si="284"/>
        <v>1590.0167762996211</v>
      </c>
      <c r="BN52" s="45">
        <f t="shared" si="284"/>
        <v>1416.3119461960505</v>
      </c>
      <c r="BO52" s="79"/>
      <c r="BP52" s="80"/>
      <c r="BQ52" s="80"/>
      <c r="BR52" s="80"/>
      <c r="BS52" s="80"/>
      <c r="BT52" s="80"/>
      <c r="BU52" s="80"/>
      <c r="BV52" s="80"/>
      <c r="BW52" s="80"/>
      <c r="BX52" s="80"/>
      <c r="BY52" s="49"/>
      <c r="BZ52" s="49">
        <f>SUM(AM52:AP52)</f>
        <v>2880</v>
      </c>
      <c r="CA52" s="49">
        <f>SUM(AQ52:AT52)</f>
        <v>3809</v>
      </c>
      <c r="CB52" s="49">
        <f>SUM(AU52:AX52)</f>
        <v>4129.67</v>
      </c>
      <c r="CC52" s="49">
        <f>SUM(AY52:BB52)</f>
        <v>4322.8557299999993</v>
      </c>
      <c r="CD52" s="49">
        <f>SUM(BC52:BF52)</f>
        <v>4546.3145885573613</v>
      </c>
      <c r="CE52" s="49">
        <f>SUM(BG52:BJ52)</f>
        <v>4777.8370594182124</v>
      </c>
      <c r="CF52" s="49">
        <f>SUM(BK52:BN52)</f>
        <v>5021.3563279654027</v>
      </c>
      <c r="CG52" s="60"/>
      <c r="CH52" s="60"/>
      <c r="CI52" s="60"/>
    </row>
    <row r="53" spans="1:87" s="37" customFormat="1" ht="12.75" customHeight="1">
      <c r="A53" s="73" t="s">
        <v>0</v>
      </c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 t="s">
        <v>17</v>
      </c>
      <c r="AN53" s="34">
        <f t="shared" ref="AN53" si="285">AN52/AM52-1</f>
        <v>-1.1627906976744207E-2</v>
      </c>
      <c r="AO53" s="34">
        <f t="shared" ref="AO53" si="286">AO52/AN52-1</f>
        <v>1.0705882352941178</v>
      </c>
      <c r="AP53" s="34">
        <f t="shared" ref="AP53" si="287">AP52/AO52-1</f>
        <v>-0.24431818181818177</v>
      </c>
      <c r="AQ53" s="34">
        <f t="shared" ref="AQ53" si="288">AQ52/AP52-1</f>
        <v>9.8997493734335862E-2</v>
      </c>
      <c r="AR53" s="34">
        <f t="shared" ref="AR53" si="289">AR52/AQ52-1</f>
        <v>-0.46180159635119722</v>
      </c>
      <c r="AS53" s="34">
        <f t="shared" ref="AS53" si="290">AS52/AR52-1</f>
        <v>1.8622881355932202</v>
      </c>
      <c r="AT53" s="34">
        <f t="shared" ref="AT53" si="291">AT52/AS52-1</f>
        <v>-0.17912657290895628</v>
      </c>
      <c r="AU53" s="34">
        <f t="shared" ref="AU53:AV53" si="292">AU52/AT52-1</f>
        <v>-0.2948602344454464</v>
      </c>
      <c r="AV53" s="34">
        <f t="shared" si="292"/>
        <v>0.12020460358056262</v>
      </c>
      <c r="AW53" s="34">
        <f t="shared" ref="AW53" si="293">AW52/AV52-1</f>
        <v>0.49506849315068524</v>
      </c>
      <c r="AX53" s="34">
        <f t="shared" ref="AX53" si="294">AX52/AW52-1</f>
        <v>-0.11276800439802126</v>
      </c>
      <c r="AY53" s="34">
        <f t="shared" ref="AY53" si="295">AY52/AX52-1</f>
        <v>-0.31560512568954968</v>
      </c>
      <c r="AZ53" s="34">
        <f t="shared" ref="AZ53" si="296">AZ52/AY52-1</f>
        <v>0.17067374192088125</v>
      </c>
      <c r="BA53" s="34">
        <f t="shared" ref="BA53" si="297">BA52/AZ52-1</f>
        <v>0.47671382077143698</v>
      </c>
      <c r="BB53" s="34">
        <f t="shared" ref="BB53" si="298">BB52/BA52-1</f>
        <v>-0.11129271494199433</v>
      </c>
      <c r="BC53" s="34">
        <f t="shared" ref="BC53" si="299">BC52/BB52-1</f>
        <v>-0.31662305873935859</v>
      </c>
      <c r="BD53" s="34">
        <f t="shared" ref="BD53" si="300">BD52/BC52-1</f>
        <v>0.17940432892323122</v>
      </c>
      <c r="BE53" s="34">
        <f t="shared" ref="BE53" si="301">BE52/BD52-1</f>
        <v>0.46526254643242626</v>
      </c>
      <c r="BF53" s="34">
        <f t="shared" ref="BF53" si="302">BF52/BE52-1</f>
        <v>-0.11032891089799635</v>
      </c>
      <c r="BG53" s="34">
        <f t="shared" ref="BG53" si="303">BG52/BF52-1</f>
        <v>-0.31709415121626428</v>
      </c>
      <c r="BH53" s="34">
        <f t="shared" ref="BH53" si="304">BH52/BG52-1</f>
        <v>0.18418601250566446</v>
      </c>
      <c r="BI53" s="34">
        <f t="shared" ref="BI53" si="305">BI52/BH52-1</f>
        <v>0.45906232558168014</v>
      </c>
      <c r="BJ53" s="34">
        <f t="shared" ref="BJ53" si="306">BJ52/BI52-1</f>
        <v>-0.10980075202522843</v>
      </c>
      <c r="BK53" s="34">
        <f t="shared" ref="BK53" si="307">BK52/BJ52-1</f>
        <v>-0.31736824034709832</v>
      </c>
      <c r="BL53" s="34">
        <f t="shared" ref="BL53" si="308">BL52/BK52-1</f>
        <v>0.18919588713911217</v>
      </c>
      <c r="BM53" s="34">
        <f t="shared" ref="BM53" si="309">BM52/BL52-1</f>
        <v>0.45261970579201383</v>
      </c>
      <c r="BN53" s="34">
        <f t="shared" ref="BN53" si="310">BN52/BM52-1</f>
        <v>-0.10924716813858193</v>
      </c>
      <c r="BO53" s="40"/>
      <c r="BP53" s="35"/>
      <c r="BQ53" s="35"/>
      <c r="BR53" s="35"/>
      <c r="BS53" s="35"/>
      <c r="BT53" s="35"/>
      <c r="BU53" s="35"/>
      <c r="BV53" s="35"/>
      <c r="BW53" s="35"/>
      <c r="BX53" s="35"/>
      <c r="BY53" s="35"/>
      <c r="BZ53" s="35" t="s">
        <v>17</v>
      </c>
      <c r="CA53" s="35" t="s">
        <v>17</v>
      </c>
      <c r="CB53" s="35" t="s">
        <v>17</v>
      </c>
      <c r="CC53" s="35" t="s">
        <v>17</v>
      </c>
      <c r="CD53" s="35" t="s">
        <v>17</v>
      </c>
      <c r="CE53" s="35" t="s">
        <v>17</v>
      </c>
      <c r="CF53" s="35" t="s">
        <v>17</v>
      </c>
      <c r="CG53" s="36"/>
      <c r="CH53" s="36"/>
      <c r="CI53" s="36"/>
    </row>
    <row r="54" spans="1:87" s="37" customFormat="1" ht="12.75" customHeight="1">
      <c r="A54" s="73" t="s">
        <v>1</v>
      </c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 t="s">
        <v>17</v>
      </c>
      <c r="AN54" s="34" t="s">
        <v>17</v>
      </c>
      <c r="AO54" s="34" t="s">
        <v>17</v>
      </c>
      <c r="AP54" s="34" t="s">
        <v>17</v>
      </c>
      <c r="AQ54" s="34">
        <f t="shared" ref="AQ54:AV54" si="311">AQ52/AM52-1</f>
        <v>0.6996124031007751</v>
      </c>
      <c r="AR54" s="34">
        <f t="shared" si="311"/>
        <v>-7.4509803921568585E-2</v>
      </c>
      <c r="AS54" s="34">
        <f t="shared" si="311"/>
        <v>0.27935606060606055</v>
      </c>
      <c r="AT54" s="34">
        <f t="shared" si="311"/>
        <v>0.38972431077694236</v>
      </c>
      <c r="AU54" s="34">
        <f t="shared" si="311"/>
        <v>-0.10832383124287348</v>
      </c>
      <c r="AV54" s="34">
        <f t="shared" si="311"/>
        <v>0.85593220338983045</v>
      </c>
      <c r="AW54" s="34">
        <f t="shared" ref="AW54:BN54" si="312">AW52/AS52-1</f>
        <v>-3.0584752035529017E-2</v>
      </c>
      <c r="AX54" s="34">
        <f t="shared" si="312"/>
        <v>4.7781785392245091E-2</v>
      </c>
      <c r="AY54" s="34">
        <f t="shared" si="312"/>
        <v>1.6956521739130315E-2</v>
      </c>
      <c r="AZ54" s="34">
        <f t="shared" si="312"/>
        <v>6.2773972602739647E-2</v>
      </c>
      <c r="BA54" s="34">
        <f t="shared" si="312"/>
        <v>4.9726498075865599E-2</v>
      </c>
      <c r="BB54" s="34">
        <f t="shared" si="312"/>
        <v>5.1471983407774591E-2</v>
      </c>
      <c r="BC54" s="34">
        <f t="shared" si="312"/>
        <v>4.9908079113579973E-2</v>
      </c>
      <c r="BD54" s="34">
        <f t="shared" si="312"/>
        <v>5.773802651987503E-2</v>
      </c>
      <c r="BE54" s="34">
        <f t="shared" si="312"/>
        <v>4.9535727502889371E-2</v>
      </c>
      <c r="BF54" s="34">
        <f t="shared" si="312"/>
        <v>5.0673950172484661E-2</v>
      </c>
      <c r="BG54" s="34">
        <f t="shared" si="312"/>
        <v>4.9949657964594385E-2</v>
      </c>
      <c r="BH54" s="34">
        <f t="shared" si="312"/>
        <v>5.4206490773114346E-2</v>
      </c>
      <c r="BI54" s="34">
        <f t="shared" si="312"/>
        <v>4.9745643069746937E-2</v>
      </c>
      <c r="BJ54" s="34">
        <f t="shared" si="312"/>
        <v>5.0368831214588461E-2</v>
      </c>
      <c r="BK54" s="34">
        <f t="shared" si="312"/>
        <v>4.9947258196118005E-2</v>
      </c>
      <c r="BL54" s="34">
        <f t="shared" si="312"/>
        <v>5.4389215861337048E-2</v>
      </c>
      <c r="BM54" s="34">
        <f t="shared" si="312"/>
        <v>4.973346626859021E-2</v>
      </c>
      <c r="BN54" s="34">
        <f t="shared" si="312"/>
        <v>5.0386258925427363E-2</v>
      </c>
      <c r="BO54" s="40"/>
      <c r="BP54" s="35"/>
      <c r="BQ54" s="35"/>
      <c r="BR54" s="35"/>
      <c r="BS54" s="35"/>
      <c r="BT54" s="35"/>
      <c r="BU54" s="35"/>
      <c r="BV54" s="35"/>
      <c r="BW54" s="35"/>
      <c r="BX54" s="35"/>
      <c r="BY54" s="35"/>
      <c r="BZ54" s="35" t="str">
        <f t="shared" ref="BZ54" si="313">IF(OR(AND(BY52&lt;0,BZ52&gt;0),BY52=0),"n/a",BZ52/BY52-1)</f>
        <v>n/a</v>
      </c>
      <c r="CA54" s="35">
        <f t="shared" ref="CA54" si="314">IF(OR(AND(BZ52&lt;0,CA52&gt;0),BZ52=0),"n/a",CA52/BZ52-1)</f>
        <v>0.32256944444444446</v>
      </c>
      <c r="CB54" s="35">
        <f t="shared" ref="CB54" si="315">IF(OR(AND(CA52&lt;0,CB52&gt;0),CA52=0),"n/a",CB52/CA52-1)</f>
        <v>8.4187450774481531E-2</v>
      </c>
      <c r="CC54" s="35">
        <f t="shared" ref="CC54" si="316">IF(OR(AND(CB52&lt;0,CC52&gt;0),CB52=0),"n/a",CC52/CB52-1)</f>
        <v>4.677994367588667E-2</v>
      </c>
      <c r="CD54" s="35">
        <f t="shared" ref="CD54" si="317">IF(OR(AND(CC52&lt;0,CD52&gt;0),CC52=0),"n/a",CD52/CC52-1)</f>
        <v>5.169241642893363E-2</v>
      </c>
      <c r="CE54" s="35">
        <f t="shared" ref="CE54" si="318">IF(OR(AND(CD52&lt;0,CE52&gt;0),CD52=0),"n/a",CE52/CD52-1)</f>
        <v>5.0925308038201056E-2</v>
      </c>
      <c r="CF54" s="35">
        <f t="shared" ref="CF54" si="319">IF(OR(AND(CE52&lt;0,CF52&gt;0),CE52=0),"n/a",CF52/CE52-1)</f>
        <v>5.0968516824398069E-2</v>
      </c>
      <c r="CG54" s="36"/>
      <c r="CH54" s="36"/>
      <c r="CI54" s="36"/>
    </row>
    <row r="55" spans="1:87" s="84" customFormat="1" ht="12.75" customHeight="1">
      <c r="A55" s="74" t="s">
        <v>413</v>
      </c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81"/>
      <c r="AJ55" s="81"/>
      <c r="AK55" s="81"/>
      <c r="AL55" s="81"/>
      <c r="AM55" s="81">
        <f t="shared" ref="AM55:AU55" si="320">AM52/AM46</f>
        <v>0.75109170305676853</v>
      </c>
      <c r="AN55" s="81">
        <f t="shared" si="320"/>
        <v>0.75443786982248517</v>
      </c>
      <c r="AO55" s="81">
        <f t="shared" si="320"/>
        <v>0.85092667203867844</v>
      </c>
      <c r="AP55" s="81">
        <f t="shared" si="320"/>
        <v>0.80769230769230771</v>
      </c>
      <c r="AQ55" s="81">
        <f t="shared" si="320"/>
        <v>0.79510426110607435</v>
      </c>
      <c r="AR55" s="81">
        <f t="shared" si="320"/>
        <v>0.73291925465838514</v>
      </c>
      <c r="AS55" s="81">
        <f t="shared" si="320"/>
        <v>0.87613488975356679</v>
      </c>
      <c r="AT55" s="81">
        <f t="shared" si="320"/>
        <v>0.85111281657712967</v>
      </c>
      <c r="AU55" s="81">
        <f t="shared" si="320"/>
        <v>0.74193548387096775</v>
      </c>
      <c r="AV55" s="81">
        <f t="shared" ref="AV55" si="321">AV52/AV46</f>
        <v>0.75844155844155847</v>
      </c>
      <c r="AW55" s="81">
        <f t="shared" ref="AW55:BN55" si="322">AW52/AW46</f>
        <v>0.80889382990550318</v>
      </c>
      <c r="AX55" s="81">
        <f t="shared" si="322"/>
        <v>0.78918628895876763</v>
      </c>
      <c r="AY55" s="81">
        <f t="shared" si="322"/>
        <v>0.69221663213968621</v>
      </c>
      <c r="AZ55" s="81">
        <f t="shared" si="322"/>
        <v>0.72748370762811199</v>
      </c>
      <c r="BA55" s="81">
        <f t="shared" si="322"/>
        <v>0.78043868325540333</v>
      </c>
      <c r="BB55" s="81">
        <f t="shared" si="322"/>
        <v>0.76339215504111912</v>
      </c>
      <c r="BC55" s="81">
        <f t="shared" si="322"/>
        <v>0.6724844489079127</v>
      </c>
      <c r="BD55" s="81">
        <f t="shared" si="322"/>
        <v>0.71059261348617719</v>
      </c>
      <c r="BE55" s="81">
        <f t="shared" si="322"/>
        <v>0.76437385572176109</v>
      </c>
      <c r="BF55" s="81">
        <f t="shared" si="322"/>
        <v>0.74669029477756399</v>
      </c>
      <c r="BG55" s="81">
        <f t="shared" si="322"/>
        <v>0.66214672955924558</v>
      </c>
      <c r="BH55" s="81">
        <f t="shared" si="322"/>
        <v>0.70177029298645488</v>
      </c>
      <c r="BI55" s="81">
        <f t="shared" si="322"/>
        <v>0.75584781353976549</v>
      </c>
      <c r="BJ55" s="81">
        <f t="shared" si="322"/>
        <v>0.73785872864274771</v>
      </c>
      <c r="BK55" s="81">
        <f t="shared" si="322"/>
        <v>0.65165121524279279</v>
      </c>
      <c r="BL55" s="81">
        <f t="shared" si="322"/>
        <v>0.69283218617549069</v>
      </c>
      <c r="BM55" s="81">
        <f t="shared" si="322"/>
        <v>0.74711313582419059</v>
      </c>
      <c r="BN55" s="81">
        <f t="shared" si="322"/>
        <v>0.72883435268463093</v>
      </c>
      <c r="BO55" s="40"/>
      <c r="BP55" s="35"/>
      <c r="BQ55" s="35"/>
      <c r="BR55" s="35"/>
      <c r="BS55" s="35"/>
      <c r="BT55" s="35"/>
      <c r="BU55" s="35"/>
      <c r="BV55" s="35"/>
      <c r="BW55" s="35"/>
      <c r="BX55" s="35"/>
      <c r="BY55" s="35"/>
      <c r="BZ55" s="35">
        <f t="shared" ref="BZ55:CF55" si="323">BZ52/BZ$8</f>
        <v>0.53611317944899484</v>
      </c>
      <c r="CA55" s="35">
        <f t="shared" si="323"/>
        <v>0.61534733441033929</v>
      </c>
      <c r="CB55" s="35">
        <f t="shared" si="323"/>
        <v>0.54194570939989239</v>
      </c>
      <c r="CC55" s="35">
        <f t="shared" si="323"/>
        <v>0.53697818380775841</v>
      </c>
      <c r="CD55" s="35">
        <f t="shared" si="323"/>
        <v>0.54544874925336972</v>
      </c>
      <c r="CE55" s="35">
        <f t="shared" si="323"/>
        <v>0.51684892447496755</v>
      </c>
      <c r="CF55" s="35">
        <f t="shared" si="323"/>
        <v>0.53791239233369315</v>
      </c>
      <c r="CG55" s="82"/>
      <c r="CH55" s="83"/>
      <c r="CI55" s="83"/>
    </row>
    <row r="56" spans="1:87" s="37" customFormat="1" ht="12.75" customHeight="1" outlineLevel="1">
      <c r="A56" s="73" t="s">
        <v>470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70"/>
      <c r="AJ56" s="70"/>
      <c r="AK56" s="70"/>
      <c r="AL56" s="70"/>
      <c r="AM56" s="70">
        <f>AM52/$BZ$52</f>
        <v>0.17916666666666667</v>
      </c>
      <c r="AN56" s="70">
        <f t="shared" ref="AN56:AP56" si="324">AN52/$BZ$52</f>
        <v>0.17708333333333334</v>
      </c>
      <c r="AO56" s="70">
        <f t="shared" si="324"/>
        <v>0.36666666666666664</v>
      </c>
      <c r="AP56" s="70">
        <f t="shared" si="324"/>
        <v>0.27708333333333335</v>
      </c>
      <c r="AQ56" s="70">
        <f>AQ52/$CA$52</f>
        <v>0.23024415857180364</v>
      </c>
      <c r="AR56" s="70">
        <f t="shared" ref="AR56:AS56" si="325">AR52/$CA$52</f>
        <v>0.12391703859280651</v>
      </c>
      <c r="AS56" s="70">
        <f t="shared" si="325"/>
        <v>0.35468626936203729</v>
      </c>
      <c r="AT56" s="70">
        <f>AT52/$CA$52</f>
        <v>0.29115253347335257</v>
      </c>
      <c r="AU56" s="70">
        <f>AU52/$CB$52</f>
        <v>0.18936137754348409</v>
      </c>
      <c r="AV56" s="70">
        <f>AV52/$CB$52</f>
        <v>0.21212348686456786</v>
      </c>
      <c r="AW56" s="70">
        <f t="shared" ref="AW56:AX56" si="326">AW52/$CB$52</f>
        <v>0.31713914186847864</v>
      </c>
      <c r="AX56" s="70">
        <f t="shared" si="326"/>
        <v>0.28137599372346939</v>
      </c>
      <c r="AY56" s="70">
        <f>AY52/$CC$52</f>
        <v>0.18396635226130947</v>
      </c>
      <c r="AZ56" s="70">
        <f t="shared" ref="AZ56:BB56" si="327">AZ52/$CC$52</f>
        <v>0.21536457798928213</v>
      </c>
      <c r="BA56" s="70">
        <f t="shared" si="327"/>
        <v>0.31803184882138091</v>
      </c>
      <c r="BB56" s="70">
        <f t="shared" si="327"/>
        <v>0.28263722092802757</v>
      </c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1"/>
      <c r="BP56" s="35"/>
      <c r="BQ56" s="35"/>
      <c r="BR56" s="35"/>
      <c r="BS56" s="35"/>
      <c r="BT56" s="35"/>
      <c r="BU56" s="35"/>
      <c r="BV56" s="35"/>
      <c r="BW56" s="35"/>
      <c r="BX56" s="35"/>
      <c r="BY56" s="35"/>
      <c r="BZ56" s="35"/>
      <c r="CA56" s="35"/>
      <c r="CB56" s="35"/>
      <c r="CC56" s="35"/>
      <c r="CD56" s="35"/>
      <c r="CE56" s="35"/>
      <c r="CF56" s="35"/>
      <c r="CG56" s="36"/>
      <c r="CH56" s="36"/>
      <c r="CI56" s="36"/>
    </row>
    <row r="57" spans="1:87" s="37" customFormat="1" ht="12.75" customHeight="1">
      <c r="A57" s="69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1"/>
      <c r="BP57" s="35"/>
      <c r="BQ57" s="35"/>
      <c r="BR57" s="35"/>
      <c r="BS57" s="35"/>
      <c r="BT57" s="35"/>
      <c r="BU57" s="35"/>
      <c r="BV57" s="35"/>
      <c r="BW57" s="35"/>
      <c r="BX57" s="35"/>
      <c r="BY57" s="35"/>
      <c r="BZ57" s="35"/>
      <c r="CA57" s="35"/>
      <c r="CB57" s="35"/>
      <c r="CC57" s="35"/>
      <c r="CD57" s="35"/>
      <c r="CE57" s="35"/>
      <c r="CF57" s="35"/>
      <c r="CG57" s="36"/>
      <c r="CH57" s="36"/>
      <c r="CI57" s="36"/>
    </row>
    <row r="58" spans="1:87" s="64" customFormat="1" ht="12.75" customHeight="1">
      <c r="A58" s="72" t="s">
        <v>251</v>
      </c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45">
        <f t="shared" ref="AE58:AH58" si="328">AE23</f>
        <v>151</v>
      </c>
      <c r="AF58" s="45">
        <f t="shared" si="328"/>
        <v>155</v>
      </c>
      <c r="AG58" s="45">
        <f t="shared" si="328"/>
        <v>187</v>
      </c>
      <c r="AH58" s="45">
        <f t="shared" si="328"/>
        <v>178</v>
      </c>
      <c r="AI58" s="45"/>
      <c r="AJ58" s="45"/>
      <c r="AK58" s="45"/>
      <c r="AL58" s="45"/>
      <c r="AM58" s="45">
        <f t="shared" ref="AM58:AU58" si="329">AM23</f>
        <v>171</v>
      </c>
      <c r="AN58" s="45">
        <f t="shared" si="329"/>
        <v>166</v>
      </c>
      <c r="AO58" s="45">
        <f t="shared" si="329"/>
        <v>185</v>
      </c>
      <c r="AP58" s="45">
        <f t="shared" si="329"/>
        <v>190</v>
      </c>
      <c r="AQ58" s="45">
        <f t="shared" si="329"/>
        <v>226</v>
      </c>
      <c r="AR58" s="45">
        <f t="shared" si="329"/>
        <v>172</v>
      </c>
      <c r="AS58" s="45">
        <f t="shared" si="329"/>
        <v>191</v>
      </c>
      <c r="AT58" s="45">
        <f t="shared" si="329"/>
        <v>194</v>
      </c>
      <c r="AU58" s="45">
        <f t="shared" si="329"/>
        <v>272</v>
      </c>
      <c r="AV58" s="45">
        <f t="shared" ref="AV58" si="330">AV23</f>
        <v>279</v>
      </c>
      <c r="AW58" s="85">
        <f t="shared" ref="AW58:BB58" si="331">AS58*(1+AW60)</f>
        <v>309.42</v>
      </c>
      <c r="AX58" s="85">
        <f t="shared" si="331"/>
        <v>310.40000000000003</v>
      </c>
      <c r="AY58" s="85">
        <f>AU58*(1+AY60)</f>
        <v>353.6</v>
      </c>
      <c r="AZ58" s="85">
        <f t="shared" si="331"/>
        <v>348.75</v>
      </c>
      <c r="BA58" s="85">
        <f t="shared" si="331"/>
        <v>386.77500000000003</v>
      </c>
      <c r="BB58" s="85">
        <f t="shared" si="331"/>
        <v>378.68800000000005</v>
      </c>
      <c r="BC58" s="85">
        <f t="shared" ref="BC58" si="332">AY58*(1+BC60)</f>
        <v>406.64</v>
      </c>
      <c r="BD58" s="85">
        <f t="shared" ref="BD58" si="333">AZ58*(1+BD60)</f>
        <v>401.06249999999994</v>
      </c>
      <c r="BE58" s="85">
        <f t="shared" ref="BE58" si="334">BA58*(1+BE60)</f>
        <v>444.79124999999999</v>
      </c>
      <c r="BF58" s="85">
        <f t="shared" ref="BF58" si="335">BB58*(1+BF60)</f>
        <v>435.49119999999999</v>
      </c>
      <c r="BG58" s="85">
        <f t="shared" ref="BG58" si="336">BC58*(1+BG60)</f>
        <v>447.30400000000003</v>
      </c>
      <c r="BH58" s="85">
        <f t="shared" ref="BH58" si="337">BD58*(1+BH60)</f>
        <v>441.16874999999999</v>
      </c>
      <c r="BI58" s="85">
        <f t="shared" ref="BI58" si="338">BE58*(1+BI60)</f>
        <v>489.270375</v>
      </c>
      <c r="BJ58" s="85">
        <f t="shared" ref="BJ58" si="339">BF58*(1+BJ60)</f>
        <v>479.04032000000001</v>
      </c>
      <c r="BK58" s="85">
        <f t="shared" ref="BK58" si="340">BG58*(1+BK60)</f>
        <v>492.03440000000006</v>
      </c>
      <c r="BL58" s="85">
        <f t="shared" ref="BL58" si="341">BH58*(1+BL60)</f>
        <v>485.28562500000004</v>
      </c>
      <c r="BM58" s="85">
        <f t="shared" ref="BM58" si="342">BI58*(1+BM60)</f>
        <v>538.19741250000004</v>
      </c>
      <c r="BN58" s="85">
        <f t="shared" ref="BN58" si="343">BJ58*(1+BN60)</f>
        <v>526.94435200000009</v>
      </c>
      <c r="BO58" s="79"/>
      <c r="BP58" s="79"/>
      <c r="BQ58" s="79"/>
      <c r="BR58" s="79"/>
      <c r="BS58" s="79"/>
      <c r="BT58" s="79"/>
      <c r="BU58" s="79"/>
      <c r="BV58" s="79"/>
      <c r="BW58" s="79"/>
      <c r="BX58" s="79"/>
      <c r="BY58" s="79"/>
      <c r="BZ58" s="49">
        <f>SUM(AM58:AP58)</f>
        <v>712</v>
      </c>
      <c r="CA58" s="49">
        <f>SUM(AQ58:AT58)</f>
        <v>783</v>
      </c>
      <c r="CB58" s="49">
        <f>SUM(AU58:AX58)</f>
        <v>1170.8200000000002</v>
      </c>
      <c r="CC58" s="49">
        <f>SUM(AY58:BB58)</f>
        <v>1467.8130000000001</v>
      </c>
      <c r="CD58" s="49">
        <f>SUM(BC58:BF58)</f>
        <v>1687.9849499999998</v>
      </c>
      <c r="CE58" s="49">
        <f>SUM(BG58:BJ58)</f>
        <v>1856.783445</v>
      </c>
      <c r="CF58" s="49">
        <f>SUM(BK58:BN58)</f>
        <v>2042.4617895000001</v>
      </c>
      <c r="CG58" s="60"/>
      <c r="CH58" s="60"/>
      <c r="CI58" s="60"/>
    </row>
    <row r="59" spans="1:87" s="37" customFormat="1" ht="12.75" customHeight="1">
      <c r="A59" s="73" t="s">
        <v>0</v>
      </c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 t="s">
        <v>17</v>
      </c>
      <c r="AN59" s="34">
        <f t="shared" ref="AN59" si="344">AN58/AM58-1</f>
        <v>-2.9239766081871399E-2</v>
      </c>
      <c r="AO59" s="34">
        <f t="shared" ref="AO59" si="345">AO58/AN58-1</f>
        <v>0.1144578313253013</v>
      </c>
      <c r="AP59" s="34">
        <f t="shared" ref="AP59" si="346">AP58/AO58-1</f>
        <v>2.7027027027026973E-2</v>
      </c>
      <c r="AQ59" s="34">
        <f t="shared" ref="AQ59" si="347">AQ58/AP58-1</f>
        <v>0.18947368421052624</v>
      </c>
      <c r="AR59" s="34">
        <f t="shared" ref="AR59" si="348">AR58/AQ58-1</f>
        <v>-0.23893805309734517</v>
      </c>
      <c r="AS59" s="34">
        <f t="shared" ref="AS59" si="349">AS58/AR58-1</f>
        <v>0.11046511627906974</v>
      </c>
      <c r="AT59" s="34">
        <f t="shared" ref="AT59" si="350">AT58/AS58-1</f>
        <v>1.5706806282722585E-2</v>
      </c>
      <c r="AU59" s="34">
        <f t="shared" ref="AU59:AV59" si="351">AU58/AT58-1</f>
        <v>0.402061855670103</v>
      </c>
      <c r="AV59" s="34">
        <f t="shared" si="351"/>
        <v>2.5735294117646967E-2</v>
      </c>
      <c r="AW59" s="34">
        <f t="shared" ref="AW59" si="352">AW58/AV58-1</f>
        <v>0.10903225806451622</v>
      </c>
      <c r="AX59" s="34">
        <f t="shared" ref="AX59" si="353">AX58/AW58-1</f>
        <v>3.1672160817013406E-3</v>
      </c>
      <c r="AY59" s="34">
        <f t="shared" ref="AY59" si="354">AY58/AX58-1</f>
        <v>0.13917525773195871</v>
      </c>
      <c r="AZ59" s="34">
        <f t="shared" ref="AZ59" si="355">AZ58/AY58-1</f>
        <v>-1.3716063348416352E-2</v>
      </c>
      <c r="BA59" s="34">
        <f t="shared" ref="BA59" si="356">BA58/AZ58-1</f>
        <v>0.10903225806451622</v>
      </c>
      <c r="BB59" s="34">
        <f t="shared" ref="BB59" si="357">BB58/BA58-1</f>
        <v>-2.0908797104259524E-2</v>
      </c>
      <c r="BC59" s="34">
        <f t="shared" ref="BC59" si="358">BC58/BB58-1</f>
        <v>7.3812742944059373E-2</v>
      </c>
      <c r="BD59" s="34">
        <f t="shared" ref="BD59" si="359">BD58/BC58-1</f>
        <v>-1.3716063348416352E-2</v>
      </c>
      <c r="BE59" s="34">
        <f t="shared" ref="BE59" si="360">BE58/BD58-1</f>
        <v>0.10903225806451622</v>
      </c>
      <c r="BF59" s="34">
        <f t="shared" ref="BF59" si="361">BF58/BE58-1</f>
        <v>-2.0908797104259635E-2</v>
      </c>
      <c r="BG59" s="34">
        <f t="shared" ref="BG59" si="362">BG58/BF58-1</f>
        <v>2.7125232381274289E-2</v>
      </c>
      <c r="BH59" s="34">
        <f t="shared" ref="BH59" si="363">BH58/BG58-1</f>
        <v>-1.3716063348416352E-2</v>
      </c>
      <c r="BI59" s="34">
        <f t="shared" ref="BI59" si="364">BI58/BH58-1</f>
        <v>0.10903225806451622</v>
      </c>
      <c r="BJ59" s="34">
        <f t="shared" ref="BJ59" si="365">BJ58/BI58-1</f>
        <v>-2.0908797104259524E-2</v>
      </c>
      <c r="BK59" s="34">
        <f t="shared" ref="BK59" si="366">BK58/BJ58-1</f>
        <v>2.7125232381274511E-2</v>
      </c>
      <c r="BL59" s="34">
        <f t="shared" ref="BL59" si="367">BL58/BK58-1</f>
        <v>-1.3716063348416352E-2</v>
      </c>
      <c r="BM59" s="34">
        <f t="shared" ref="BM59" si="368">BM58/BL58-1</f>
        <v>0.10903225806451622</v>
      </c>
      <c r="BN59" s="34">
        <f t="shared" ref="BN59" si="369">BN58/BM58-1</f>
        <v>-2.0908797104259524E-2</v>
      </c>
      <c r="BO59" s="40"/>
      <c r="BP59" s="35"/>
      <c r="BQ59" s="35"/>
      <c r="BR59" s="35"/>
      <c r="BS59" s="35"/>
      <c r="BT59" s="35"/>
      <c r="BU59" s="35"/>
      <c r="BV59" s="35"/>
      <c r="BW59" s="35"/>
      <c r="BX59" s="35"/>
      <c r="BY59" s="35"/>
      <c r="BZ59" s="35" t="s">
        <v>17</v>
      </c>
      <c r="CA59" s="35" t="s">
        <v>17</v>
      </c>
      <c r="CB59" s="35" t="s">
        <v>17</v>
      </c>
      <c r="CC59" s="35" t="s">
        <v>17</v>
      </c>
      <c r="CD59" s="35" t="s">
        <v>17</v>
      </c>
      <c r="CE59" s="35" t="s">
        <v>17</v>
      </c>
      <c r="CF59" s="35" t="s">
        <v>17</v>
      </c>
      <c r="CG59" s="36"/>
      <c r="CH59" s="36"/>
      <c r="CI59" s="36"/>
    </row>
    <row r="60" spans="1:87" s="37" customFormat="1" ht="12.75" customHeight="1">
      <c r="A60" s="73" t="s">
        <v>1</v>
      </c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 t="s">
        <v>17</v>
      </c>
      <c r="AN60" s="34" t="s">
        <v>17</v>
      </c>
      <c r="AO60" s="34" t="s">
        <v>17</v>
      </c>
      <c r="AP60" s="34" t="s">
        <v>17</v>
      </c>
      <c r="AQ60" s="34">
        <f t="shared" ref="AQ60:AV60" si="370">AQ58/AM58-1</f>
        <v>0.32163742690058483</v>
      </c>
      <c r="AR60" s="34">
        <f t="shared" si="370"/>
        <v>3.6144578313253017E-2</v>
      </c>
      <c r="AS60" s="34">
        <f t="shared" si="370"/>
        <v>3.2432432432432323E-2</v>
      </c>
      <c r="AT60" s="34">
        <f t="shared" si="370"/>
        <v>2.1052631578947434E-2</v>
      </c>
      <c r="AU60" s="34">
        <f t="shared" si="370"/>
        <v>0.20353982300884965</v>
      </c>
      <c r="AV60" s="34">
        <f t="shared" si="370"/>
        <v>0.62209302325581395</v>
      </c>
      <c r="AW60" s="1">
        <v>0.62</v>
      </c>
      <c r="AX60" s="1">
        <v>0.6</v>
      </c>
      <c r="AY60" s="1">
        <v>0.3</v>
      </c>
      <c r="AZ60" s="1">
        <v>0.25</v>
      </c>
      <c r="BA60" s="1">
        <v>0.25</v>
      </c>
      <c r="BB60" s="1">
        <v>0.22</v>
      </c>
      <c r="BC60" s="1">
        <v>0.15</v>
      </c>
      <c r="BD60" s="1">
        <v>0.15</v>
      </c>
      <c r="BE60" s="1">
        <v>0.15</v>
      </c>
      <c r="BF60" s="1">
        <v>0.15</v>
      </c>
      <c r="BG60" s="1">
        <v>0.1</v>
      </c>
      <c r="BH60" s="1">
        <v>0.1</v>
      </c>
      <c r="BI60" s="1">
        <v>0.1</v>
      </c>
      <c r="BJ60" s="1">
        <v>0.1</v>
      </c>
      <c r="BK60" s="1">
        <v>0.1</v>
      </c>
      <c r="BL60" s="1">
        <v>0.1</v>
      </c>
      <c r="BM60" s="1">
        <v>0.1</v>
      </c>
      <c r="BN60" s="1">
        <v>0.1</v>
      </c>
      <c r="BO60" s="40"/>
      <c r="BP60" s="35"/>
      <c r="BQ60" s="35"/>
      <c r="BR60" s="35"/>
      <c r="BS60" s="35"/>
      <c r="BT60" s="35"/>
      <c r="BU60" s="35"/>
      <c r="BV60" s="35"/>
      <c r="BW60" s="35"/>
      <c r="BX60" s="35"/>
      <c r="BY60" s="35"/>
      <c r="BZ60" s="35" t="str">
        <f t="shared" ref="BZ60" si="371">IF(OR(AND(BY58&lt;0,BZ58&gt;0),BY58=0),"n/a",BZ58/BY58-1)</f>
        <v>n/a</v>
      </c>
      <c r="CA60" s="35">
        <f t="shared" ref="CA60" si="372">IF(OR(AND(BZ58&lt;0,CA58&gt;0),BZ58=0),"n/a",CA58/BZ58-1)</f>
        <v>9.971910112359561E-2</v>
      </c>
      <c r="CB60" s="35">
        <f t="shared" ref="CB60" si="373">IF(OR(AND(CA58&lt;0,CB58&gt;0),CA58=0),"n/a",CB58/CA58-1)</f>
        <v>0.49530012771392107</v>
      </c>
      <c r="CC60" s="35">
        <f t="shared" ref="CC60" si="374">IF(OR(AND(CB58&lt;0,CC58&gt;0),CB58=0),"n/a",CC58/CB58-1)</f>
        <v>0.25366239046138594</v>
      </c>
      <c r="CD60" s="35">
        <f t="shared" ref="CD60" si="375">IF(OR(AND(CC58&lt;0,CD58&gt;0),CC58=0),"n/a",CD58/CC58-1)</f>
        <v>0.14999999999999969</v>
      </c>
      <c r="CE60" s="35">
        <f t="shared" ref="CE60" si="376">IF(OR(AND(CD58&lt;0,CE58&gt;0),CD58=0),"n/a",CE58/CD58-1)</f>
        <v>0.10000000000000009</v>
      </c>
      <c r="CF60" s="35">
        <f t="shared" ref="CF60" si="377">IF(OR(AND(CE58&lt;0,CF58&gt;0),CE58=0),"n/a",CF58/CE58-1)</f>
        <v>0.10000000000000009</v>
      </c>
      <c r="CG60" s="36"/>
      <c r="CH60" s="36"/>
      <c r="CI60" s="36"/>
    </row>
    <row r="61" spans="1:87" s="84" customFormat="1" ht="12.75" customHeight="1">
      <c r="A61" s="74" t="s">
        <v>413</v>
      </c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81"/>
      <c r="AJ61" s="81"/>
      <c r="AK61" s="81"/>
      <c r="AL61" s="81"/>
      <c r="AM61" s="81">
        <f t="shared" ref="AM61:BN61" si="378">AM58/AM46</f>
        <v>0.24890829694323144</v>
      </c>
      <c r="AN61" s="81">
        <f t="shared" si="378"/>
        <v>0.2455621301775148</v>
      </c>
      <c r="AO61" s="81">
        <f t="shared" si="378"/>
        <v>0.14907332796132153</v>
      </c>
      <c r="AP61" s="81">
        <f t="shared" si="378"/>
        <v>0.19230769230769232</v>
      </c>
      <c r="AQ61" s="81">
        <f t="shared" si="378"/>
        <v>0.20489573889392565</v>
      </c>
      <c r="AR61" s="81">
        <f t="shared" si="378"/>
        <v>0.26708074534161491</v>
      </c>
      <c r="AS61" s="81">
        <f t="shared" si="378"/>
        <v>0.12386511024643321</v>
      </c>
      <c r="AT61" s="81">
        <f t="shared" si="378"/>
        <v>0.1488871834228703</v>
      </c>
      <c r="AU61" s="81">
        <f t="shared" si="378"/>
        <v>0.25806451612903225</v>
      </c>
      <c r="AV61" s="81">
        <f t="shared" ref="AV61" si="379">AV58/AV46</f>
        <v>0.24155844155844156</v>
      </c>
      <c r="AW61" s="81">
        <f t="shared" si="378"/>
        <v>0.19110617009449693</v>
      </c>
      <c r="AX61" s="81">
        <f t="shared" si="378"/>
        <v>0.21081371104123231</v>
      </c>
      <c r="AY61" s="81">
        <f t="shared" si="378"/>
        <v>0.30778336786031368</v>
      </c>
      <c r="AZ61" s="81">
        <f t="shared" si="378"/>
        <v>0.27251629237188801</v>
      </c>
      <c r="BA61" s="81">
        <f t="shared" si="378"/>
        <v>0.21956131674459667</v>
      </c>
      <c r="BB61" s="81">
        <f t="shared" si="378"/>
        <v>0.23660784495888082</v>
      </c>
      <c r="BC61" s="81">
        <f t="shared" si="378"/>
        <v>0.32751555109208735</v>
      </c>
      <c r="BD61" s="81">
        <f t="shared" si="378"/>
        <v>0.28940738651382275</v>
      </c>
      <c r="BE61" s="81">
        <f t="shared" si="378"/>
        <v>0.23562614427823905</v>
      </c>
      <c r="BF61" s="81">
        <f t="shared" si="378"/>
        <v>0.25330970522243607</v>
      </c>
      <c r="BG61" s="81">
        <f t="shared" si="378"/>
        <v>0.33785327044075447</v>
      </c>
      <c r="BH61" s="81">
        <f t="shared" si="378"/>
        <v>0.29822970701354506</v>
      </c>
      <c r="BI61" s="81">
        <f t="shared" si="378"/>
        <v>0.24415218646023465</v>
      </c>
      <c r="BJ61" s="81">
        <f t="shared" si="378"/>
        <v>0.26214127135725224</v>
      </c>
      <c r="BK61" s="81">
        <f t="shared" si="378"/>
        <v>0.34834878475720726</v>
      </c>
      <c r="BL61" s="81">
        <f t="shared" si="378"/>
        <v>0.30716781382450919</v>
      </c>
      <c r="BM61" s="81">
        <f t="shared" si="378"/>
        <v>0.2528868641758093</v>
      </c>
      <c r="BN61" s="81">
        <f t="shared" si="378"/>
        <v>0.27116564731536918</v>
      </c>
      <c r="BO61" s="40"/>
      <c r="BP61" s="35"/>
      <c r="BQ61" s="35"/>
      <c r="BR61" s="35"/>
      <c r="BS61" s="35"/>
      <c r="BT61" s="35"/>
      <c r="BU61" s="35"/>
      <c r="BV61" s="35"/>
      <c r="BW61" s="35"/>
      <c r="BX61" s="35"/>
      <c r="BY61" s="35"/>
      <c r="BZ61" s="35">
        <f t="shared" ref="BZ61:CF61" si="380">BZ58/BZ$8</f>
        <v>0.1325390915860015</v>
      </c>
      <c r="CA61" s="35">
        <f t="shared" si="380"/>
        <v>0.12649434571890145</v>
      </c>
      <c r="CB61" s="35">
        <f t="shared" si="380"/>
        <v>0.15364929291676624</v>
      </c>
      <c r="CC61" s="35">
        <f t="shared" si="380"/>
        <v>0.18232936931934518</v>
      </c>
      <c r="CD61" s="35">
        <f t="shared" si="380"/>
        <v>0.20251772326828171</v>
      </c>
      <c r="CE61" s="35">
        <f t="shared" si="380"/>
        <v>0.20086003658065998</v>
      </c>
      <c r="CF61" s="35">
        <f t="shared" si="380"/>
        <v>0.21879855474930376</v>
      </c>
      <c r="CG61" s="82"/>
      <c r="CH61" s="83"/>
      <c r="CI61" s="83"/>
    </row>
    <row r="62" spans="1:87" s="84" customFormat="1" ht="12.75" customHeight="1">
      <c r="A62" s="7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81"/>
      <c r="AN62" s="81"/>
      <c r="AO62" s="81"/>
      <c r="AP62" s="81"/>
      <c r="AQ62" s="81"/>
      <c r="AR62" s="81"/>
      <c r="AS62" s="81"/>
      <c r="AT62" s="81"/>
      <c r="AU62" s="81"/>
      <c r="AV62" s="81"/>
      <c r="AW62" s="81"/>
      <c r="AX62" s="81"/>
      <c r="AY62" s="81"/>
      <c r="AZ62" s="81"/>
      <c r="BA62" s="81"/>
      <c r="BB62" s="81"/>
      <c r="BC62" s="81"/>
      <c r="BD62" s="81"/>
      <c r="BE62" s="81"/>
      <c r="BF62" s="81"/>
      <c r="BG62" s="81"/>
      <c r="BH62" s="81"/>
      <c r="BI62" s="81"/>
      <c r="BJ62" s="81"/>
      <c r="BK62" s="81"/>
      <c r="BL62" s="81"/>
      <c r="BM62" s="81"/>
      <c r="BN62" s="81"/>
      <c r="BO62" s="40"/>
      <c r="BP62" s="35"/>
      <c r="BQ62" s="35"/>
      <c r="BR62" s="35"/>
      <c r="BS62" s="35"/>
      <c r="BT62" s="35"/>
      <c r="BU62" s="35"/>
      <c r="BV62" s="35"/>
      <c r="BW62" s="35"/>
      <c r="BX62" s="35"/>
      <c r="BY62" s="35"/>
      <c r="BZ62" s="35"/>
      <c r="CA62" s="35"/>
      <c r="CB62" s="35"/>
      <c r="CC62" s="35"/>
      <c r="CD62" s="35"/>
      <c r="CE62" s="35"/>
      <c r="CF62" s="35"/>
      <c r="CG62" s="82"/>
      <c r="CH62" s="83"/>
      <c r="CI62" s="83"/>
    </row>
    <row r="63" spans="1:87" s="301" customFormat="1" ht="81.75" customHeight="1">
      <c r="A63" s="300" t="s">
        <v>450</v>
      </c>
      <c r="X63" s="301" t="s">
        <v>414</v>
      </c>
      <c r="AB63" s="301" t="s">
        <v>415</v>
      </c>
      <c r="AH63" s="301" t="s">
        <v>416</v>
      </c>
      <c r="AJ63" s="301" t="s">
        <v>493</v>
      </c>
      <c r="AK63" s="301" t="s">
        <v>410</v>
      </c>
      <c r="AL63" s="301" t="s">
        <v>383</v>
      </c>
      <c r="AN63" s="301" t="s">
        <v>494</v>
      </c>
      <c r="AO63" s="301" t="s">
        <v>417</v>
      </c>
      <c r="AR63" s="301" t="s">
        <v>495</v>
      </c>
      <c r="AS63" s="301" t="s">
        <v>496</v>
      </c>
      <c r="AT63" s="301" t="s">
        <v>263</v>
      </c>
      <c r="AU63" s="301" t="s">
        <v>418</v>
      </c>
      <c r="AV63" s="301" t="s">
        <v>497</v>
      </c>
      <c r="AW63" s="301" t="s">
        <v>498</v>
      </c>
    </row>
    <row r="64" spans="1:87" s="14" customFormat="1" ht="12.75" customHeight="1">
      <c r="A64" s="87" t="s">
        <v>428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88"/>
      <c r="AC64" s="88"/>
      <c r="AD64" s="88"/>
      <c r="AE64" s="88"/>
      <c r="AF64" s="88"/>
      <c r="AG64" s="88"/>
      <c r="AH64" s="88"/>
      <c r="AI64" s="88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89"/>
      <c r="BR64" s="89"/>
      <c r="BS64" s="89"/>
      <c r="BT64" s="89"/>
      <c r="BU64" s="89"/>
      <c r="BV64" s="89"/>
      <c r="BW64" s="89"/>
      <c r="BX64" s="89"/>
      <c r="BY64" s="89"/>
      <c r="BZ64" s="89"/>
      <c r="CA64" s="89"/>
      <c r="CB64" s="12"/>
      <c r="CC64" s="12"/>
      <c r="CD64" s="12"/>
      <c r="CE64" s="12"/>
      <c r="CF64" s="12"/>
      <c r="CG64" s="12"/>
      <c r="CH64" s="12"/>
      <c r="CI64" s="12"/>
    </row>
    <row r="65" spans="1:87" s="99" customFormat="1" ht="12.75" customHeight="1">
      <c r="A65" s="90" t="s">
        <v>253</v>
      </c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91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92">
        <f>18.9*0.25*0.25</f>
        <v>1.1812499999999999</v>
      </c>
      <c r="AJ65" s="93">
        <f>20*0.75</f>
        <v>15</v>
      </c>
      <c r="AK65" s="92">
        <f>20*0.25*0.75</f>
        <v>3.75</v>
      </c>
      <c r="AL65" s="92">
        <f>20*0.25*0.2</f>
        <v>1</v>
      </c>
      <c r="AM65" s="92">
        <f>20-SUM(AJ65:AL65)</f>
        <v>0.25</v>
      </c>
      <c r="AN65" s="93">
        <f>21.5*0.25</f>
        <v>5.375</v>
      </c>
      <c r="AO65" s="92">
        <f>21.5*0.5*0.8</f>
        <v>8.6</v>
      </c>
      <c r="AP65" s="92">
        <f>21.5*0.25*0.2</f>
        <v>1.075</v>
      </c>
      <c r="AQ65" s="94">
        <v>2</v>
      </c>
      <c r="AR65" s="95">
        <v>1</v>
      </c>
      <c r="AS65" s="96">
        <f>25*0.75</f>
        <v>18.75</v>
      </c>
      <c r="AT65" s="92">
        <f>25*0.25*0.75</f>
        <v>4.6875</v>
      </c>
      <c r="AU65" s="92">
        <f>25-AT65-AS65</f>
        <v>1.5625</v>
      </c>
      <c r="AV65" s="92">
        <f>26*0.3*0.75</f>
        <v>5.85</v>
      </c>
      <c r="AW65" s="92">
        <f>26*0.6*0.75</f>
        <v>11.7</v>
      </c>
      <c r="AX65" s="92">
        <f>26-AV65-AW65-AY65</f>
        <v>6.2833333333333332</v>
      </c>
      <c r="AY65" s="92">
        <f>26*0.25/3</f>
        <v>2.1666666666666665</v>
      </c>
      <c r="AZ65" s="92">
        <f>26*1.05*0.25*0.75</f>
        <v>5.1187500000000004</v>
      </c>
      <c r="BA65" s="92">
        <f>26*1.05*0.75</f>
        <v>20.475000000000001</v>
      </c>
      <c r="BB65" s="92">
        <f>26*0.25*0.05</f>
        <v>0.32500000000000001</v>
      </c>
      <c r="BC65" s="92">
        <f>26*1.05-SUM(AZ65:BB65)</f>
        <v>1.3812500000000014</v>
      </c>
      <c r="BD65" s="92">
        <f t="shared" ref="BD65:BN65" si="381">AZ65*1.05</f>
        <v>5.3746875000000003</v>
      </c>
      <c r="BE65" s="92">
        <f t="shared" si="381"/>
        <v>21.498750000000001</v>
      </c>
      <c r="BF65" s="92">
        <f t="shared" si="381"/>
        <v>0.34125000000000005</v>
      </c>
      <c r="BG65" s="92">
        <f t="shared" si="381"/>
        <v>1.4503125000000014</v>
      </c>
      <c r="BH65" s="92">
        <f t="shared" si="381"/>
        <v>5.6434218750000005</v>
      </c>
      <c r="BI65" s="92">
        <f t="shared" si="381"/>
        <v>22.573687500000002</v>
      </c>
      <c r="BJ65" s="92">
        <f t="shared" si="381"/>
        <v>0.35831250000000009</v>
      </c>
      <c r="BK65" s="92">
        <f t="shared" si="381"/>
        <v>1.5228281250000015</v>
      </c>
      <c r="BL65" s="92">
        <f t="shared" si="381"/>
        <v>5.9255929687500011</v>
      </c>
      <c r="BM65" s="92">
        <f t="shared" si="381"/>
        <v>23.702371875000004</v>
      </c>
      <c r="BN65" s="92">
        <f t="shared" si="381"/>
        <v>0.37622812500000014</v>
      </c>
      <c r="BO65" s="92"/>
      <c r="BP65" s="88"/>
      <c r="BQ65" s="97"/>
      <c r="BR65" s="97"/>
      <c r="BS65" s="97"/>
      <c r="BT65" s="97"/>
      <c r="BU65" s="97"/>
      <c r="BV65" s="97">
        <v>15.5</v>
      </c>
      <c r="BW65" s="97">
        <v>18.899999999999999</v>
      </c>
      <c r="BX65" s="97">
        <v>20</v>
      </c>
      <c r="BY65" s="97">
        <f t="shared" ref="BY65:BY70" si="382">SUM(AI65:AL65)</f>
        <v>20.931249999999999</v>
      </c>
      <c r="BZ65" s="97">
        <f t="shared" ref="BZ65:BZ70" si="383">SUM(AM65:AP65)</f>
        <v>15.299999999999999</v>
      </c>
      <c r="CA65" s="97">
        <f t="shared" ref="CA65:CA70" si="384">SUM(AQ65:AT65)</f>
        <v>26.4375</v>
      </c>
      <c r="CB65" s="98">
        <f t="shared" ref="CB65:CB70" si="385">SUM(AU65:AX65)</f>
        <v>25.395833333333329</v>
      </c>
      <c r="CC65" s="98">
        <f t="shared" ref="CC65:CC70" si="386">SUM(AY65:BB65)</f>
        <v>28.085416666666667</v>
      </c>
      <c r="CD65" s="98">
        <f t="shared" ref="CD65:CD70" si="387">SUM(BC65:BF65)</f>
        <v>28.595937500000002</v>
      </c>
      <c r="CE65" s="98">
        <f t="shared" ref="CE65:CE70" si="388">SUM(BG65:BJ65)</f>
        <v>30.025734375000003</v>
      </c>
      <c r="CF65" s="98">
        <f t="shared" ref="CF65:CF70" si="389">SUM(BK65:BN65)</f>
        <v>31.527021093750008</v>
      </c>
      <c r="CG65" s="88"/>
      <c r="CH65" s="88"/>
      <c r="CI65" s="88"/>
    </row>
    <row r="66" spans="1:87" s="99" customFormat="1" ht="12.75" customHeight="1">
      <c r="A66" s="90" t="s">
        <v>381</v>
      </c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93">
        <f>10*75%</f>
        <v>7.5</v>
      </c>
      <c r="AK66" s="92">
        <f>10*0.25*0.75</f>
        <v>1.875</v>
      </c>
      <c r="AL66" s="92">
        <f>10*0.25*0.2</f>
        <v>0.5</v>
      </c>
      <c r="AM66" s="92">
        <f>10-SUM(AJ66:AL66)</f>
        <v>0.125</v>
      </c>
      <c r="AN66" s="100">
        <f>10*0.75</f>
        <v>7.5</v>
      </c>
      <c r="AO66" s="92">
        <f>10*0.25*0.75</f>
        <v>1.875</v>
      </c>
      <c r="AP66" s="92">
        <f>10*0.25*0.2</f>
        <v>0.5</v>
      </c>
      <c r="AQ66" s="94">
        <f>10-SUM(AN66:AP66)</f>
        <v>0.125</v>
      </c>
      <c r="AR66" s="95">
        <f>12*0.75</f>
        <v>9</v>
      </c>
      <c r="AS66" s="92">
        <f>12*0.25*0.75</f>
        <v>2.25</v>
      </c>
      <c r="AT66" s="92">
        <f>12*0.25*0.2</f>
        <v>0.60000000000000009</v>
      </c>
      <c r="AU66" s="94">
        <f>12-SUM(AR66:AT66)</f>
        <v>0.15000000000000036</v>
      </c>
      <c r="AV66" s="92">
        <f>12.5*0.75</f>
        <v>9.375</v>
      </c>
      <c r="AW66" s="92">
        <f>12.5*0.25*0.75</f>
        <v>2.34375</v>
      </c>
      <c r="AX66" s="92">
        <f>12.5*0.25*0.2</f>
        <v>0.625</v>
      </c>
      <c r="AY66" s="94">
        <f>12.5-SUM(AV66:AX66)</f>
        <v>0.15625</v>
      </c>
      <c r="AZ66" s="92">
        <f>AV66*1.01</f>
        <v>9.46875</v>
      </c>
      <c r="BA66" s="92">
        <f t="shared" ref="BA66:BN66" si="390">AW66*1.01</f>
        <v>2.3671875</v>
      </c>
      <c r="BB66" s="92">
        <f t="shared" si="390"/>
        <v>0.63124999999999998</v>
      </c>
      <c r="BC66" s="92">
        <f t="shared" si="390"/>
        <v>0.15781249999999999</v>
      </c>
      <c r="BD66" s="92">
        <f t="shared" si="390"/>
        <v>9.5634375000000009</v>
      </c>
      <c r="BE66" s="92">
        <f t="shared" si="390"/>
        <v>2.3908593750000002</v>
      </c>
      <c r="BF66" s="92">
        <f t="shared" si="390"/>
        <v>0.63756250000000003</v>
      </c>
      <c r="BG66" s="92">
        <f t="shared" si="390"/>
        <v>0.15939062500000001</v>
      </c>
      <c r="BH66" s="92">
        <f t="shared" si="390"/>
        <v>9.6590718750000004</v>
      </c>
      <c r="BI66" s="92">
        <f t="shared" si="390"/>
        <v>2.4147679687500001</v>
      </c>
      <c r="BJ66" s="92">
        <f t="shared" si="390"/>
        <v>0.64393812500000003</v>
      </c>
      <c r="BK66" s="92">
        <f t="shared" si="390"/>
        <v>0.16098453125000001</v>
      </c>
      <c r="BL66" s="92">
        <f t="shared" si="390"/>
        <v>9.7556625937500012</v>
      </c>
      <c r="BM66" s="92">
        <f t="shared" si="390"/>
        <v>2.4389156484375003</v>
      </c>
      <c r="BN66" s="92">
        <f t="shared" si="390"/>
        <v>0.65037750625000001</v>
      </c>
      <c r="BO66" s="92"/>
      <c r="BP66" s="88"/>
      <c r="BQ66" s="97"/>
      <c r="BR66" s="97"/>
      <c r="BS66" s="97"/>
      <c r="BT66" s="97"/>
      <c r="BU66" s="97"/>
      <c r="BV66" s="97">
        <v>7</v>
      </c>
      <c r="BW66" s="97">
        <v>7</v>
      </c>
      <c r="BX66" s="97">
        <v>8</v>
      </c>
      <c r="BY66" s="97">
        <f t="shared" si="382"/>
        <v>9.875</v>
      </c>
      <c r="BZ66" s="97">
        <f t="shared" si="383"/>
        <v>10</v>
      </c>
      <c r="CA66" s="97">
        <f t="shared" si="384"/>
        <v>11.975</v>
      </c>
      <c r="CB66" s="98">
        <f t="shared" si="385"/>
        <v>12.49375</v>
      </c>
      <c r="CC66" s="98">
        <f t="shared" si="386"/>
        <v>12.6234375</v>
      </c>
      <c r="CD66" s="98">
        <f t="shared" si="387"/>
        <v>12.749671875000001</v>
      </c>
      <c r="CE66" s="98">
        <f t="shared" si="388"/>
        <v>12.877168593750001</v>
      </c>
      <c r="CF66" s="98">
        <f t="shared" si="389"/>
        <v>13.005940279687502</v>
      </c>
      <c r="CG66" s="88"/>
      <c r="CH66" s="88"/>
      <c r="CI66" s="88"/>
    </row>
    <row r="67" spans="1:87" s="99" customFormat="1" ht="12.75" customHeight="1">
      <c r="A67" s="90" t="s">
        <v>385</v>
      </c>
      <c r="B67" s="88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93"/>
      <c r="AK67" s="93"/>
      <c r="AL67" s="93"/>
      <c r="AM67" s="93"/>
      <c r="AN67" s="93"/>
      <c r="AO67" s="100">
        <f>7*1.1*0.75</f>
        <v>5.7750000000000004</v>
      </c>
      <c r="AP67" s="100">
        <f>7*1.1*0.25*0.75</f>
        <v>1.4437500000000001</v>
      </c>
      <c r="AQ67" s="100">
        <v>1</v>
      </c>
      <c r="AR67" s="100">
        <v>1</v>
      </c>
      <c r="AS67" s="95">
        <f>AO67*1.03</f>
        <v>5.9482500000000007</v>
      </c>
      <c r="AT67" s="95">
        <f t="shared" ref="AT67:AV67" si="391">AP67*1.03</f>
        <v>1.4870625000000002</v>
      </c>
      <c r="AU67" s="95">
        <f t="shared" si="391"/>
        <v>1.03</v>
      </c>
      <c r="AV67" s="95">
        <f t="shared" si="391"/>
        <v>1.03</v>
      </c>
      <c r="AW67" s="92">
        <v>5</v>
      </c>
      <c r="AX67" s="92">
        <v>0.5</v>
      </c>
      <c r="AY67" s="92">
        <v>0.5</v>
      </c>
      <c r="AZ67" s="92">
        <v>0.5</v>
      </c>
      <c r="BA67" s="92">
        <f>AW67</f>
        <v>5</v>
      </c>
      <c r="BB67" s="92">
        <f t="shared" ref="BB67:BN67" si="392">AX67</f>
        <v>0.5</v>
      </c>
      <c r="BC67" s="92">
        <f t="shared" si="392"/>
        <v>0.5</v>
      </c>
      <c r="BD67" s="92">
        <f t="shared" si="392"/>
        <v>0.5</v>
      </c>
      <c r="BE67" s="92">
        <f t="shared" si="392"/>
        <v>5</v>
      </c>
      <c r="BF67" s="92">
        <f t="shared" si="392"/>
        <v>0.5</v>
      </c>
      <c r="BG67" s="92">
        <f t="shared" si="392"/>
        <v>0.5</v>
      </c>
      <c r="BH67" s="92">
        <f t="shared" si="392"/>
        <v>0.5</v>
      </c>
      <c r="BI67" s="92">
        <f t="shared" si="392"/>
        <v>5</v>
      </c>
      <c r="BJ67" s="92">
        <f t="shared" si="392"/>
        <v>0.5</v>
      </c>
      <c r="BK67" s="92">
        <f t="shared" si="392"/>
        <v>0.5</v>
      </c>
      <c r="BL67" s="92">
        <f t="shared" si="392"/>
        <v>0.5</v>
      </c>
      <c r="BM67" s="92">
        <f t="shared" si="392"/>
        <v>5</v>
      </c>
      <c r="BN67" s="92">
        <f t="shared" si="392"/>
        <v>0.5</v>
      </c>
      <c r="BO67" s="88"/>
      <c r="BP67" s="88"/>
      <c r="BQ67" s="97"/>
      <c r="BR67" s="97"/>
      <c r="BS67" s="97"/>
      <c r="BT67" s="97"/>
      <c r="BU67" s="97"/>
      <c r="BV67" s="97">
        <v>14</v>
      </c>
      <c r="BW67" s="97"/>
      <c r="BX67" s="97">
        <v>7</v>
      </c>
      <c r="BY67" s="97">
        <f t="shared" si="382"/>
        <v>0</v>
      </c>
      <c r="BZ67" s="97">
        <f t="shared" si="383"/>
        <v>7.21875</v>
      </c>
      <c r="CA67" s="97">
        <f t="shared" si="384"/>
        <v>9.4353125000000002</v>
      </c>
      <c r="CB67" s="98">
        <f t="shared" si="385"/>
        <v>7.5600000000000005</v>
      </c>
      <c r="CC67" s="98">
        <f t="shared" si="386"/>
        <v>6.5</v>
      </c>
      <c r="CD67" s="98">
        <f t="shared" si="387"/>
        <v>6.5</v>
      </c>
      <c r="CE67" s="98">
        <f t="shared" si="388"/>
        <v>6.5</v>
      </c>
      <c r="CF67" s="98">
        <f t="shared" si="389"/>
        <v>6.5</v>
      </c>
      <c r="CG67" s="88"/>
      <c r="CH67" s="88"/>
      <c r="CI67" s="88"/>
    </row>
    <row r="68" spans="1:87" s="106" customFormat="1" ht="12.75" customHeight="1">
      <c r="A68" s="90" t="s">
        <v>254</v>
      </c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  <c r="AC68" s="101">
        <f>19*0.75</f>
        <v>14.25</v>
      </c>
      <c r="AD68" s="101">
        <f>19*0.25/3</f>
        <v>1.5833333333333333</v>
      </c>
      <c r="AE68" s="101">
        <f t="shared" ref="AE68:AF68" si="393">19*0.25/3</f>
        <v>1.5833333333333333</v>
      </c>
      <c r="AF68" s="101">
        <f t="shared" si="393"/>
        <v>1.5833333333333333</v>
      </c>
      <c r="AG68" s="101"/>
      <c r="AH68" s="101"/>
      <c r="AI68" s="101"/>
      <c r="AJ68" s="102"/>
      <c r="AK68" s="102">
        <v>7.3</v>
      </c>
      <c r="AL68" s="102">
        <f>9*0.25*0.5</f>
        <v>1.125</v>
      </c>
      <c r="AM68" s="102">
        <f>9*0.25*0.2</f>
        <v>0.45</v>
      </c>
      <c r="AN68" s="102">
        <f>9-SUM(AK68:AM68)</f>
        <v>0.125</v>
      </c>
      <c r="AO68" s="100">
        <v>0</v>
      </c>
      <c r="AP68" s="100">
        <v>0</v>
      </c>
      <c r="AQ68" s="100">
        <v>0</v>
      </c>
      <c r="AR68" s="100">
        <v>0</v>
      </c>
      <c r="AS68" s="100">
        <v>0</v>
      </c>
      <c r="AT68" s="100">
        <v>0</v>
      </c>
      <c r="AU68" s="100">
        <v>0</v>
      </c>
      <c r="AV68" s="100">
        <v>0</v>
      </c>
      <c r="AW68" s="103">
        <f>12.5*0.75</f>
        <v>9.375</v>
      </c>
      <c r="AX68" s="103">
        <f>12.5*0.25*0.75</f>
        <v>2.34375</v>
      </c>
      <c r="AY68" s="103">
        <f>12.5*0.25*0.2</f>
        <v>0.625</v>
      </c>
      <c r="AZ68" s="103">
        <f>12.5-SUM(AW68:AY68)</f>
        <v>0.15625</v>
      </c>
      <c r="BA68" s="92">
        <v>0</v>
      </c>
      <c r="BB68" s="92">
        <v>0</v>
      </c>
      <c r="BC68" s="92">
        <v>0</v>
      </c>
      <c r="BD68" s="92">
        <v>0</v>
      </c>
      <c r="BE68" s="92">
        <v>0</v>
      </c>
      <c r="BF68" s="92">
        <v>0</v>
      </c>
      <c r="BG68" s="92">
        <v>0</v>
      </c>
      <c r="BH68" s="92">
        <f>13*0.75</f>
        <v>9.75</v>
      </c>
      <c r="BI68" s="92">
        <f>13*0.25*0.75</f>
        <v>2.4375</v>
      </c>
      <c r="BJ68" s="92">
        <f>13*0.25*0.2</f>
        <v>0.65</v>
      </c>
      <c r="BK68" s="92">
        <f>13-SUM(BH68:BJ68)</f>
        <v>0.16249999999999964</v>
      </c>
      <c r="BL68" s="92">
        <v>0</v>
      </c>
      <c r="BM68" s="92">
        <v>0</v>
      </c>
      <c r="BN68" s="92">
        <v>0</v>
      </c>
      <c r="BO68" s="101"/>
      <c r="BP68" s="101"/>
      <c r="BQ68" s="104">
        <v>15</v>
      </c>
      <c r="BR68" s="104"/>
      <c r="BS68" s="104"/>
      <c r="BT68" s="104">
        <v>15</v>
      </c>
      <c r="BU68" s="104"/>
      <c r="BV68" s="104"/>
      <c r="BW68" s="104">
        <v>19</v>
      </c>
      <c r="BX68" s="104">
        <v>0</v>
      </c>
      <c r="BY68" s="97">
        <f t="shared" si="382"/>
        <v>8.4250000000000007</v>
      </c>
      <c r="BZ68" s="97">
        <f t="shared" si="383"/>
        <v>0.57499999999999996</v>
      </c>
      <c r="CA68" s="97">
        <f t="shared" si="384"/>
        <v>0</v>
      </c>
      <c r="CB68" s="98">
        <f t="shared" si="385"/>
        <v>11.71875</v>
      </c>
      <c r="CC68" s="98">
        <f t="shared" si="386"/>
        <v>0.78125</v>
      </c>
      <c r="CD68" s="98">
        <f t="shared" si="387"/>
        <v>0</v>
      </c>
      <c r="CE68" s="98">
        <f t="shared" si="388"/>
        <v>12.8375</v>
      </c>
      <c r="CF68" s="98">
        <f t="shared" si="389"/>
        <v>0.16249999999999964</v>
      </c>
      <c r="CG68" s="105"/>
      <c r="CH68" s="101"/>
      <c r="CI68" s="101"/>
    </row>
    <row r="69" spans="1:87" s="99" customFormat="1" ht="12.75" customHeight="1">
      <c r="A69" s="90" t="s">
        <v>109</v>
      </c>
      <c r="B69" s="88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  <c r="AB69" s="88"/>
      <c r="AC69" s="88"/>
      <c r="AD69" s="88"/>
      <c r="AE69" s="88"/>
      <c r="AF69" s="88"/>
      <c r="AG69" s="88"/>
      <c r="AH69" s="88"/>
      <c r="AI69" s="88"/>
      <c r="AJ69" s="100">
        <v>0.5</v>
      </c>
      <c r="AK69" s="100">
        <v>5</v>
      </c>
      <c r="AL69" s="100">
        <v>6</v>
      </c>
      <c r="AM69" s="100">
        <v>1</v>
      </c>
      <c r="AN69" s="100">
        <v>1</v>
      </c>
      <c r="AO69" s="100">
        <v>5</v>
      </c>
      <c r="AP69" s="100">
        <v>5</v>
      </c>
      <c r="AQ69" s="100">
        <v>5</v>
      </c>
      <c r="AR69" s="100">
        <v>2</v>
      </c>
      <c r="AS69" s="100">
        <v>3</v>
      </c>
      <c r="AT69" s="100">
        <v>1</v>
      </c>
      <c r="AU69" s="100">
        <v>4</v>
      </c>
      <c r="AV69" s="100">
        <v>4.25</v>
      </c>
      <c r="AW69" s="100">
        <v>2</v>
      </c>
      <c r="AX69" s="100">
        <v>1</v>
      </c>
      <c r="AY69" s="100">
        <f>AVERAGE(AU69,AQ69,AM69)+2</f>
        <v>5.3333333333333339</v>
      </c>
      <c r="AZ69" s="100">
        <f>AVERAGE(AV69,AR69,AN69)+2</f>
        <v>4.4166666666666661</v>
      </c>
      <c r="BA69" s="100">
        <f t="shared" ref="BA69" si="394">AVERAGE(AW69,AS69,AO69)+2</f>
        <v>5.3333333333333339</v>
      </c>
      <c r="BB69" s="100">
        <f>AVERAGE(AX69,AT69,AP69)</f>
        <v>2.3333333333333335</v>
      </c>
      <c r="BC69" s="100">
        <f t="shared" ref="BC69:BN69" si="395">AVERAGE(AY69,AU69,AQ69)</f>
        <v>4.7777777777777777</v>
      </c>
      <c r="BD69" s="100">
        <f t="shared" si="395"/>
        <v>3.5555555555555554</v>
      </c>
      <c r="BE69" s="100">
        <f t="shared" si="395"/>
        <v>3.4444444444444446</v>
      </c>
      <c r="BF69" s="100">
        <f t="shared" si="395"/>
        <v>1.4444444444444446</v>
      </c>
      <c r="BG69" s="100">
        <f t="shared" si="395"/>
        <v>4.7037037037037033</v>
      </c>
      <c r="BH69" s="100">
        <f t="shared" si="395"/>
        <v>4.0740740740740735</v>
      </c>
      <c r="BI69" s="100">
        <f t="shared" si="395"/>
        <v>3.592592592592593</v>
      </c>
      <c r="BJ69" s="100">
        <f t="shared" si="395"/>
        <v>1.5925925925925928</v>
      </c>
      <c r="BK69" s="100">
        <f t="shared" si="395"/>
        <v>4.9382716049382713</v>
      </c>
      <c r="BL69" s="100">
        <f t="shared" si="395"/>
        <v>4.0154320987654311</v>
      </c>
      <c r="BM69" s="100">
        <f t="shared" si="395"/>
        <v>4.1234567901234573</v>
      </c>
      <c r="BN69" s="100">
        <f t="shared" si="395"/>
        <v>1.7901234567901234</v>
      </c>
      <c r="BO69" s="88"/>
      <c r="BP69" s="88"/>
      <c r="BQ69" s="97"/>
      <c r="BR69" s="97"/>
      <c r="BS69" s="97"/>
      <c r="BT69" s="97"/>
      <c r="BU69" s="97"/>
      <c r="BV69" s="97"/>
      <c r="BW69" s="97"/>
      <c r="BX69" s="97"/>
      <c r="BY69" s="98">
        <f t="shared" si="382"/>
        <v>11.5</v>
      </c>
      <c r="BZ69" s="98">
        <f t="shared" si="383"/>
        <v>12</v>
      </c>
      <c r="CA69" s="98">
        <f t="shared" si="384"/>
        <v>11</v>
      </c>
      <c r="CB69" s="98">
        <f t="shared" si="385"/>
        <v>11.25</v>
      </c>
      <c r="CC69" s="98">
        <f t="shared" si="386"/>
        <v>17.416666666666668</v>
      </c>
      <c r="CD69" s="98">
        <f t="shared" si="387"/>
        <v>13.222222222222221</v>
      </c>
      <c r="CE69" s="98">
        <f t="shared" si="388"/>
        <v>13.962962962962964</v>
      </c>
      <c r="CF69" s="98">
        <f t="shared" si="389"/>
        <v>14.867283950617283</v>
      </c>
      <c r="CG69" s="88"/>
      <c r="CH69" s="88"/>
      <c r="CI69" s="88"/>
    </row>
    <row r="70" spans="1:87" s="112" customFormat="1" ht="12.75" customHeight="1">
      <c r="A70" s="107" t="s">
        <v>177</v>
      </c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108"/>
      <c r="AH70" s="108"/>
      <c r="AI70" s="108"/>
      <c r="AJ70" s="109">
        <f t="shared" ref="AJ70:BN70" si="396">SUM(AJ65:AJ69)</f>
        <v>23</v>
      </c>
      <c r="AK70" s="109">
        <f t="shared" si="396"/>
        <v>17.925000000000001</v>
      </c>
      <c r="AL70" s="109">
        <f t="shared" si="396"/>
        <v>8.625</v>
      </c>
      <c r="AM70" s="109">
        <f t="shared" si="396"/>
        <v>1.825</v>
      </c>
      <c r="AN70" s="109">
        <f t="shared" si="396"/>
        <v>14</v>
      </c>
      <c r="AO70" s="109">
        <f t="shared" si="396"/>
        <v>21.25</v>
      </c>
      <c r="AP70" s="109">
        <f t="shared" si="396"/>
        <v>8.0187500000000007</v>
      </c>
      <c r="AQ70" s="109">
        <f t="shared" si="396"/>
        <v>8.125</v>
      </c>
      <c r="AR70" s="109">
        <f t="shared" si="396"/>
        <v>13</v>
      </c>
      <c r="AS70" s="109">
        <f t="shared" si="396"/>
        <v>29.948250000000002</v>
      </c>
      <c r="AT70" s="109">
        <f t="shared" si="396"/>
        <v>7.7745625</v>
      </c>
      <c r="AU70" s="109">
        <f t="shared" si="396"/>
        <v>6.7425000000000006</v>
      </c>
      <c r="AV70" s="109">
        <f t="shared" si="396"/>
        <v>20.504999999999999</v>
      </c>
      <c r="AW70" s="109">
        <f t="shared" si="396"/>
        <v>30.418749999999999</v>
      </c>
      <c r="AX70" s="109">
        <f t="shared" si="396"/>
        <v>10.752083333333333</v>
      </c>
      <c r="AY70" s="109">
        <f t="shared" si="396"/>
        <v>8.78125</v>
      </c>
      <c r="AZ70" s="109">
        <f t="shared" si="396"/>
        <v>19.660416666666666</v>
      </c>
      <c r="BA70" s="109">
        <f t="shared" si="396"/>
        <v>33.175520833333337</v>
      </c>
      <c r="BB70" s="109">
        <f t="shared" si="396"/>
        <v>3.7895833333333337</v>
      </c>
      <c r="BC70" s="109">
        <f t="shared" si="396"/>
        <v>6.8168402777777786</v>
      </c>
      <c r="BD70" s="109">
        <f t="shared" si="396"/>
        <v>18.993680555555557</v>
      </c>
      <c r="BE70" s="109">
        <f t="shared" si="396"/>
        <v>32.334053819444449</v>
      </c>
      <c r="BF70" s="109">
        <f t="shared" si="396"/>
        <v>2.9232569444444447</v>
      </c>
      <c r="BG70" s="109">
        <f t="shared" si="396"/>
        <v>6.8134068287037053</v>
      </c>
      <c r="BH70" s="109">
        <f t="shared" si="396"/>
        <v>29.626567824074073</v>
      </c>
      <c r="BI70" s="109">
        <f t="shared" si="396"/>
        <v>36.018548061342599</v>
      </c>
      <c r="BJ70" s="109">
        <f t="shared" si="396"/>
        <v>3.7448432175925932</v>
      </c>
      <c r="BK70" s="109">
        <f t="shared" si="396"/>
        <v>7.2845842611882725</v>
      </c>
      <c r="BL70" s="109">
        <f t="shared" si="396"/>
        <v>20.196687661265432</v>
      </c>
      <c r="BM70" s="109">
        <f t="shared" si="396"/>
        <v>35.264744313560961</v>
      </c>
      <c r="BN70" s="109">
        <f t="shared" si="396"/>
        <v>3.3167290880401237</v>
      </c>
      <c r="BO70" s="88"/>
      <c r="BP70" s="108"/>
      <c r="BQ70" s="110"/>
      <c r="BR70" s="110"/>
      <c r="BS70" s="110"/>
      <c r="BT70" s="110"/>
      <c r="BU70" s="110"/>
      <c r="BV70" s="110"/>
      <c r="BW70" s="110"/>
      <c r="BX70" s="110"/>
      <c r="BY70" s="111">
        <f t="shared" si="382"/>
        <v>49.55</v>
      </c>
      <c r="BZ70" s="111">
        <f t="shared" si="383"/>
        <v>45.09375</v>
      </c>
      <c r="CA70" s="111">
        <f t="shared" si="384"/>
        <v>58.847812500000003</v>
      </c>
      <c r="CB70" s="111">
        <f t="shared" si="385"/>
        <v>68.418333333333337</v>
      </c>
      <c r="CC70" s="111">
        <f t="shared" si="386"/>
        <v>65.40677083333334</v>
      </c>
      <c r="CD70" s="111">
        <f t="shared" si="387"/>
        <v>61.067831597222231</v>
      </c>
      <c r="CE70" s="111">
        <f t="shared" si="388"/>
        <v>76.203365931712966</v>
      </c>
      <c r="CF70" s="111">
        <f t="shared" si="389"/>
        <v>66.062745324054788</v>
      </c>
      <c r="CG70" s="108"/>
      <c r="CH70" s="108"/>
      <c r="CI70" s="108"/>
    </row>
    <row r="71" spans="1:87" s="99" customFormat="1" ht="12.75" customHeight="1">
      <c r="A71" s="113"/>
      <c r="B71" s="88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88"/>
      <c r="AM71" s="88"/>
      <c r="AN71" s="114"/>
      <c r="AO71" s="114"/>
      <c r="AP71" s="114"/>
      <c r="AQ71" s="114"/>
      <c r="AR71" s="114"/>
      <c r="AS71" s="114"/>
      <c r="AT71" s="114"/>
      <c r="AU71" s="88"/>
      <c r="AV71" s="115"/>
      <c r="AW71" s="115"/>
      <c r="AX71" s="88"/>
      <c r="AY71" s="88"/>
      <c r="AZ71" s="88"/>
      <c r="BA71" s="88"/>
      <c r="BB71" s="88"/>
      <c r="BC71" s="88"/>
      <c r="BD71" s="88"/>
      <c r="BE71" s="88"/>
      <c r="BF71" s="88"/>
      <c r="BG71" s="88"/>
      <c r="BH71" s="88"/>
      <c r="BI71" s="88"/>
      <c r="BJ71" s="88"/>
      <c r="BK71" s="88"/>
      <c r="BL71" s="88"/>
      <c r="BM71" s="88"/>
      <c r="BN71" s="88"/>
      <c r="BO71" s="88"/>
      <c r="BP71" s="88"/>
      <c r="BQ71" s="88"/>
      <c r="BR71" s="88"/>
      <c r="BS71" s="88"/>
      <c r="BT71" s="88"/>
      <c r="BU71" s="88"/>
      <c r="BV71" s="88"/>
      <c r="BW71" s="88"/>
      <c r="BX71" s="88"/>
      <c r="BY71" s="88"/>
      <c r="BZ71" s="88"/>
      <c r="CA71" s="88"/>
      <c r="CB71" s="88"/>
      <c r="CC71" s="88"/>
      <c r="CD71" s="88"/>
      <c r="CE71" s="88"/>
      <c r="CF71" s="88"/>
      <c r="CG71" s="88"/>
      <c r="CH71" s="88"/>
      <c r="CI71" s="88"/>
    </row>
    <row r="72" spans="1:87" s="120" customFormat="1" ht="12.75" customHeight="1">
      <c r="A72" s="87" t="s">
        <v>429</v>
      </c>
      <c r="B72" s="116"/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>
        <v>0.28999999999999998</v>
      </c>
      <c r="AA72" s="116">
        <v>0.27</v>
      </c>
      <c r="AB72" s="116">
        <v>0.3</v>
      </c>
      <c r="AC72" s="116">
        <v>0.32</v>
      </c>
      <c r="AD72" s="116">
        <v>0.33</v>
      </c>
      <c r="AE72" s="116">
        <v>0.34</v>
      </c>
      <c r="AF72" s="116">
        <v>0.36</v>
      </c>
      <c r="AG72" s="116">
        <v>0.37</v>
      </c>
      <c r="AH72" s="116">
        <v>0.39</v>
      </c>
      <c r="AI72" s="116">
        <v>0.4</v>
      </c>
      <c r="AJ72" s="116">
        <v>0.42</v>
      </c>
      <c r="AK72" s="116">
        <v>0.47</v>
      </c>
      <c r="AL72" s="116">
        <v>0.49</v>
      </c>
      <c r="AM72" s="116">
        <v>0.47</v>
      </c>
      <c r="AN72" s="116">
        <v>0.5</v>
      </c>
      <c r="AO72" s="116">
        <v>0.49</v>
      </c>
      <c r="AP72" s="116">
        <v>0.49</v>
      </c>
      <c r="AQ72" s="116">
        <v>0.52</v>
      </c>
      <c r="AR72" s="116">
        <v>0.56000000000000005</v>
      </c>
      <c r="AS72" s="116">
        <v>0.62</v>
      </c>
      <c r="AT72" s="116">
        <v>0.62</v>
      </c>
      <c r="AU72" s="116">
        <v>0.57999999999999996</v>
      </c>
      <c r="AV72" s="116">
        <v>0.62</v>
      </c>
      <c r="AW72" s="117">
        <f t="shared" ref="AW72:BN72" si="397">(SUMPRODUCT(AW73:AW75,AW65:AW67)+AW76*SUM(AW68:AW69))/AW70</f>
        <v>0.62759126893000883</v>
      </c>
      <c r="AX72" s="117">
        <f t="shared" si="397"/>
        <v>0.59493914767999823</v>
      </c>
      <c r="AY72" s="117">
        <f t="shared" si="397"/>
        <v>0.71685523689903019</v>
      </c>
      <c r="AZ72" s="117">
        <f t="shared" si="397"/>
        <v>0.67637611653753371</v>
      </c>
      <c r="BA72" s="117">
        <f t="shared" si="397"/>
        <v>0.60462003289470656</v>
      </c>
      <c r="BB72" s="117">
        <f t="shared" si="397"/>
        <v>0.76583979562138216</v>
      </c>
      <c r="BC72" s="117">
        <f t="shared" si="397"/>
        <v>0.75417058149377159</v>
      </c>
      <c r="BD72" s="117">
        <f t="shared" si="397"/>
        <v>0.69881291356580799</v>
      </c>
      <c r="BE72" s="117">
        <f t="shared" si="397"/>
        <v>0.6247235212804394</v>
      </c>
      <c r="BF72" s="117">
        <f t="shared" si="397"/>
        <v>0.76743943691376337</v>
      </c>
      <c r="BG72" s="117">
        <f t="shared" si="397"/>
        <v>0.763537575465847</v>
      </c>
      <c r="BH72" s="117">
        <f t="shared" si="397"/>
        <v>0.76164334367675368</v>
      </c>
      <c r="BI72" s="117">
        <f t="shared" si="397"/>
        <v>0.67006373741747838</v>
      </c>
      <c r="BJ72" s="117">
        <f t="shared" si="397"/>
        <v>0.79422152218218545</v>
      </c>
      <c r="BK72" s="117">
        <f t="shared" si="397"/>
        <v>0.77589977325728876</v>
      </c>
      <c r="BL72" s="117">
        <f t="shared" si="397"/>
        <v>0.75162380115143623</v>
      </c>
      <c r="BM72" s="117">
        <f t="shared" si="397"/>
        <v>0.68834667730206855</v>
      </c>
      <c r="BN72" s="117">
        <f t="shared" si="397"/>
        <v>0.79388969788075925</v>
      </c>
      <c r="BO72" s="117"/>
      <c r="BP72" s="118"/>
      <c r="BQ72" s="118"/>
      <c r="BR72" s="118"/>
      <c r="BS72" s="118"/>
      <c r="BT72" s="118"/>
      <c r="BU72" s="118"/>
      <c r="BV72" s="118"/>
      <c r="BW72" s="118"/>
      <c r="BX72" s="118"/>
      <c r="BY72" s="119">
        <f>AVERAGE(AI72:AL72)</f>
        <v>0.44500000000000001</v>
      </c>
      <c r="BZ72" s="119">
        <f>AVERAGE(AM72:AP72)</f>
        <v>0.48749999999999999</v>
      </c>
      <c r="CA72" s="119">
        <f>AVERAGE(AQ72:AT72)</f>
        <v>0.58000000000000007</v>
      </c>
      <c r="CB72" s="119">
        <f>AVERAGE(AU72:AX72)</f>
        <v>0.60563260415250175</v>
      </c>
      <c r="CC72" s="119">
        <f>AVERAGE(AY72:BB72)</f>
        <v>0.69092279548816316</v>
      </c>
      <c r="CD72" s="119">
        <f>AVERAGE(BC72:BF72)</f>
        <v>0.71128661331344567</v>
      </c>
      <c r="CE72" s="119">
        <f>AVERAGE(BG72:BJ72)</f>
        <v>0.74736654468556607</v>
      </c>
      <c r="CF72" s="119">
        <f>AVERAGE(BK72:BN72)</f>
        <v>0.7524399873978882</v>
      </c>
      <c r="CG72" s="118"/>
      <c r="CH72" s="116"/>
      <c r="CI72" s="116"/>
    </row>
    <row r="73" spans="1:87" s="120" customFormat="1" ht="12.75" customHeight="1">
      <c r="A73" s="121" t="s">
        <v>253</v>
      </c>
      <c r="B73" s="122"/>
      <c r="C73" s="122"/>
      <c r="D73" s="122"/>
      <c r="E73" s="122"/>
      <c r="F73" s="122"/>
      <c r="G73" s="122"/>
      <c r="H73" s="122"/>
      <c r="I73" s="122"/>
      <c r="J73" s="122"/>
      <c r="K73" s="122"/>
      <c r="L73" s="122"/>
      <c r="M73" s="122"/>
      <c r="N73" s="122"/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  <c r="AA73" s="122"/>
      <c r="AB73" s="122">
        <v>0.16</v>
      </c>
      <c r="AC73" s="122"/>
      <c r="AD73" s="122"/>
      <c r="AE73" s="122"/>
      <c r="AF73" s="122">
        <v>0.24</v>
      </c>
      <c r="AG73" s="122"/>
      <c r="AH73" s="122"/>
      <c r="AI73" s="122"/>
      <c r="AJ73" s="122">
        <v>0.28999999999999998</v>
      </c>
      <c r="AK73" s="122"/>
      <c r="AL73" s="122"/>
      <c r="AM73" s="122"/>
      <c r="AN73" s="122">
        <v>0.34</v>
      </c>
      <c r="AO73" s="123">
        <v>0.32</v>
      </c>
      <c r="AP73" s="123">
        <v>0.35</v>
      </c>
      <c r="AQ73" s="123">
        <f>AP73</f>
        <v>0.35</v>
      </c>
      <c r="AR73" s="123">
        <v>0.4</v>
      </c>
      <c r="AS73" s="123">
        <v>0.55000000000000004</v>
      </c>
      <c r="AT73" s="123">
        <f>AS73</f>
        <v>0.55000000000000004</v>
      </c>
      <c r="AU73" s="123">
        <v>0.45</v>
      </c>
      <c r="AV73" s="123">
        <f t="shared" ref="AV73:BB75" si="398">AU73+1%</f>
        <v>0.46</v>
      </c>
      <c r="AW73" s="123">
        <f t="shared" si="398"/>
        <v>0.47000000000000003</v>
      </c>
      <c r="AX73" s="123">
        <f t="shared" si="398"/>
        <v>0.48000000000000004</v>
      </c>
      <c r="AY73" s="123">
        <f t="shared" si="398"/>
        <v>0.49000000000000005</v>
      </c>
      <c r="AZ73" s="123">
        <f t="shared" si="398"/>
        <v>0.5</v>
      </c>
      <c r="BA73" s="123">
        <f t="shared" si="398"/>
        <v>0.51</v>
      </c>
      <c r="BB73" s="123">
        <f t="shared" si="398"/>
        <v>0.52</v>
      </c>
      <c r="BC73" s="123">
        <f t="shared" ref="BC73:BN73" si="399">BB73+1%</f>
        <v>0.53</v>
      </c>
      <c r="BD73" s="123">
        <f t="shared" si="399"/>
        <v>0.54</v>
      </c>
      <c r="BE73" s="123">
        <f t="shared" si="399"/>
        <v>0.55000000000000004</v>
      </c>
      <c r="BF73" s="123">
        <f t="shared" si="399"/>
        <v>0.56000000000000005</v>
      </c>
      <c r="BG73" s="123">
        <f t="shared" si="399"/>
        <v>0.57000000000000006</v>
      </c>
      <c r="BH73" s="123">
        <f t="shared" si="399"/>
        <v>0.58000000000000007</v>
      </c>
      <c r="BI73" s="123">
        <f t="shared" si="399"/>
        <v>0.59000000000000008</v>
      </c>
      <c r="BJ73" s="123">
        <f t="shared" si="399"/>
        <v>0.60000000000000009</v>
      </c>
      <c r="BK73" s="123">
        <f t="shared" si="399"/>
        <v>0.6100000000000001</v>
      </c>
      <c r="BL73" s="123">
        <f t="shared" si="399"/>
        <v>0.62000000000000011</v>
      </c>
      <c r="BM73" s="123">
        <f t="shared" si="399"/>
        <v>0.63000000000000012</v>
      </c>
      <c r="BN73" s="123">
        <f t="shared" si="399"/>
        <v>0.64000000000000012</v>
      </c>
      <c r="BO73" s="124"/>
      <c r="BP73" s="124"/>
      <c r="BQ73" s="124"/>
      <c r="BR73" s="124"/>
      <c r="BS73" s="124"/>
      <c r="BT73" s="124"/>
      <c r="BU73" s="124"/>
      <c r="BV73" s="124"/>
      <c r="BW73" s="124"/>
      <c r="BX73" s="124"/>
      <c r="BY73" s="125">
        <f t="shared" ref="BY73:BY74" si="400">AVERAGE(AI73:AL73)</f>
        <v>0.28999999999999998</v>
      </c>
      <c r="BZ73" s="125">
        <f t="shared" ref="BZ73:BZ76" si="401">AVERAGE(AM73:AP73)</f>
        <v>0.33666666666666667</v>
      </c>
      <c r="CA73" s="125">
        <f t="shared" ref="CA73:CA76" si="402">AVERAGE(AQ73:AT73)</f>
        <v>0.46250000000000002</v>
      </c>
      <c r="CB73" s="125">
        <f t="shared" ref="CB73:CB76" si="403">AVERAGE(AU73:AX73)</f>
        <v>0.46500000000000002</v>
      </c>
      <c r="CC73" s="125">
        <f t="shared" ref="CC73:CC76" si="404">AVERAGE(AY73:BB73)</f>
        <v>0.505</v>
      </c>
      <c r="CD73" s="125">
        <f t="shared" ref="CD73:CD76" si="405">AVERAGE(BC73:BF73)</f>
        <v>0.54500000000000004</v>
      </c>
      <c r="CE73" s="125">
        <f t="shared" ref="CE73:CE76" si="406">AVERAGE(BG73:BJ73)</f>
        <v>0.58500000000000008</v>
      </c>
      <c r="CF73" s="125">
        <f t="shared" ref="CF73:CF76" si="407">AVERAGE(BK73:BN73)</f>
        <v>0.62500000000000011</v>
      </c>
      <c r="CG73" s="118"/>
      <c r="CH73" s="116"/>
      <c r="CI73" s="116"/>
    </row>
    <row r="74" spans="1:87" s="120" customFormat="1" ht="12.75" customHeight="1">
      <c r="A74" s="121" t="s">
        <v>381</v>
      </c>
      <c r="B74" s="122"/>
      <c r="C74" s="122"/>
      <c r="D74" s="122"/>
      <c r="E74" s="122"/>
      <c r="F74" s="122"/>
      <c r="G74" s="122"/>
      <c r="H74" s="122"/>
      <c r="I74" s="122"/>
      <c r="J74" s="122"/>
      <c r="K74" s="122"/>
      <c r="L74" s="122"/>
      <c r="M74" s="122"/>
      <c r="N74" s="122"/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  <c r="AA74" s="122"/>
      <c r="AB74" s="122">
        <v>0.24</v>
      </c>
      <c r="AC74" s="122"/>
      <c r="AD74" s="122"/>
      <c r="AE74" s="122"/>
      <c r="AF74" s="122">
        <v>0.33</v>
      </c>
      <c r="AG74" s="122"/>
      <c r="AH74" s="122"/>
      <c r="AI74" s="122"/>
      <c r="AJ74" s="122">
        <v>0.42</v>
      </c>
      <c r="AK74" s="122"/>
      <c r="AL74" s="122"/>
      <c r="AM74" s="122"/>
      <c r="AN74" s="122">
        <v>0.51</v>
      </c>
      <c r="AO74" s="123">
        <v>0.45</v>
      </c>
      <c r="AP74" s="123">
        <v>0.5</v>
      </c>
      <c r="AQ74" s="123">
        <v>0.5</v>
      </c>
      <c r="AR74" s="122">
        <f>AN74+14%</f>
        <v>0.65</v>
      </c>
      <c r="AS74" s="123">
        <v>0.7</v>
      </c>
      <c r="AT74" s="123">
        <f>AS74</f>
        <v>0.7</v>
      </c>
      <c r="AU74" s="123">
        <v>0.65</v>
      </c>
      <c r="AV74" s="123">
        <f t="shared" si="398"/>
        <v>0.66</v>
      </c>
      <c r="AW74" s="123">
        <f t="shared" si="398"/>
        <v>0.67</v>
      </c>
      <c r="AX74" s="123">
        <f t="shared" si="398"/>
        <v>0.68</v>
      </c>
      <c r="AY74" s="123">
        <f t="shared" si="398"/>
        <v>0.69000000000000006</v>
      </c>
      <c r="AZ74" s="123">
        <f t="shared" si="398"/>
        <v>0.70000000000000007</v>
      </c>
      <c r="BA74" s="123">
        <f t="shared" si="398"/>
        <v>0.71000000000000008</v>
      </c>
      <c r="BB74" s="123">
        <f t="shared" si="398"/>
        <v>0.72000000000000008</v>
      </c>
      <c r="BC74" s="123">
        <f t="shared" ref="BC74:BJ74" si="408">BB74+1%</f>
        <v>0.73000000000000009</v>
      </c>
      <c r="BD74" s="123">
        <f t="shared" si="408"/>
        <v>0.7400000000000001</v>
      </c>
      <c r="BE74" s="123">
        <f t="shared" si="408"/>
        <v>0.75000000000000011</v>
      </c>
      <c r="BF74" s="123">
        <f t="shared" si="408"/>
        <v>0.76000000000000012</v>
      </c>
      <c r="BG74" s="123">
        <f t="shared" si="408"/>
        <v>0.77000000000000013</v>
      </c>
      <c r="BH74" s="123">
        <f t="shared" si="408"/>
        <v>0.78000000000000014</v>
      </c>
      <c r="BI74" s="123">
        <f t="shared" si="408"/>
        <v>0.79000000000000015</v>
      </c>
      <c r="BJ74" s="123">
        <f t="shared" si="408"/>
        <v>0.80000000000000016</v>
      </c>
      <c r="BK74" s="123">
        <f t="shared" ref="BB74:BN76" si="409">BJ74</f>
        <v>0.80000000000000016</v>
      </c>
      <c r="BL74" s="123">
        <f t="shared" si="409"/>
        <v>0.80000000000000016</v>
      </c>
      <c r="BM74" s="123">
        <f t="shared" si="409"/>
        <v>0.80000000000000016</v>
      </c>
      <c r="BN74" s="123">
        <f t="shared" si="409"/>
        <v>0.80000000000000016</v>
      </c>
      <c r="BO74" s="124"/>
      <c r="BP74" s="124"/>
      <c r="BQ74" s="124"/>
      <c r="BR74" s="124"/>
      <c r="BS74" s="124"/>
      <c r="BT74" s="124"/>
      <c r="BU74" s="124"/>
      <c r="BV74" s="124"/>
      <c r="BW74" s="124"/>
      <c r="BX74" s="124"/>
      <c r="BY74" s="125">
        <f t="shared" si="400"/>
        <v>0.42</v>
      </c>
      <c r="BZ74" s="125">
        <f t="shared" si="401"/>
        <v>0.48666666666666664</v>
      </c>
      <c r="CA74" s="125">
        <f t="shared" si="402"/>
        <v>0.63749999999999996</v>
      </c>
      <c r="CB74" s="125">
        <f t="shared" si="403"/>
        <v>0.66500000000000004</v>
      </c>
      <c r="CC74" s="125">
        <f t="shared" si="404"/>
        <v>0.70500000000000007</v>
      </c>
      <c r="CD74" s="125">
        <f t="shared" si="405"/>
        <v>0.74500000000000011</v>
      </c>
      <c r="CE74" s="125">
        <f t="shared" si="406"/>
        <v>0.78500000000000014</v>
      </c>
      <c r="CF74" s="125">
        <f t="shared" si="407"/>
        <v>0.80000000000000016</v>
      </c>
      <c r="CG74" s="118"/>
      <c r="CH74" s="116"/>
      <c r="CI74" s="116"/>
    </row>
    <row r="75" spans="1:87" s="120" customFormat="1" ht="12.75" customHeight="1">
      <c r="A75" s="121" t="s">
        <v>385</v>
      </c>
      <c r="B75" s="122"/>
      <c r="C75" s="122"/>
      <c r="D75" s="122"/>
      <c r="E75" s="122"/>
      <c r="F75" s="122"/>
      <c r="G75" s="122"/>
      <c r="H75" s="122"/>
      <c r="I75" s="122"/>
      <c r="J75" s="122"/>
      <c r="K75" s="122"/>
      <c r="L75" s="122"/>
      <c r="M75" s="122"/>
      <c r="N75" s="122"/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  <c r="AA75" s="122"/>
      <c r="AB75" s="122"/>
      <c r="AC75" s="122">
        <v>0.16</v>
      </c>
      <c r="AD75" s="122"/>
      <c r="AE75" s="122"/>
      <c r="AF75" s="122"/>
      <c r="AG75" s="122">
        <v>0.28000000000000003</v>
      </c>
      <c r="AH75" s="122"/>
      <c r="AI75" s="122"/>
      <c r="AJ75" s="122"/>
      <c r="AK75" s="122"/>
      <c r="AL75" s="122"/>
      <c r="AM75" s="122"/>
      <c r="AN75" s="122"/>
      <c r="AO75" s="123">
        <v>0.45</v>
      </c>
      <c r="AP75" s="123">
        <v>0.45</v>
      </c>
      <c r="AQ75" s="123">
        <v>0.45</v>
      </c>
      <c r="AR75" s="123">
        <v>0.45</v>
      </c>
      <c r="AS75" s="123">
        <v>0.68</v>
      </c>
      <c r="AT75" s="123">
        <f>AS75</f>
        <v>0.68</v>
      </c>
      <c r="AU75" s="123">
        <v>0.65</v>
      </c>
      <c r="AV75" s="123">
        <f t="shared" si="398"/>
        <v>0.66</v>
      </c>
      <c r="AW75" s="123">
        <f t="shared" si="398"/>
        <v>0.67</v>
      </c>
      <c r="AX75" s="123">
        <f t="shared" si="398"/>
        <v>0.68</v>
      </c>
      <c r="AY75" s="123">
        <f t="shared" si="398"/>
        <v>0.69000000000000006</v>
      </c>
      <c r="AZ75" s="123">
        <f t="shared" si="398"/>
        <v>0.70000000000000007</v>
      </c>
      <c r="BA75" s="123">
        <f t="shared" si="398"/>
        <v>0.71000000000000008</v>
      </c>
      <c r="BB75" s="123">
        <f t="shared" si="398"/>
        <v>0.72000000000000008</v>
      </c>
      <c r="BC75" s="123">
        <f t="shared" ref="BC75:BJ75" si="410">BB75+1%</f>
        <v>0.73000000000000009</v>
      </c>
      <c r="BD75" s="123">
        <f t="shared" si="410"/>
        <v>0.7400000000000001</v>
      </c>
      <c r="BE75" s="123">
        <f t="shared" si="410"/>
        <v>0.75000000000000011</v>
      </c>
      <c r="BF75" s="123">
        <f t="shared" si="410"/>
        <v>0.76000000000000012</v>
      </c>
      <c r="BG75" s="123">
        <f t="shared" si="410"/>
        <v>0.77000000000000013</v>
      </c>
      <c r="BH75" s="123">
        <f t="shared" si="410"/>
        <v>0.78000000000000014</v>
      </c>
      <c r="BI75" s="123">
        <f t="shared" si="410"/>
        <v>0.79000000000000015</v>
      </c>
      <c r="BJ75" s="123">
        <f t="shared" si="410"/>
        <v>0.80000000000000016</v>
      </c>
      <c r="BK75" s="123">
        <f t="shared" si="409"/>
        <v>0.80000000000000016</v>
      </c>
      <c r="BL75" s="123">
        <f t="shared" si="409"/>
        <v>0.80000000000000016</v>
      </c>
      <c r="BM75" s="123">
        <f t="shared" si="409"/>
        <v>0.80000000000000016</v>
      </c>
      <c r="BN75" s="123">
        <f t="shared" si="409"/>
        <v>0.80000000000000016</v>
      </c>
      <c r="BO75" s="124"/>
      <c r="BP75" s="124"/>
      <c r="BQ75" s="124"/>
      <c r="BR75" s="124"/>
      <c r="BS75" s="124"/>
      <c r="BT75" s="124"/>
      <c r="BU75" s="124"/>
      <c r="BV75" s="124"/>
      <c r="BW75" s="124"/>
      <c r="BX75" s="124"/>
      <c r="BY75" s="125"/>
      <c r="BZ75" s="125">
        <f t="shared" si="401"/>
        <v>0.45</v>
      </c>
      <c r="CA75" s="125">
        <f t="shared" si="402"/>
        <v>0.56500000000000006</v>
      </c>
      <c r="CB75" s="125">
        <f t="shared" si="403"/>
        <v>0.66500000000000004</v>
      </c>
      <c r="CC75" s="125">
        <f t="shared" si="404"/>
        <v>0.70500000000000007</v>
      </c>
      <c r="CD75" s="125">
        <f t="shared" si="405"/>
        <v>0.74500000000000011</v>
      </c>
      <c r="CE75" s="125">
        <f t="shared" si="406"/>
        <v>0.78500000000000014</v>
      </c>
      <c r="CF75" s="125">
        <f t="shared" si="407"/>
        <v>0.80000000000000016</v>
      </c>
      <c r="CG75" s="118"/>
      <c r="CH75" s="116"/>
      <c r="CI75" s="116"/>
    </row>
    <row r="76" spans="1:87" s="120" customFormat="1" ht="12.75" customHeight="1">
      <c r="A76" s="121" t="s">
        <v>109</v>
      </c>
      <c r="B76" s="122"/>
      <c r="C76" s="122"/>
      <c r="D76" s="122"/>
      <c r="E76" s="122"/>
      <c r="F76" s="122"/>
      <c r="G76" s="122"/>
      <c r="H76" s="122"/>
      <c r="I76" s="122"/>
      <c r="J76" s="122"/>
      <c r="K76" s="122"/>
      <c r="L76" s="122"/>
      <c r="M76" s="122"/>
      <c r="N76" s="122"/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  <c r="AA76" s="122"/>
      <c r="AB76" s="122"/>
      <c r="AC76" s="122"/>
      <c r="AD76" s="122"/>
      <c r="AE76" s="122"/>
      <c r="AF76" s="122"/>
      <c r="AG76" s="122"/>
      <c r="AH76" s="122"/>
      <c r="AI76" s="122"/>
      <c r="AJ76" s="122"/>
      <c r="AK76" s="122"/>
      <c r="AL76" s="122"/>
      <c r="AM76" s="122"/>
      <c r="AN76" s="122"/>
      <c r="AO76" s="126">
        <f t="shared" ref="AO76:AV76" si="411">((AO70*AO72)-SUMPRODUCT(AO65:AO67,AO73:AO75))/(AO70-SUM(AO65:AO67))</f>
        <v>0.84360000000000002</v>
      </c>
      <c r="AP76" s="126">
        <f t="shared" si="411"/>
        <v>0.53064999999999996</v>
      </c>
      <c r="AQ76" s="126">
        <f t="shared" si="411"/>
        <v>0.60250000000000015</v>
      </c>
      <c r="AR76" s="126">
        <f t="shared" si="411"/>
        <v>0.29000000000000004</v>
      </c>
      <c r="AS76" s="126">
        <f t="shared" si="411"/>
        <v>0.8785349999999994</v>
      </c>
      <c r="AT76" s="126">
        <f t="shared" si="411"/>
        <v>0.81090124999999968</v>
      </c>
      <c r="AU76" s="126">
        <f t="shared" si="411"/>
        <v>0.6101312499999999</v>
      </c>
      <c r="AV76" s="126">
        <f t="shared" si="411"/>
        <v>0.74230588235294115</v>
      </c>
      <c r="AW76" s="123">
        <f>AV76+2%</f>
        <v>0.76230588235294117</v>
      </c>
      <c r="AX76" s="123">
        <f>AW76+2%</f>
        <v>0.78230588235294118</v>
      </c>
      <c r="AY76" s="123">
        <f>AX76+2%</f>
        <v>0.8023058823529412</v>
      </c>
      <c r="AZ76" s="123">
        <f>AY76+2%</f>
        <v>0.82230588235294122</v>
      </c>
      <c r="BA76" s="123">
        <f>AZ76</f>
        <v>0.82230588235294122</v>
      </c>
      <c r="BB76" s="123">
        <f t="shared" si="409"/>
        <v>0.82230588235294122</v>
      </c>
      <c r="BC76" s="123">
        <f t="shared" si="409"/>
        <v>0.82230588235294122</v>
      </c>
      <c r="BD76" s="123">
        <f t="shared" si="409"/>
        <v>0.82230588235294122</v>
      </c>
      <c r="BE76" s="123">
        <f t="shared" si="409"/>
        <v>0.82230588235294122</v>
      </c>
      <c r="BF76" s="123">
        <f t="shared" si="409"/>
        <v>0.82230588235294122</v>
      </c>
      <c r="BG76" s="123">
        <f t="shared" si="409"/>
        <v>0.82230588235294122</v>
      </c>
      <c r="BH76" s="123">
        <f t="shared" si="409"/>
        <v>0.82230588235294122</v>
      </c>
      <c r="BI76" s="123">
        <f t="shared" si="409"/>
        <v>0.82230588235294122</v>
      </c>
      <c r="BJ76" s="123">
        <f t="shared" si="409"/>
        <v>0.82230588235294122</v>
      </c>
      <c r="BK76" s="123">
        <f t="shared" si="409"/>
        <v>0.82230588235294122</v>
      </c>
      <c r="BL76" s="123">
        <f t="shared" si="409"/>
        <v>0.82230588235294122</v>
      </c>
      <c r="BM76" s="123">
        <f t="shared" si="409"/>
        <v>0.82230588235294122</v>
      </c>
      <c r="BN76" s="123">
        <f t="shared" si="409"/>
        <v>0.82230588235294122</v>
      </c>
      <c r="BO76" s="123"/>
      <c r="BP76" s="124"/>
      <c r="BQ76" s="124"/>
      <c r="BR76" s="124"/>
      <c r="BS76" s="124"/>
      <c r="BT76" s="124"/>
      <c r="BU76" s="124"/>
      <c r="BV76" s="124"/>
      <c r="BW76" s="124"/>
      <c r="BX76" s="124"/>
      <c r="BY76" s="125"/>
      <c r="BZ76" s="125">
        <f t="shared" si="401"/>
        <v>0.68712499999999999</v>
      </c>
      <c r="CA76" s="125">
        <f t="shared" si="402"/>
        <v>0.64548406249999979</v>
      </c>
      <c r="CB76" s="125">
        <f t="shared" si="403"/>
        <v>0.72426222426470588</v>
      </c>
      <c r="CC76" s="125">
        <f t="shared" si="404"/>
        <v>0.8173058823529411</v>
      </c>
      <c r="CD76" s="125">
        <f t="shared" si="405"/>
        <v>0.82230588235294122</v>
      </c>
      <c r="CE76" s="125">
        <f t="shared" si="406"/>
        <v>0.82230588235294122</v>
      </c>
      <c r="CF76" s="125">
        <f t="shared" si="407"/>
        <v>0.82230588235294122</v>
      </c>
      <c r="CG76" s="118"/>
      <c r="CH76" s="116"/>
      <c r="CI76" s="116"/>
    </row>
    <row r="77" spans="1:87" ht="12.75" customHeight="1"/>
    <row r="78" spans="1:87" s="14" customFormat="1" ht="12.75" customHeight="1">
      <c r="A78" s="87" t="s">
        <v>432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8">
        <f t="shared" ref="AJ78:AU78" si="412">AJ30/AJ70</f>
        <v>32.260869565217391</v>
      </c>
      <c r="AK78" s="128">
        <f t="shared" si="412"/>
        <v>37.712691771269178</v>
      </c>
      <c r="AL78" s="128">
        <f t="shared" si="412"/>
        <v>43.94202898550725</v>
      </c>
      <c r="AM78" s="128">
        <f t="shared" si="412"/>
        <v>52.054794520547944</v>
      </c>
      <c r="AN78" s="128">
        <f t="shared" si="412"/>
        <v>45.5</v>
      </c>
      <c r="AO78" s="128">
        <f t="shared" si="412"/>
        <v>36.705882352941174</v>
      </c>
      <c r="AP78" s="128">
        <f t="shared" si="412"/>
        <v>33.421667965705375</v>
      </c>
      <c r="AQ78" s="128">
        <f t="shared" si="412"/>
        <v>35.323076923076925</v>
      </c>
      <c r="AR78" s="128">
        <f t="shared" si="412"/>
        <v>20.46153846153846</v>
      </c>
      <c r="AS78" s="128">
        <f t="shared" si="412"/>
        <v>28.649420249931129</v>
      </c>
      <c r="AT78" s="128">
        <f t="shared" si="412"/>
        <v>24.052800398736263</v>
      </c>
      <c r="AU78" s="128">
        <f t="shared" si="412"/>
        <v>41.824249165739708</v>
      </c>
      <c r="AV78" s="128">
        <f t="shared" ref="AV78" si="413">AV30/AV70</f>
        <v>33.942940746159472</v>
      </c>
      <c r="AW78" s="129">
        <v>33.5</v>
      </c>
      <c r="AX78" s="129">
        <v>30</v>
      </c>
      <c r="AY78" s="129">
        <f>AU78</f>
        <v>41.824249165739708</v>
      </c>
      <c r="AZ78" s="129">
        <f>AV78</f>
        <v>33.942940746159472</v>
      </c>
      <c r="BA78" s="129">
        <f t="shared" ref="BA78:BN78" si="414">AW78</f>
        <v>33.5</v>
      </c>
      <c r="BB78" s="129">
        <f t="shared" si="414"/>
        <v>30</v>
      </c>
      <c r="BC78" s="129">
        <f t="shared" si="414"/>
        <v>41.824249165739708</v>
      </c>
      <c r="BD78" s="129">
        <f t="shared" si="414"/>
        <v>33.942940746159472</v>
      </c>
      <c r="BE78" s="129">
        <f t="shared" si="414"/>
        <v>33.5</v>
      </c>
      <c r="BF78" s="129">
        <f t="shared" si="414"/>
        <v>30</v>
      </c>
      <c r="BG78" s="129">
        <f t="shared" si="414"/>
        <v>41.824249165739708</v>
      </c>
      <c r="BH78" s="129">
        <f t="shared" si="414"/>
        <v>33.942940746159472</v>
      </c>
      <c r="BI78" s="129">
        <f t="shared" si="414"/>
        <v>33.5</v>
      </c>
      <c r="BJ78" s="129">
        <f t="shared" si="414"/>
        <v>30</v>
      </c>
      <c r="BK78" s="129">
        <f t="shared" si="414"/>
        <v>41.824249165739708</v>
      </c>
      <c r="BL78" s="129">
        <f t="shared" si="414"/>
        <v>33.942940746159472</v>
      </c>
      <c r="BM78" s="129">
        <f t="shared" si="414"/>
        <v>33.5</v>
      </c>
      <c r="BN78" s="129">
        <f t="shared" si="414"/>
        <v>30</v>
      </c>
      <c r="BO78" s="128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</row>
    <row r="79" spans="1:87" ht="12.75" customHeight="1">
      <c r="A79" s="127" t="s">
        <v>430</v>
      </c>
      <c r="AM79" s="130">
        <f t="shared" ref="AM79:AU79" si="415">AM35/(AM70*AM72)</f>
        <v>88.603905566890134</v>
      </c>
      <c r="AN79" s="130">
        <f t="shared" si="415"/>
        <v>25.142857142857142</v>
      </c>
      <c r="AO79" s="130">
        <f t="shared" si="415"/>
        <v>30.444177671068427</v>
      </c>
      <c r="AP79" s="130">
        <f t="shared" si="415"/>
        <v>48.356053255284962</v>
      </c>
      <c r="AQ79" s="130">
        <f t="shared" si="415"/>
        <v>51.597633136094665</v>
      </c>
      <c r="AR79" s="130">
        <f t="shared" si="415"/>
        <v>22.115384615384613</v>
      </c>
      <c r="AS79" s="130">
        <f t="shared" si="415"/>
        <v>21.542537220791889</v>
      </c>
      <c r="AT79" s="130">
        <f t="shared" si="415"/>
        <v>34.438199639384337</v>
      </c>
      <c r="AU79" s="130">
        <f t="shared" si="415"/>
        <v>58.30232825745081</v>
      </c>
      <c r="AV79" s="130">
        <f t="shared" ref="AV79" si="416">AV35/(AV70*AV72)</f>
        <v>29.261155815654721</v>
      </c>
    </row>
    <row r="80" spans="1:87" ht="12.75" customHeight="1">
      <c r="A80" s="127" t="s">
        <v>431</v>
      </c>
      <c r="AJ80" s="131"/>
      <c r="AM80" s="130"/>
      <c r="AN80" s="131">
        <f>AN41/(AN65*(1-AN73)+AN66*(1-AN74))</f>
        <v>63.828314295604024</v>
      </c>
      <c r="AO80" s="131">
        <f>AO41/(AO65*(1-AO73)+AO66*(1-AO74)+(AO67*(1-AO75)))</f>
        <v>46.044453284272294</v>
      </c>
      <c r="AP80" s="131">
        <f>AP41/(AP65*(1-AP73)+AP66*(1-AP74)+(AP67*(1-AP75)))</f>
        <v>44.755244755244753</v>
      </c>
      <c r="AQ80" s="131">
        <f>AQ41/(AQ65*(1-AQ73)+AQ66*(1-AQ74)+(AQ67*(1-AQ75)))</f>
        <v>36.078431372549019</v>
      </c>
      <c r="AR80" s="131">
        <f>AR41/(AR65*(1-AR73)+AR66*(1-AR74)+(AR67*(1-AR75)))</f>
        <v>24.418604651162791</v>
      </c>
      <c r="AS80" s="131">
        <f>AS41/(AS65*(1-AS73)+AS66*(1-AS74)+(AS67*(1-AS75)))</f>
        <v>41.5761160645392</v>
      </c>
      <c r="AT80" s="130">
        <f>AT41/(1-AT72)</f>
        <v>55.263157894736842</v>
      </c>
      <c r="AU80" s="131">
        <f>AU41/(AU65*(1-AU73)+AU66*(1-AU74)+(AU67*(1-AU75)))</f>
        <v>42.440318302387261</v>
      </c>
      <c r="AV80" s="131">
        <f>AV41/(AV65*(1-AV73)+AV66*(1-AV74)+(AV67*(1-AV75)))</f>
        <v>48.382038914689332</v>
      </c>
      <c r="AW80" s="100"/>
      <c r="AX80" s="100"/>
      <c r="AY80" s="100"/>
      <c r="AZ80" s="100"/>
      <c r="BA80" s="100"/>
      <c r="BB80" s="100"/>
      <c r="BC80" s="100"/>
      <c r="BD80" s="100"/>
      <c r="BE80" s="100"/>
      <c r="BF80" s="100"/>
      <c r="BG80" s="100"/>
      <c r="BH80" s="100"/>
      <c r="BI80" s="100"/>
      <c r="BJ80" s="100"/>
      <c r="BK80" s="100"/>
      <c r="BL80" s="100"/>
      <c r="BM80" s="100"/>
      <c r="BN80" s="100"/>
      <c r="BO80" s="100"/>
    </row>
    <row r="81" spans="1:87">
      <c r="CB81" s="4"/>
      <c r="CC81" s="4"/>
      <c r="CD81" s="4"/>
      <c r="CE81" s="4"/>
      <c r="CF81" s="4"/>
    </row>
    <row r="82" spans="1:87" s="14" customFormat="1" ht="12.75" customHeight="1">
      <c r="A82" s="132" t="s">
        <v>457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86"/>
      <c r="AP82" s="86"/>
      <c r="AQ82" s="86"/>
      <c r="AR82" s="133"/>
      <c r="AS82" s="133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34">
        <f>SUM(CB83:CB88)</f>
        <v>3944.4444444444448</v>
      </c>
      <c r="CC82" s="134">
        <f>SUM(CC83:CC88)</f>
        <v>4118.4166666666661</v>
      </c>
      <c r="CD82" s="134">
        <f t="shared" ref="CD82:CF82" si="417">SUM(CD83:CD88)</f>
        <v>4324.3374999999996</v>
      </c>
      <c r="CE82" s="134">
        <f t="shared" si="417"/>
        <v>4540.1527500000002</v>
      </c>
      <c r="CF82" s="134">
        <f t="shared" si="417"/>
        <v>4766.3053987500007</v>
      </c>
      <c r="CG82" s="12"/>
      <c r="CH82" s="12"/>
      <c r="CI82" s="12"/>
    </row>
    <row r="83" spans="1:87" s="106" customFormat="1" ht="12.75" customHeight="1">
      <c r="A83" s="135" t="s">
        <v>253</v>
      </c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  <c r="AJ83" s="101"/>
      <c r="AK83" s="101"/>
      <c r="AL83" s="101"/>
      <c r="AM83" s="101"/>
      <c r="AN83" s="101"/>
      <c r="AO83" s="136"/>
      <c r="AP83" s="136"/>
      <c r="AQ83" s="136"/>
      <c r="AR83" s="137"/>
      <c r="AS83" s="137"/>
      <c r="AT83" s="101"/>
      <c r="AU83" s="101"/>
      <c r="AV83" s="101"/>
      <c r="AW83" s="101"/>
      <c r="AX83" s="101"/>
      <c r="AY83" s="101"/>
      <c r="AZ83" s="101"/>
      <c r="BA83" s="101"/>
      <c r="BB83" s="101"/>
      <c r="BC83" s="101"/>
      <c r="BD83" s="101"/>
      <c r="BE83" s="101"/>
      <c r="BF83" s="101"/>
      <c r="BG83" s="101"/>
      <c r="BH83" s="101"/>
      <c r="BI83" s="101"/>
      <c r="BJ83" s="101"/>
      <c r="BK83" s="101"/>
      <c r="BL83" s="101"/>
      <c r="BM83" s="101"/>
      <c r="BN83" s="101"/>
      <c r="BO83" s="101"/>
      <c r="BP83" s="101"/>
      <c r="BQ83" s="101"/>
      <c r="BR83" s="101"/>
      <c r="BS83" s="101"/>
      <c r="BT83" s="101"/>
      <c r="BU83" s="101"/>
      <c r="BV83" s="101"/>
      <c r="BW83" s="101"/>
      <c r="BX83" s="101"/>
      <c r="BY83" s="105"/>
      <c r="BZ83" s="105"/>
      <c r="CA83" s="105"/>
      <c r="CB83" s="105">
        <v>1225</v>
      </c>
      <c r="CC83" s="138">
        <f>CB83*1.05</f>
        <v>1286.25</v>
      </c>
      <c r="CD83" s="138">
        <f t="shared" ref="CD83:CF83" si="418">CC83*1.05</f>
        <v>1350.5625</v>
      </c>
      <c r="CE83" s="138">
        <f t="shared" si="418"/>
        <v>1418.090625</v>
      </c>
      <c r="CF83" s="138">
        <f t="shared" si="418"/>
        <v>1488.99515625</v>
      </c>
      <c r="CG83" s="105"/>
      <c r="CH83" s="101"/>
      <c r="CI83" s="101"/>
    </row>
    <row r="84" spans="1:87" s="106" customFormat="1" ht="12.75" customHeight="1">
      <c r="A84" s="135" t="s">
        <v>454</v>
      </c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136"/>
      <c r="AP84" s="136"/>
      <c r="AQ84" s="136"/>
      <c r="AR84" s="137"/>
      <c r="AS84" s="137"/>
      <c r="AT84" s="101"/>
      <c r="AU84" s="101"/>
      <c r="AV84" s="101"/>
      <c r="AW84" s="101"/>
      <c r="AX84" s="101"/>
      <c r="AY84" s="101"/>
      <c r="AZ84" s="101"/>
      <c r="BA84" s="101"/>
      <c r="BB84" s="101"/>
      <c r="BC84" s="101"/>
      <c r="BD84" s="101"/>
      <c r="BE84" s="101"/>
      <c r="BF84" s="101"/>
      <c r="BG84" s="101"/>
      <c r="BH84" s="101"/>
      <c r="BI84" s="101"/>
      <c r="BJ84" s="101"/>
      <c r="BK84" s="101"/>
      <c r="BL84" s="101"/>
      <c r="BM84" s="101"/>
      <c r="BN84" s="101"/>
      <c r="BO84" s="101"/>
      <c r="BP84" s="101"/>
      <c r="BQ84" s="101"/>
      <c r="BR84" s="101"/>
      <c r="BS84" s="101"/>
      <c r="BT84" s="101"/>
      <c r="BU84" s="101"/>
      <c r="BV84" s="101"/>
      <c r="BW84" s="101"/>
      <c r="BX84" s="101"/>
      <c r="BY84" s="105"/>
      <c r="BZ84" s="105"/>
      <c r="CA84" s="105"/>
      <c r="CB84" s="105">
        <v>375</v>
      </c>
      <c r="CC84" s="138">
        <f>CB84*1.02</f>
        <v>382.5</v>
      </c>
      <c r="CD84" s="138">
        <f t="shared" ref="CD84:CF85" si="419">CC84*1.05</f>
        <v>401.625</v>
      </c>
      <c r="CE84" s="138">
        <f>CD84*1.049</f>
        <v>421.30462499999999</v>
      </c>
      <c r="CF84" s="138">
        <f t="shared" si="419"/>
        <v>442.36985625</v>
      </c>
      <c r="CG84" s="105"/>
      <c r="CH84" s="101"/>
      <c r="CI84" s="101"/>
    </row>
    <row r="85" spans="1:87" s="106" customFormat="1" ht="12.75" customHeight="1">
      <c r="A85" s="139" t="s">
        <v>383</v>
      </c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36"/>
      <c r="AP85" s="136"/>
      <c r="AQ85" s="136"/>
      <c r="AR85" s="137"/>
      <c r="AS85" s="137"/>
      <c r="AT85" s="101"/>
      <c r="AU85" s="101"/>
      <c r="AV85" s="101"/>
      <c r="AW85" s="101"/>
      <c r="AX85" s="101"/>
      <c r="AY85" s="101"/>
      <c r="AZ85" s="101"/>
      <c r="BA85" s="101"/>
      <c r="BB85" s="101"/>
      <c r="BC85" s="101"/>
      <c r="BD85" s="101"/>
      <c r="BE85" s="101"/>
      <c r="BF85" s="101"/>
      <c r="BG85" s="101"/>
      <c r="BH85" s="101"/>
      <c r="BI85" s="101"/>
      <c r="BJ85" s="101"/>
      <c r="BK85" s="101"/>
      <c r="BL85" s="101"/>
      <c r="BM85" s="101"/>
      <c r="BN85" s="101"/>
      <c r="BO85" s="101"/>
      <c r="BP85" s="101"/>
      <c r="BQ85" s="101"/>
      <c r="BR85" s="101"/>
      <c r="BS85" s="101"/>
      <c r="BT85" s="101"/>
      <c r="BU85" s="101"/>
      <c r="BV85" s="101"/>
      <c r="BW85" s="101"/>
      <c r="BX85" s="101"/>
      <c r="BY85" s="105"/>
      <c r="BZ85" s="105"/>
      <c r="CA85" s="105">
        <v>600</v>
      </c>
      <c r="CB85" s="105">
        <v>750</v>
      </c>
      <c r="CC85" s="138">
        <f>CB85*1.034</f>
        <v>775.5</v>
      </c>
      <c r="CD85" s="138">
        <f t="shared" si="419"/>
        <v>814.27500000000009</v>
      </c>
      <c r="CE85" s="138">
        <f t="shared" si="419"/>
        <v>854.9887500000001</v>
      </c>
      <c r="CF85" s="138">
        <f>CE85*1.049</f>
        <v>896.88319875000002</v>
      </c>
      <c r="CG85" s="105"/>
      <c r="CH85" s="101"/>
      <c r="CI85" s="101"/>
    </row>
    <row r="86" spans="1:87" s="106" customFormat="1" ht="12.75" customHeight="1">
      <c r="A86" s="139" t="s">
        <v>381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36"/>
      <c r="AP86" s="136"/>
      <c r="AQ86" s="136"/>
      <c r="AR86" s="137"/>
      <c r="AS86" s="137"/>
      <c r="AT86" s="101"/>
      <c r="AU86" s="101"/>
      <c r="AV86" s="101"/>
      <c r="AW86" s="101"/>
      <c r="AX86" s="101"/>
      <c r="AY86" s="101"/>
      <c r="AZ86" s="101"/>
      <c r="BA86" s="101"/>
      <c r="BB86" s="101"/>
      <c r="BC86" s="101"/>
      <c r="BD86" s="101"/>
      <c r="BE86" s="101"/>
      <c r="BF86" s="101"/>
      <c r="BG86" s="101"/>
      <c r="BH86" s="101"/>
      <c r="BI86" s="101"/>
      <c r="BJ86" s="101"/>
      <c r="BK86" s="101"/>
      <c r="BL86" s="101"/>
      <c r="BM86" s="101"/>
      <c r="BN86" s="101"/>
      <c r="BO86" s="101"/>
      <c r="BP86" s="101"/>
      <c r="BQ86" s="101"/>
      <c r="BR86" s="101"/>
      <c r="BS86" s="101"/>
      <c r="BT86" s="101"/>
      <c r="BU86" s="101"/>
      <c r="BV86" s="101"/>
      <c r="BW86" s="101"/>
      <c r="BX86" s="101"/>
      <c r="BY86" s="105"/>
      <c r="BZ86" s="105"/>
      <c r="CA86" s="105"/>
      <c r="CB86" s="138">
        <f>CB83/3</f>
        <v>408.33333333333331</v>
      </c>
      <c r="CC86" s="138">
        <f>CB86*1.05</f>
        <v>428.75</v>
      </c>
      <c r="CD86" s="138">
        <f t="shared" ref="CD86:CF86" si="420">CC86*1.05</f>
        <v>450.1875</v>
      </c>
      <c r="CE86" s="138">
        <f t="shared" si="420"/>
        <v>472.69687500000003</v>
      </c>
      <c r="CF86" s="138">
        <f t="shared" si="420"/>
        <v>496.33171875000005</v>
      </c>
      <c r="CG86" s="105"/>
      <c r="CH86" s="101"/>
      <c r="CI86" s="101"/>
    </row>
    <row r="87" spans="1:87" s="106" customFormat="1" ht="12.75" customHeight="1">
      <c r="A87" s="139" t="s">
        <v>453</v>
      </c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36"/>
      <c r="AP87" s="136"/>
      <c r="AQ87" s="136"/>
      <c r="AR87" s="137"/>
      <c r="AS87" s="137"/>
      <c r="AT87" s="101"/>
      <c r="AU87" s="101"/>
      <c r="AV87" s="101"/>
      <c r="AW87" s="101"/>
      <c r="AX87" s="101"/>
      <c r="AY87" s="101"/>
      <c r="AZ87" s="101"/>
      <c r="BA87" s="101"/>
      <c r="BB87" s="101"/>
      <c r="BC87" s="101"/>
      <c r="BD87" s="101"/>
      <c r="BE87" s="101"/>
      <c r="BF87" s="101"/>
      <c r="BG87" s="101"/>
      <c r="BH87" s="101"/>
      <c r="BI87" s="101"/>
      <c r="BJ87" s="101"/>
      <c r="BK87" s="101"/>
      <c r="BL87" s="101"/>
      <c r="BM87" s="101"/>
      <c r="BN87" s="101"/>
      <c r="BO87" s="101"/>
      <c r="BP87" s="101"/>
      <c r="BQ87" s="101"/>
      <c r="BR87" s="101"/>
      <c r="BS87" s="101"/>
      <c r="BT87" s="101"/>
      <c r="BU87" s="101"/>
      <c r="BV87" s="101"/>
      <c r="BW87" s="101"/>
      <c r="BX87" s="101"/>
      <c r="BY87" s="105"/>
      <c r="BZ87" s="105"/>
      <c r="CA87" s="105"/>
      <c r="CB87" s="138">
        <f>CB86/3</f>
        <v>136.11111111111111</v>
      </c>
      <c r="CC87" s="138">
        <f t="shared" ref="CC87:CF87" si="421">CB87*1.05</f>
        <v>142.91666666666669</v>
      </c>
      <c r="CD87" s="138">
        <f t="shared" si="421"/>
        <v>150.06250000000003</v>
      </c>
      <c r="CE87" s="138">
        <f t="shared" si="421"/>
        <v>157.56562500000004</v>
      </c>
      <c r="CF87" s="138">
        <f t="shared" si="421"/>
        <v>165.44390625000005</v>
      </c>
      <c r="CG87" s="105"/>
      <c r="CH87" s="101"/>
      <c r="CI87" s="101"/>
    </row>
    <row r="88" spans="1:87" s="106" customFormat="1" ht="12.75" customHeight="1">
      <c r="A88" s="139" t="s">
        <v>382</v>
      </c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36"/>
      <c r="AP88" s="136"/>
      <c r="AQ88" s="136"/>
      <c r="AR88" s="137"/>
      <c r="AS88" s="137"/>
      <c r="AT88" s="101"/>
      <c r="AU88" s="101"/>
      <c r="AV88" s="101"/>
      <c r="AW88" s="101"/>
      <c r="AX88" s="101"/>
      <c r="AY88" s="101"/>
      <c r="AZ88" s="101"/>
      <c r="BA88" s="101"/>
      <c r="BB88" s="101"/>
      <c r="BC88" s="101"/>
      <c r="BD88" s="101"/>
      <c r="BE88" s="101"/>
      <c r="BF88" s="101"/>
      <c r="BG88" s="101"/>
      <c r="BH88" s="101"/>
      <c r="BI88" s="101"/>
      <c r="BJ88" s="101"/>
      <c r="BK88" s="101"/>
      <c r="BL88" s="101"/>
      <c r="BM88" s="101"/>
      <c r="BN88" s="101"/>
      <c r="BO88" s="101"/>
      <c r="BP88" s="101"/>
      <c r="BQ88" s="101"/>
      <c r="BR88" s="101"/>
      <c r="BS88" s="101"/>
      <c r="BT88" s="101"/>
      <c r="BU88" s="101"/>
      <c r="BV88" s="101"/>
      <c r="BW88" s="101"/>
      <c r="BX88" s="101"/>
      <c r="BY88" s="105"/>
      <c r="BZ88" s="105"/>
      <c r="CA88" s="105">
        <v>1000</v>
      </c>
      <c r="CB88" s="138">
        <f>CA88*1.05</f>
        <v>1050</v>
      </c>
      <c r="CC88" s="138">
        <f t="shared" ref="CC88:CF88" si="422">CB88*1.05</f>
        <v>1102.5</v>
      </c>
      <c r="CD88" s="138">
        <f t="shared" si="422"/>
        <v>1157.625</v>
      </c>
      <c r="CE88" s="138">
        <f t="shared" si="422"/>
        <v>1215.5062500000001</v>
      </c>
      <c r="CF88" s="138">
        <f t="shared" si="422"/>
        <v>1276.2815625000003</v>
      </c>
      <c r="CG88" s="105"/>
      <c r="CH88" s="101"/>
      <c r="CI88" s="101"/>
    </row>
    <row r="89" spans="1:87" s="146" customFormat="1" ht="12.75" customHeight="1">
      <c r="A89" s="140" t="s">
        <v>16</v>
      </c>
      <c r="B89" s="141"/>
      <c r="C89" s="141"/>
      <c r="D89" s="141"/>
      <c r="E89" s="141"/>
      <c r="F89" s="141"/>
      <c r="G89" s="141"/>
      <c r="H89" s="141"/>
      <c r="I89" s="141"/>
      <c r="J89" s="141"/>
      <c r="K89" s="141"/>
      <c r="L89" s="141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2"/>
      <c r="AP89" s="142"/>
      <c r="AQ89" s="142"/>
      <c r="AR89" s="143"/>
      <c r="AS89" s="143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  <c r="BJ89" s="141"/>
      <c r="BK89" s="141"/>
      <c r="BL89" s="141"/>
      <c r="BM89" s="141"/>
      <c r="BN89" s="141"/>
      <c r="BO89" s="141"/>
      <c r="BP89" s="141"/>
      <c r="BQ89" s="141"/>
      <c r="BR89" s="141"/>
      <c r="BS89" s="141"/>
      <c r="BT89" s="141"/>
      <c r="BU89" s="141"/>
      <c r="BV89" s="141"/>
      <c r="BW89" s="141"/>
      <c r="BX89" s="141"/>
      <c r="BY89" s="144"/>
      <c r="BZ89" s="144"/>
      <c r="CA89" s="144"/>
      <c r="CB89" s="145">
        <f>CB52</f>
        <v>4129.67</v>
      </c>
      <c r="CC89" s="145">
        <f>CC52</f>
        <v>4322.8557299999993</v>
      </c>
      <c r="CD89" s="145">
        <f>CD52</f>
        <v>4546.3145885573613</v>
      </c>
      <c r="CE89" s="145">
        <f>CE52</f>
        <v>4777.8370594182124</v>
      </c>
      <c r="CF89" s="145">
        <f>CF52</f>
        <v>5021.3563279654027</v>
      </c>
      <c r="CG89" s="144"/>
      <c r="CH89" s="141"/>
      <c r="CI89" s="141"/>
    </row>
    <row r="91" spans="1:87" s="151" customFormat="1" ht="12.75" customHeight="1">
      <c r="A91" s="87" t="s">
        <v>489</v>
      </c>
      <c r="B91" s="147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7"/>
      <c r="R91" s="147"/>
      <c r="S91" s="147"/>
      <c r="T91" s="147"/>
      <c r="U91" s="147"/>
      <c r="V91" s="147"/>
      <c r="W91" s="147"/>
      <c r="X91" s="147"/>
      <c r="Y91" s="147"/>
      <c r="Z91" s="147"/>
      <c r="AA91" s="147"/>
      <c r="AB91" s="147"/>
      <c r="AC91" s="147"/>
      <c r="AD91" s="147"/>
      <c r="AE91" s="147"/>
      <c r="AF91" s="147"/>
      <c r="AG91" s="147"/>
      <c r="AH91" s="147"/>
      <c r="AI91" s="147"/>
      <c r="AJ91" s="147"/>
      <c r="AK91" s="147"/>
      <c r="AL91" s="147"/>
      <c r="AM91" s="147"/>
      <c r="AN91" s="147"/>
      <c r="AO91" s="148"/>
      <c r="AP91" s="148"/>
      <c r="AQ91" s="148"/>
      <c r="AR91" s="149"/>
      <c r="AS91" s="149"/>
      <c r="AT91" s="147"/>
      <c r="AU91" s="147"/>
      <c r="AV91" s="147"/>
      <c r="AW91" s="147"/>
      <c r="AX91" s="147"/>
      <c r="AY91" s="147"/>
      <c r="AZ91" s="147"/>
      <c r="BA91" s="147"/>
      <c r="BB91" s="147"/>
      <c r="BC91" s="147"/>
      <c r="BD91" s="147"/>
      <c r="BE91" s="147"/>
      <c r="BF91" s="147"/>
      <c r="BG91" s="147"/>
      <c r="BH91" s="147"/>
      <c r="BI91" s="14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50"/>
      <c r="BZ91" s="150"/>
      <c r="CA91" s="150"/>
      <c r="CB91" s="150"/>
      <c r="CC91" s="150"/>
      <c r="CD91" s="150"/>
      <c r="CE91" s="150"/>
      <c r="CF91" s="150"/>
      <c r="CG91" s="150"/>
      <c r="CH91" s="147"/>
      <c r="CI91" s="147"/>
    </row>
    <row r="92" spans="1:87" s="151" customFormat="1" ht="12.75" customHeight="1">
      <c r="A92" s="152" t="s">
        <v>426</v>
      </c>
      <c r="B92" s="147"/>
      <c r="C92" s="147"/>
      <c r="D92" s="147"/>
      <c r="E92" s="147"/>
      <c r="F92" s="147"/>
      <c r="G92" s="147"/>
      <c r="H92" s="147"/>
      <c r="I92" s="147"/>
      <c r="J92" s="147"/>
      <c r="K92" s="147"/>
      <c r="L92" s="147"/>
      <c r="M92" s="147"/>
      <c r="N92" s="147"/>
      <c r="O92" s="147"/>
      <c r="P92" s="147"/>
      <c r="Q92" s="147"/>
      <c r="R92" s="147"/>
      <c r="S92" s="147"/>
      <c r="T92" s="147"/>
      <c r="U92" s="147"/>
      <c r="V92" s="147"/>
      <c r="W92" s="147"/>
      <c r="X92" s="147"/>
      <c r="Y92" s="147"/>
      <c r="Z92" s="147"/>
      <c r="AA92" s="147"/>
      <c r="AB92" s="147"/>
      <c r="AC92" s="147"/>
      <c r="AD92" s="147"/>
      <c r="AE92" s="147"/>
      <c r="AF92" s="147"/>
      <c r="AG92" s="147"/>
      <c r="AH92" s="147"/>
      <c r="AI92" s="147"/>
      <c r="AJ92" s="147"/>
      <c r="AK92" s="147"/>
      <c r="AL92" s="147"/>
      <c r="AM92" s="147"/>
      <c r="AN92" s="147"/>
      <c r="AO92" s="148"/>
      <c r="AP92" s="148"/>
      <c r="AQ92" s="148"/>
      <c r="AR92" s="149"/>
      <c r="AS92" s="149"/>
      <c r="AT92" s="147"/>
      <c r="AU92" s="147"/>
      <c r="AV92" s="147"/>
      <c r="AW92" s="147"/>
      <c r="AX92" s="147"/>
      <c r="AY92" s="147"/>
      <c r="AZ92" s="147"/>
      <c r="BA92" s="147"/>
      <c r="BB92" s="147"/>
      <c r="BC92" s="147"/>
      <c r="BD92" s="147"/>
      <c r="BE92" s="147"/>
      <c r="BF92" s="147"/>
      <c r="BG92" s="147"/>
      <c r="BH92" s="147"/>
      <c r="BI92" s="14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50"/>
      <c r="BZ92" s="150"/>
      <c r="CA92" s="150"/>
      <c r="CB92" s="150"/>
      <c r="CC92" s="150"/>
      <c r="CD92" s="150"/>
      <c r="CE92" s="150"/>
      <c r="CF92" s="150"/>
      <c r="CG92" s="150"/>
      <c r="CH92" s="147"/>
      <c r="CI92" s="147"/>
    </row>
    <row r="93" spans="1:87" s="151" customFormat="1" ht="12.75" customHeight="1">
      <c r="A93" s="153" t="s">
        <v>421</v>
      </c>
      <c r="B93" s="147"/>
      <c r="C93" s="147"/>
      <c r="D93" s="147"/>
      <c r="E93" s="147"/>
      <c r="F93" s="147"/>
      <c r="G93" s="147"/>
      <c r="H93" s="147"/>
      <c r="I93" s="147"/>
      <c r="J93" s="147"/>
      <c r="K93" s="147"/>
      <c r="L93" s="147"/>
      <c r="M93" s="147"/>
      <c r="N93" s="147"/>
      <c r="O93" s="147"/>
      <c r="P93" s="147"/>
      <c r="Q93" s="147"/>
      <c r="R93" s="147"/>
      <c r="S93" s="147"/>
      <c r="T93" s="147"/>
      <c r="U93" s="147"/>
      <c r="V93" s="147"/>
      <c r="W93" s="147"/>
      <c r="X93" s="147"/>
      <c r="Y93" s="147"/>
      <c r="Z93" s="147"/>
      <c r="AA93" s="147"/>
      <c r="AB93" s="147"/>
      <c r="AC93" s="147"/>
      <c r="AD93" s="101"/>
      <c r="AE93" s="101"/>
      <c r="AF93" s="101"/>
      <c r="AG93" s="101"/>
      <c r="AH93" s="101"/>
      <c r="AI93" s="101"/>
      <c r="AK93" s="101"/>
      <c r="AL93" s="101"/>
      <c r="AM93" s="101"/>
      <c r="AN93" s="101">
        <v>5.0949443144443629</v>
      </c>
      <c r="AO93" s="136">
        <v>6.3010306673400454</v>
      </c>
      <c r="AP93" s="136">
        <v>7.475337206439983</v>
      </c>
      <c r="AQ93" s="136">
        <v>8.533900034068493</v>
      </c>
      <c r="AR93" s="137">
        <v>6.2078100602264641</v>
      </c>
      <c r="AS93" s="137">
        <v>7.1889744061687484</v>
      </c>
      <c r="AT93" s="101">
        <v>6.9515917326524974</v>
      </c>
      <c r="AU93" s="101">
        <v>6.4614924483253375</v>
      </c>
      <c r="AV93" s="147"/>
      <c r="AW93" s="147"/>
      <c r="AX93" s="147"/>
      <c r="AY93" s="147"/>
      <c r="AZ93" s="147"/>
      <c r="BA93" s="147"/>
      <c r="BB93" s="147"/>
      <c r="BC93" s="147"/>
      <c r="BD93" s="147"/>
      <c r="BE93" s="147"/>
      <c r="BF93" s="147"/>
      <c r="BG93" s="147"/>
      <c r="BH93" s="147"/>
      <c r="BI93" s="14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50"/>
      <c r="BZ93" s="150"/>
      <c r="CA93" s="150"/>
      <c r="CB93" s="150"/>
      <c r="CC93" s="150"/>
      <c r="CD93" s="150"/>
      <c r="CE93" s="150"/>
      <c r="CF93" s="150"/>
      <c r="CG93" s="150"/>
      <c r="CH93" s="147"/>
      <c r="CI93" s="147"/>
    </row>
    <row r="94" spans="1:87" s="151" customFormat="1" ht="12.75" customHeight="1">
      <c r="A94" s="153" t="s">
        <v>419</v>
      </c>
      <c r="B94" s="147"/>
      <c r="C94" s="147"/>
      <c r="D94" s="147"/>
      <c r="E94" s="147"/>
      <c r="F94" s="147"/>
      <c r="G94" s="147"/>
      <c r="H94" s="147"/>
      <c r="I94" s="147"/>
      <c r="J94" s="147"/>
      <c r="K94" s="147"/>
      <c r="L94" s="147"/>
      <c r="M94" s="147"/>
      <c r="N94" s="147"/>
      <c r="O94" s="147"/>
      <c r="P94" s="147"/>
      <c r="Q94" s="147"/>
      <c r="R94" s="147"/>
      <c r="S94" s="147"/>
      <c r="T94" s="147"/>
      <c r="U94" s="147"/>
      <c r="V94" s="147"/>
      <c r="W94" s="147"/>
      <c r="X94" s="147"/>
      <c r="Y94" s="147"/>
      <c r="Z94" s="147"/>
      <c r="AA94" s="147"/>
      <c r="AB94" s="147"/>
      <c r="AC94" s="147"/>
      <c r="AD94" s="101"/>
      <c r="AE94" s="101"/>
      <c r="AF94" s="101"/>
      <c r="AG94" s="101"/>
      <c r="AH94" s="101"/>
      <c r="AI94" s="101"/>
      <c r="AJ94" s="101"/>
      <c r="AK94" s="101"/>
      <c r="AL94" s="101"/>
      <c r="AM94" s="101"/>
      <c r="AN94" s="101">
        <v>2.744211604903243</v>
      </c>
      <c r="AO94" s="136">
        <v>7.7028766498661065</v>
      </c>
      <c r="AP94" s="136">
        <v>6.4018851686327753</v>
      </c>
      <c r="AQ94" s="136">
        <v>1.2432453180573397</v>
      </c>
      <c r="AR94" s="137">
        <v>2.4257655265736777</v>
      </c>
      <c r="AS94" s="137">
        <v>4.3174958175707676</v>
      </c>
      <c r="AT94" s="101">
        <v>4.1014346314574848</v>
      </c>
      <c r="AU94" s="101">
        <v>0</v>
      </c>
      <c r="AV94" s="147"/>
      <c r="AW94" s="147"/>
      <c r="AX94" s="147"/>
      <c r="AY94" s="147"/>
      <c r="AZ94" s="147"/>
      <c r="BA94" s="147"/>
      <c r="BB94" s="147"/>
      <c r="BC94" s="147"/>
      <c r="BD94" s="147"/>
      <c r="BE94" s="147"/>
      <c r="BF94" s="147"/>
      <c r="BG94" s="147"/>
      <c r="BH94" s="147"/>
      <c r="BI94" s="14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50"/>
      <c r="BZ94" s="150"/>
      <c r="CA94" s="150"/>
      <c r="CB94" s="150"/>
      <c r="CC94" s="150"/>
      <c r="CD94" s="150"/>
      <c r="CE94" s="150"/>
      <c r="CF94" s="150"/>
      <c r="CG94" s="150"/>
      <c r="CH94" s="147"/>
      <c r="CI94" s="147"/>
    </row>
    <row r="95" spans="1:87" s="151" customFormat="1" ht="12.75" customHeight="1">
      <c r="A95" s="153" t="s">
        <v>423</v>
      </c>
      <c r="B95" s="147"/>
      <c r="C95" s="147"/>
      <c r="D95" s="147"/>
      <c r="E95" s="147"/>
      <c r="F95" s="147"/>
      <c r="G95" s="147"/>
      <c r="H95" s="147"/>
      <c r="I95" s="147"/>
      <c r="J95" s="147"/>
      <c r="K95" s="147"/>
      <c r="L95" s="147"/>
      <c r="M95" s="147"/>
      <c r="N95" s="147"/>
      <c r="O95" s="147"/>
      <c r="P95" s="147"/>
      <c r="Q95" s="147"/>
      <c r="R95" s="147"/>
      <c r="S95" s="147"/>
      <c r="T95" s="147"/>
      <c r="U95" s="147"/>
      <c r="V95" s="147"/>
      <c r="W95" s="147"/>
      <c r="X95" s="147"/>
      <c r="Y95" s="147"/>
      <c r="Z95" s="147"/>
      <c r="AA95" s="147"/>
      <c r="AB95" s="147"/>
      <c r="AC95" s="147"/>
      <c r="AD95" s="101"/>
      <c r="AE95" s="101"/>
      <c r="AF95" s="101"/>
      <c r="AG95" s="101"/>
      <c r="AH95" s="101"/>
      <c r="AI95" s="101"/>
      <c r="AJ95" s="101"/>
      <c r="AK95" s="101"/>
      <c r="AL95" s="101"/>
      <c r="AM95" s="101"/>
      <c r="AN95" s="101">
        <v>6.7879971318569119</v>
      </c>
      <c r="AO95" s="136">
        <v>6.6880589637273822</v>
      </c>
      <c r="AP95" s="136">
        <v>5.9932095883185621</v>
      </c>
      <c r="AQ95" s="136">
        <v>7.441314013135921</v>
      </c>
      <c r="AR95" s="137">
        <v>7.17725718238753</v>
      </c>
      <c r="AS95" s="137">
        <v>7.0017176628859499</v>
      </c>
      <c r="AT95" s="101">
        <v>6.5878235800566758</v>
      </c>
      <c r="AU95" s="101">
        <v>6.7363598172059618</v>
      </c>
      <c r="AV95" s="147"/>
      <c r="AW95" s="147"/>
      <c r="AX95" s="147"/>
      <c r="AY95" s="147"/>
      <c r="AZ95" s="147"/>
      <c r="BA95" s="147"/>
      <c r="BB95" s="147"/>
      <c r="BC95" s="147"/>
      <c r="BD95" s="147"/>
      <c r="BE95" s="147"/>
      <c r="BF95" s="147"/>
      <c r="BG95" s="147"/>
      <c r="BH95" s="147"/>
      <c r="BI95" s="14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50"/>
      <c r="BZ95" s="150"/>
      <c r="CA95" s="150"/>
      <c r="CB95" s="150"/>
      <c r="CC95" s="150"/>
      <c r="CD95" s="150"/>
      <c r="CE95" s="150"/>
      <c r="CF95" s="150"/>
      <c r="CG95" s="150"/>
      <c r="CH95" s="147"/>
      <c r="CI95" s="147"/>
    </row>
    <row r="96" spans="1:87" s="151" customFormat="1" ht="12.75" customHeight="1">
      <c r="A96" s="153" t="s">
        <v>420</v>
      </c>
      <c r="B96" s="147"/>
      <c r="C96" s="147"/>
      <c r="D96" s="147"/>
      <c r="E96" s="147"/>
      <c r="F96" s="147"/>
      <c r="G96" s="147"/>
      <c r="H96" s="147"/>
      <c r="I96" s="147"/>
      <c r="J96" s="147"/>
      <c r="K96" s="147"/>
      <c r="L96" s="147"/>
      <c r="M96" s="147"/>
      <c r="N96" s="147"/>
      <c r="O96" s="147"/>
      <c r="P96" s="147"/>
      <c r="Q96" s="147"/>
      <c r="R96" s="147"/>
      <c r="S96" s="147"/>
      <c r="T96" s="147"/>
      <c r="U96" s="147"/>
      <c r="V96" s="147"/>
      <c r="W96" s="147"/>
      <c r="X96" s="147"/>
      <c r="Y96" s="147"/>
      <c r="Z96" s="147"/>
      <c r="AA96" s="147"/>
      <c r="AB96" s="147"/>
      <c r="AC96" s="147"/>
      <c r="AD96" s="101"/>
      <c r="AE96" s="101"/>
      <c r="AF96" s="101"/>
      <c r="AG96" s="101"/>
      <c r="AH96" s="101"/>
      <c r="AI96" s="101"/>
      <c r="AJ96" s="101"/>
      <c r="AK96" s="101"/>
      <c r="AL96" s="101"/>
      <c r="AM96" s="101"/>
      <c r="AN96" s="101">
        <v>5.2375067546129248</v>
      </c>
      <c r="AO96" s="136">
        <v>3.2120547306099398</v>
      </c>
      <c r="AP96" s="136">
        <v>1.512125893331538</v>
      </c>
      <c r="AQ96" s="136">
        <v>4.089903234527168</v>
      </c>
      <c r="AR96" s="137">
        <v>5.1978596068165812</v>
      </c>
      <c r="AS96" s="137">
        <v>3.5714732861241907</v>
      </c>
      <c r="AT96" s="101">
        <v>1.081230961485496</v>
      </c>
      <c r="AU96" s="101">
        <v>3.1920859090245433</v>
      </c>
      <c r="AV96" s="147"/>
      <c r="AW96" s="147"/>
      <c r="AX96" s="147"/>
      <c r="AY96" s="147"/>
      <c r="AZ96" s="147"/>
      <c r="BA96" s="147"/>
      <c r="BB96" s="147"/>
      <c r="BC96" s="147"/>
      <c r="BD96" s="147"/>
      <c r="BE96" s="147"/>
      <c r="BF96" s="147"/>
      <c r="BG96" s="147"/>
      <c r="BH96" s="147"/>
      <c r="BI96" s="14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50"/>
      <c r="BZ96" s="150"/>
      <c r="CA96" s="150"/>
      <c r="CB96" s="150"/>
      <c r="CC96" s="150"/>
      <c r="CD96" s="150"/>
      <c r="CE96" s="150"/>
      <c r="CF96" s="150"/>
      <c r="CG96" s="150"/>
      <c r="CH96" s="147"/>
      <c r="CI96" s="147"/>
    </row>
    <row r="97" spans="1:87" s="151" customFormat="1" ht="12.75" customHeight="1">
      <c r="A97" s="152" t="s">
        <v>422</v>
      </c>
      <c r="B97" s="147"/>
      <c r="C97" s="147"/>
      <c r="D97" s="147"/>
      <c r="E97" s="147"/>
      <c r="F97" s="147"/>
      <c r="G97" s="147"/>
      <c r="H97" s="147"/>
      <c r="I97" s="147"/>
      <c r="J97" s="147"/>
      <c r="K97" s="147"/>
      <c r="L97" s="147"/>
      <c r="M97" s="147"/>
      <c r="N97" s="147"/>
      <c r="O97" s="147"/>
      <c r="P97" s="147"/>
      <c r="Q97" s="147"/>
      <c r="R97" s="147"/>
      <c r="S97" s="147"/>
      <c r="T97" s="147"/>
      <c r="U97" s="147"/>
      <c r="V97" s="147"/>
      <c r="W97" s="147"/>
      <c r="X97" s="147"/>
      <c r="Y97" s="147"/>
      <c r="Z97" s="147"/>
      <c r="AA97" s="147"/>
      <c r="AB97" s="147"/>
      <c r="AC97" s="147"/>
      <c r="AD97" s="147"/>
      <c r="AE97" s="147"/>
      <c r="AF97" s="147"/>
      <c r="AG97" s="147"/>
      <c r="AH97" s="147"/>
      <c r="AI97" s="147"/>
      <c r="AJ97" s="147"/>
      <c r="AK97" s="147"/>
      <c r="AL97" s="147"/>
      <c r="AM97" s="147"/>
      <c r="AN97" s="147">
        <f t="shared" ref="AN97:AT97" si="423">SUM(AN93:AN94)</f>
        <v>7.8391559193476059</v>
      </c>
      <c r="AO97" s="147">
        <f t="shared" si="423"/>
        <v>14.003907317206153</v>
      </c>
      <c r="AP97" s="147">
        <f t="shared" si="423"/>
        <v>13.877222375072758</v>
      </c>
      <c r="AQ97" s="147">
        <f t="shared" si="423"/>
        <v>9.7771453521258334</v>
      </c>
      <c r="AR97" s="147">
        <f t="shared" si="423"/>
        <v>8.6335755868001414</v>
      </c>
      <c r="AS97" s="147">
        <f t="shared" si="423"/>
        <v>11.506470223739516</v>
      </c>
      <c r="AT97" s="147">
        <f t="shared" si="423"/>
        <v>11.053026364109982</v>
      </c>
      <c r="AU97" s="147">
        <f>SUM(AU93:AU94,AU96)</f>
        <v>9.6535783573498808</v>
      </c>
      <c r="AV97" s="147"/>
      <c r="AW97" s="147"/>
      <c r="AX97" s="147"/>
      <c r="AY97" s="147"/>
      <c r="AZ97" s="147"/>
      <c r="BA97" s="147"/>
      <c r="BB97" s="147"/>
      <c r="BC97" s="147"/>
      <c r="BD97" s="147"/>
      <c r="BE97" s="147"/>
      <c r="BF97" s="147"/>
      <c r="BG97" s="147"/>
      <c r="BH97" s="147"/>
      <c r="BI97" s="14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50"/>
      <c r="BZ97" s="150"/>
      <c r="CA97" s="150"/>
      <c r="CB97" s="150"/>
      <c r="CC97" s="150"/>
      <c r="CD97" s="150"/>
      <c r="CE97" s="150"/>
      <c r="CF97" s="150"/>
      <c r="CG97" s="150"/>
      <c r="CH97" s="147"/>
      <c r="CI97" s="147"/>
    </row>
    <row r="98" spans="1:87" s="157" customFormat="1" ht="12.75" customHeight="1">
      <c r="A98" s="154" t="s">
        <v>0</v>
      </c>
      <c r="B98" s="155"/>
      <c r="C98" s="155"/>
      <c r="D98" s="155"/>
      <c r="E98" s="155"/>
      <c r="F98" s="155"/>
      <c r="G98" s="155"/>
      <c r="H98" s="155"/>
      <c r="I98" s="155"/>
      <c r="J98" s="155"/>
      <c r="K98" s="155"/>
      <c r="L98" s="155"/>
      <c r="M98" s="155"/>
      <c r="N98" s="155"/>
      <c r="O98" s="155"/>
      <c r="P98" s="155"/>
      <c r="Q98" s="155"/>
      <c r="R98" s="155"/>
      <c r="S98" s="155"/>
      <c r="T98" s="155"/>
      <c r="U98" s="155"/>
      <c r="V98" s="155"/>
      <c r="W98" s="155"/>
      <c r="X98" s="155"/>
      <c r="Y98" s="155"/>
      <c r="Z98" s="155"/>
      <c r="AA98" s="155"/>
      <c r="AB98" s="155"/>
      <c r="AC98" s="155"/>
      <c r="AD98" s="155"/>
      <c r="AE98" s="155"/>
      <c r="AF98" s="155"/>
      <c r="AG98" s="155"/>
      <c r="AH98" s="155"/>
      <c r="AI98" s="155"/>
      <c r="AJ98" s="155"/>
      <c r="AK98" s="155"/>
      <c r="AL98" s="155"/>
      <c r="AM98" s="155"/>
      <c r="AN98" s="155"/>
      <c r="AO98" s="155">
        <f t="shared" ref="AO98" si="424">AO97/AN97-1</f>
        <v>0.78640499835492395</v>
      </c>
      <c r="AP98" s="155">
        <f t="shared" ref="AP98" si="425">AP97/AO97-1</f>
        <v>-9.0463996414587022E-3</v>
      </c>
      <c r="AQ98" s="155">
        <f t="shared" ref="AQ98" si="426">AQ97/AP97-1</f>
        <v>-0.29545372352840371</v>
      </c>
      <c r="AR98" s="155">
        <f t="shared" ref="AR98" si="427">AR97/AQ97-1</f>
        <v>-0.11696356391766716</v>
      </c>
      <c r="AS98" s="155">
        <f t="shared" ref="AS98" si="428">AS97/AR97-1</f>
        <v>0.33275838128199609</v>
      </c>
      <c r="AT98" s="155">
        <f t="shared" ref="AT98" si="429">AT97/AS97-1</f>
        <v>-3.9407728939672038E-2</v>
      </c>
      <c r="AU98" s="155">
        <f>AU97/AT97-1</f>
        <v>-0.12661220200326451</v>
      </c>
      <c r="AV98" s="155"/>
      <c r="AW98" s="155"/>
      <c r="AX98" s="155"/>
      <c r="AY98" s="155"/>
      <c r="AZ98" s="155"/>
      <c r="BA98" s="155"/>
      <c r="BB98" s="155"/>
      <c r="BC98" s="155"/>
      <c r="BD98" s="155"/>
      <c r="BE98" s="155"/>
      <c r="BF98" s="155"/>
      <c r="BG98" s="155"/>
      <c r="BH98" s="155"/>
      <c r="BI98" s="155"/>
      <c r="BJ98" s="155"/>
      <c r="BK98" s="155"/>
      <c r="BL98" s="155"/>
      <c r="BM98" s="155"/>
      <c r="BN98" s="155"/>
      <c r="BO98" s="155"/>
      <c r="BP98" s="155"/>
      <c r="BQ98" s="155"/>
      <c r="BR98" s="155"/>
      <c r="BS98" s="155"/>
      <c r="BT98" s="155"/>
      <c r="BU98" s="155"/>
      <c r="BV98" s="155"/>
      <c r="BW98" s="155"/>
      <c r="BX98" s="155"/>
      <c r="BY98" s="156"/>
      <c r="BZ98" s="156"/>
      <c r="CA98" s="156"/>
      <c r="CB98" s="156"/>
      <c r="CC98" s="156"/>
      <c r="CD98" s="156"/>
      <c r="CE98" s="156"/>
      <c r="CF98" s="156"/>
      <c r="CG98" s="156"/>
      <c r="CH98" s="155"/>
      <c r="CI98" s="155"/>
    </row>
    <row r="99" spans="1:87" s="157" customFormat="1" ht="12.75" customHeight="1">
      <c r="A99" s="154" t="s">
        <v>1</v>
      </c>
      <c r="B99" s="155"/>
      <c r="C99" s="155"/>
      <c r="D99" s="155"/>
      <c r="E99" s="155"/>
      <c r="F99" s="155"/>
      <c r="G99" s="155"/>
      <c r="H99" s="155"/>
      <c r="I99" s="155"/>
      <c r="J99" s="155"/>
      <c r="K99" s="155"/>
      <c r="L99" s="155"/>
      <c r="M99" s="155"/>
      <c r="N99" s="155"/>
      <c r="O99" s="155"/>
      <c r="P99" s="155"/>
      <c r="Q99" s="155"/>
      <c r="R99" s="155"/>
      <c r="S99" s="155"/>
      <c r="T99" s="155"/>
      <c r="U99" s="155"/>
      <c r="V99" s="155"/>
      <c r="W99" s="155"/>
      <c r="X99" s="155"/>
      <c r="Y99" s="155"/>
      <c r="Z99" s="155"/>
      <c r="AA99" s="155"/>
      <c r="AB99" s="155"/>
      <c r="AC99" s="155"/>
      <c r="AD99" s="155"/>
      <c r="AE99" s="155"/>
      <c r="AF99" s="155"/>
      <c r="AG99" s="155"/>
      <c r="AH99" s="155"/>
      <c r="AI99" s="155"/>
      <c r="AJ99" s="155"/>
      <c r="AK99" s="155"/>
      <c r="AL99" s="155"/>
      <c r="AM99" s="155"/>
      <c r="AN99" s="155"/>
      <c r="AO99" s="155"/>
      <c r="AP99" s="155"/>
      <c r="AQ99" s="155"/>
      <c r="AR99" s="155">
        <f>AR97/AN97-1</f>
        <v>0.10133994981422045</v>
      </c>
      <c r="AS99" s="155">
        <f>AS97/AO97-1</f>
        <v>-0.17833859057308354</v>
      </c>
      <c r="AT99" s="155">
        <f>AT97/AP97-1</f>
        <v>-0.20351306152128801</v>
      </c>
      <c r="AU99" s="155">
        <f>AU97/AQ97-1</f>
        <v>-1.2638351003862902E-2</v>
      </c>
      <c r="AV99" s="155"/>
      <c r="AW99" s="155"/>
      <c r="AX99" s="155"/>
      <c r="AY99" s="155"/>
      <c r="AZ99" s="155"/>
      <c r="BA99" s="155"/>
      <c r="BB99" s="155"/>
      <c r="BC99" s="155"/>
      <c r="BD99" s="155"/>
      <c r="BE99" s="155"/>
      <c r="BF99" s="155"/>
      <c r="BG99" s="155"/>
      <c r="BH99" s="155"/>
      <c r="BI99" s="155"/>
      <c r="BJ99" s="155"/>
      <c r="BK99" s="155"/>
      <c r="BL99" s="155"/>
      <c r="BM99" s="155"/>
      <c r="BN99" s="155"/>
      <c r="BO99" s="155"/>
      <c r="BP99" s="155"/>
      <c r="BQ99" s="155"/>
      <c r="BR99" s="155"/>
      <c r="BS99" s="155"/>
      <c r="BT99" s="155"/>
      <c r="BU99" s="155"/>
      <c r="BV99" s="155"/>
      <c r="BW99" s="155"/>
      <c r="BX99" s="155"/>
      <c r="BY99" s="156"/>
      <c r="BZ99" s="156"/>
      <c r="CA99" s="156"/>
      <c r="CB99" s="156"/>
      <c r="CC99" s="156"/>
      <c r="CD99" s="156"/>
      <c r="CE99" s="156"/>
      <c r="CF99" s="156"/>
      <c r="CG99" s="156"/>
      <c r="CH99" s="155"/>
      <c r="CI99" s="155"/>
    </row>
    <row r="100" spans="1:87" s="84" customFormat="1" ht="12.75" customHeight="1">
      <c r="A100" s="158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159"/>
      <c r="AN100" s="159"/>
      <c r="AO100" s="159"/>
      <c r="AP100" s="159"/>
      <c r="AQ100" s="159"/>
      <c r="AR100" s="159"/>
      <c r="AS100" s="159"/>
      <c r="AT100" s="159"/>
      <c r="AU100" s="159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40"/>
      <c r="BP100" s="35"/>
      <c r="BQ100" s="35"/>
      <c r="BR100" s="35"/>
      <c r="BS100" s="35"/>
      <c r="BT100" s="160"/>
      <c r="BU100" s="160"/>
      <c r="BV100" s="160"/>
      <c r="BW100" s="160"/>
      <c r="BX100" s="160"/>
      <c r="BY100" s="160"/>
      <c r="BZ100" s="160"/>
      <c r="CA100" s="35"/>
      <c r="CB100" s="35"/>
      <c r="CC100" s="35"/>
      <c r="CD100" s="35"/>
      <c r="CE100" s="35"/>
      <c r="CF100" s="35"/>
      <c r="CG100" s="82"/>
      <c r="CH100" s="83"/>
      <c r="CI100" s="83"/>
    </row>
    <row r="101" spans="1:87" s="32" customFormat="1" ht="12.75" customHeight="1">
      <c r="A101" s="25" t="s">
        <v>201</v>
      </c>
      <c r="B101" s="27">
        <f t="shared" ref="B101:AG101" si="430">B8-B128</f>
        <v>-129</v>
      </c>
      <c r="C101" s="27">
        <f t="shared" si="430"/>
        <v>-276</v>
      </c>
      <c r="D101" s="27">
        <f t="shared" si="430"/>
        <v>253</v>
      </c>
      <c r="E101" s="27">
        <f t="shared" si="430"/>
        <v>357</v>
      </c>
      <c r="F101" s="27">
        <f t="shared" si="430"/>
        <v>-95</v>
      </c>
      <c r="G101" s="27">
        <f t="shared" si="430"/>
        <v>-475</v>
      </c>
      <c r="H101" s="27">
        <f t="shared" si="430"/>
        <v>319</v>
      </c>
      <c r="I101" s="27">
        <f t="shared" si="430"/>
        <v>590</v>
      </c>
      <c r="J101" s="27">
        <f t="shared" si="430"/>
        <v>-391</v>
      </c>
      <c r="K101" s="27">
        <f t="shared" si="430"/>
        <v>-464</v>
      </c>
      <c r="L101" s="27">
        <f t="shared" si="430"/>
        <v>369</v>
      </c>
      <c r="M101" s="27">
        <f t="shared" si="430"/>
        <v>260</v>
      </c>
      <c r="N101" s="27">
        <f t="shared" si="430"/>
        <v>-169</v>
      </c>
      <c r="O101" s="27">
        <f t="shared" si="430"/>
        <v>-454</v>
      </c>
      <c r="P101" s="27">
        <f t="shared" si="430"/>
        <v>345</v>
      </c>
      <c r="Q101" s="27">
        <f t="shared" si="430"/>
        <v>764</v>
      </c>
      <c r="R101" s="27">
        <f t="shared" si="430"/>
        <v>-209</v>
      </c>
      <c r="S101" s="27">
        <f t="shared" si="430"/>
        <v>-439</v>
      </c>
      <c r="T101" s="27">
        <f t="shared" si="430"/>
        <v>230</v>
      </c>
      <c r="U101" s="27">
        <f t="shared" si="430"/>
        <v>302</v>
      </c>
      <c r="V101" s="27">
        <f t="shared" si="430"/>
        <v>-289</v>
      </c>
      <c r="W101" s="27">
        <f t="shared" si="430"/>
        <v>-510</v>
      </c>
      <c r="X101" s="27">
        <f t="shared" si="430"/>
        <v>331</v>
      </c>
      <c r="Y101" s="27">
        <f t="shared" si="430"/>
        <v>733</v>
      </c>
      <c r="Z101" s="27">
        <f t="shared" si="430"/>
        <v>-384</v>
      </c>
      <c r="AA101" s="27">
        <f t="shared" si="430"/>
        <v>-589</v>
      </c>
      <c r="AB101" s="27">
        <f t="shared" si="430"/>
        <v>200</v>
      </c>
      <c r="AC101" s="27">
        <f t="shared" si="430"/>
        <v>921</v>
      </c>
      <c r="AD101" s="27">
        <f t="shared" si="430"/>
        <v>-435</v>
      </c>
      <c r="AE101" s="27">
        <f t="shared" si="430"/>
        <v>-674</v>
      </c>
      <c r="AF101" s="27">
        <f t="shared" si="430"/>
        <v>220</v>
      </c>
      <c r="AG101" s="27">
        <f t="shared" si="430"/>
        <v>811</v>
      </c>
      <c r="AH101" s="27">
        <f t="shared" ref="AH101:BN101" si="431">AH8-AH128</f>
        <v>-327</v>
      </c>
      <c r="AI101" s="27">
        <f t="shared" si="431"/>
        <v>-388</v>
      </c>
      <c r="AJ101" s="27">
        <f t="shared" si="431"/>
        <v>-64</v>
      </c>
      <c r="AK101" s="27">
        <f t="shared" si="431"/>
        <v>320</v>
      </c>
      <c r="AL101" s="27">
        <f t="shared" si="431"/>
        <v>126</v>
      </c>
      <c r="AM101" s="27">
        <f t="shared" si="431"/>
        <v>-427</v>
      </c>
      <c r="AN101" s="27">
        <f t="shared" si="431"/>
        <v>-35</v>
      </c>
      <c r="AO101" s="27">
        <f t="shared" si="431"/>
        <v>428</v>
      </c>
      <c r="AP101" s="27">
        <f t="shared" si="431"/>
        <v>-131</v>
      </c>
      <c r="AQ101" s="27">
        <f t="shared" si="431"/>
        <v>-69</v>
      </c>
      <c r="AR101" s="27">
        <f t="shared" si="431"/>
        <v>-241</v>
      </c>
      <c r="AS101" s="27">
        <f t="shared" si="431"/>
        <v>727</v>
      </c>
      <c r="AT101" s="27">
        <f t="shared" si="431"/>
        <v>144</v>
      </c>
      <c r="AU101" s="27">
        <f t="shared" si="431"/>
        <v>-215</v>
      </c>
      <c r="AV101" s="27">
        <f t="shared" si="431"/>
        <v>25</v>
      </c>
      <c r="AW101" s="27">
        <f t="shared" si="431"/>
        <v>895.6717500000002</v>
      </c>
      <c r="AX101" s="27">
        <f t="shared" si="431"/>
        <v>-10.728412500000331</v>
      </c>
      <c r="AY101" s="27">
        <f t="shared" si="431"/>
        <v>-556.65210318932509</v>
      </c>
      <c r="AZ101" s="27">
        <f t="shared" si="431"/>
        <v>-188.25245570998004</v>
      </c>
      <c r="BA101" s="27">
        <f t="shared" si="431"/>
        <v>900.53596335126736</v>
      </c>
      <c r="BB101" s="27">
        <f t="shared" si="431"/>
        <v>-181.51339995766261</v>
      </c>
      <c r="BC101" s="27">
        <f t="shared" si="431"/>
        <v>-593.17374627297249</v>
      </c>
      <c r="BD101" s="27">
        <f t="shared" si="431"/>
        <v>-171.57716960351536</v>
      </c>
      <c r="BE101" s="27">
        <f t="shared" si="431"/>
        <v>908.90572469230619</v>
      </c>
      <c r="BF101" s="27">
        <f t="shared" si="431"/>
        <v>-176.51457349326938</v>
      </c>
      <c r="BG101" s="27">
        <f t="shared" si="431"/>
        <v>-595.82269765264664</v>
      </c>
      <c r="BH101" s="27">
        <f t="shared" si="431"/>
        <v>-32.978366072486551</v>
      </c>
      <c r="BI101" s="27">
        <f t="shared" si="431"/>
        <v>916.2958782696428</v>
      </c>
      <c r="BJ101" s="27">
        <f t="shared" si="431"/>
        <v>-226.33936498872504</v>
      </c>
      <c r="BK101" s="27">
        <f t="shared" si="431"/>
        <v>-645.88555989318843</v>
      </c>
      <c r="BL101" s="27">
        <f t="shared" si="431"/>
        <v>-179.95959495724219</v>
      </c>
      <c r="BM101" s="27">
        <f t="shared" si="431"/>
        <v>962.78562564085587</v>
      </c>
      <c r="BN101" s="27">
        <f t="shared" si="431"/>
        <v>-195.91522009790515</v>
      </c>
      <c r="BO101" s="28"/>
      <c r="BP101" s="68"/>
      <c r="BQ101" s="161">
        <f t="shared" ref="BQ101:CF101" si="432">BQ8-BQ128</f>
        <v>239</v>
      </c>
      <c r="BR101" s="161">
        <f t="shared" si="432"/>
        <v>43</v>
      </c>
      <c r="BS101" s="161">
        <f t="shared" si="432"/>
        <v>-4</v>
      </c>
      <c r="BT101" s="161">
        <f t="shared" si="432"/>
        <v>446</v>
      </c>
      <c r="BU101" s="161">
        <f t="shared" si="432"/>
        <v>-196</v>
      </c>
      <c r="BV101" s="161">
        <f t="shared" si="432"/>
        <v>170</v>
      </c>
      <c r="BW101" s="161">
        <f t="shared" si="432"/>
        <v>97</v>
      </c>
      <c r="BX101" s="161">
        <f t="shared" si="432"/>
        <v>30</v>
      </c>
      <c r="BY101" s="161">
        <f t="shared" si="432"/>
        <v>-6</v>
      </c>
      <c r="BZ101" s="161">
        <f t="shared" si="432"/>
        <v>-165</v>
      </c>
      <c r="CA101" s="161">
        <f t="shared" si="432"/>
        <v>561</v>
      </c>
      <c r="CB101" s="161">
        <f t="shared" si="432"/>
        <v>694.94333749999987</v>
      </c>
      <c r="CC101" s="161">
        <f t="shared" si="432"/>
        <v>-25.881995505700615</v>
      </c>
      <c r="CD101" s="161">
        <f t="shared" si="432"/>
        <v>-32.359764677452404</v>
      </c>
      <c r="CE101" s="161">
        <f t="shared" si="432"/>
        <v>61.155449555784799</v>
      </c>
      <c r="CF101" s="161">
        <f t="shared" si="432"/>
        <v>-58.974749307481034</v>
      </c>
      <c r="CG101" s="31"/>
      <c r="CH101" s="31"/>
      <c r="CI101" s="31"/>
    </row>
    <row r="102" spans="1:87" s="37" customFormat="1" ht="12.75" customHeight="1">
      <c r="A102" s="69" t="s">
        <v>0</v>
      </c>
      <c r="B102" s="34" t="s">
        <v>17</v>
      </c>
      <c r="C102" s="34">
        <f t="shared" ref="C102:AH102" si="433">C101/B101-1</f>
        <v>1.13953488372093</v>
      </c>
      <c r="D102" s="34">
        <f t="shared" si="433"/>
        <v>-1.9166666666666665</v>
      </c>
      <c r="E102" s="34">
        <f t="shared" si="433"/>
        <v>0.4110671936758894</v>
      </c>
      <c r="F102" s="34">
        <f t="shared" si="433"/>
        <v>-1.2661064425770308</v>
      </c>
      <c r="G102" s="34">
        <f t="shared" si="433"/>
        <v>4</v>
      </c>
      <c r="H102" s="34">
        <f t="shared" si="433"/>
        <v>-1.6715789473684211</v>
      </c>
      <c r="I102" s="34">
        <f t="shared" si="433"/>
        <v>0.84952978056426343</v>
      </c>
      <c r="J102" s="34">
        <f t="shared" si="433"/>
        <v>-1.6627118644067798</v>
      </c>
      <c r="K102" s="34">
        <f t="shared" si="433"/>
        <v>0.1867007672634271</v>
      </c>
      <c r="L102" s="34">
        <f t="shared" si="433"/>
        <v>-1.7952586206896552</v>
      </c>
      <c r="M102" s="34">
        <f t="shared" si="433"/>
        <v>-0.29539295392953935</v>
      </c>
      <c r="N102" s="34">
        <f t="shared" si="433"/>
        <v>-1.65</v>
      </c>
      <c r="O102" s="34">
        <f t="shared" si="433"/>
        <v>1.6863905325443787</v>
      </c>
      <c r="P102" s="34">
        <f t="shared" si="433"/>
        <v>-1.7599118942731278</v>
      </c>
      <c r="Q102" s="34">
        <f t="shared" si="433"/>
        <v>1.2144927536231882</v>
      </c>
      <c r="R102" s="34">
        <f t="shared" si="433"/>
        <v>-1.2735602094240837</v>
      </c>
      <c r="S102" s="34">
        <f t="shared" si="433"/>
        <v>1.1004784688995217</v>
      </c>
      <c r="T102" s="34">
        <f t="shared" si="433"/>
        <v>-1.5239179954441915</v>
      </c>
      <c r="U102" s="34">
        <f t="shared" si="433"/>
        <v>0.31304347826086953</v>
      </c>
      <c r="V102" s="34">
        <f t="shared" si="433"/>
        <v>-1.9569536423841059</v>
      </c>
      <c r="W102" s="34">
        <f t="shared" si="433"/>
        <v>0.76470588235294112</v>
      </c>
      <c r="X102" s="34">
        <f t="shared" si="433"/>
        <v>-1.6490196078431372</v>
      </c>
      <c r="Y102" s="34">
        <f t="shared" si="433"/>
        <v>1.214501510574018</v>
      </c>
      <c r="Z102" s="34">
        <f t="shared" si="433"/>
        <v>-1.5238744884038198</v>
      </c>
      <c r="AA102" s="34">
        <f t="shared" si="433"/>
        <v>0.53385416666666674</v>
      </c>
      <c r="AB102" s="34">
        <f t="shared" si="433"/>
        <v>-1.3395585738539899</v>
      </c>
      <c r="AC102" s="34">
        <f t="shared" si="433"/>
        <v>3.6050000000000004</v>
      </c>
      <c r="AD102" s="34">
        <f t="shared" si="433"/>
        <v>-1.4723127035830619</v>
      </c>
      <c r="AE102" s="34">
        <f t="shared" si="433"/>
        <v>0.5494252873563219</v>
      </c>
      <c r="AF102" s="34">
        <f t="shared" si="433"/>
        <v>-1.3264094955489614</v>
      </c>
      <c r="AG102" s="34">
        <f t="shared" si="433"/>
        <v>2.6863636363636365</v>
      </c>
      <c r="AH102" s="34">
        <f t="shared" si="433"/>
        <v>-1.4032059186189889</v>
      </c>
      <c r="AI102" s="34">
        <f t="shared" ref="AI102:BB102" si="434">AI101/AH101-1</f>
        <v>0.18654434250764518</v>
      </c>
      <c r="AJ102" s="34">
        <f t="shared" si="434"/>
        <v>-0.83505154639175261</v>
      </c>
      <c r="AK102" s="34">
        <f t="shared" si="434"/>
        <v>-6</v>
      </c>
      <c r="AL102" s="34">
        <f t="shared" si="434"/>
        <v>-0.60624999999999996</v>
      </c>
      <c r="AM102" s="34">
        <f t="shared" si="434"/>
        <v>-4.3888888888888893</v>
      </c>
      <c r="AN102" s="34">
        <f t="shared" si="434"/>
        <v>-0.91803278688524592</v>
      </c>
      <c r="AO102" s="34">
        <f t="shared" si="434"/>
        <v>-13.228571428571428</v>
      </c>
      <c r="AP102" s="34">
        <f t="shared" si="434"/>
        <v>-1.3060747663551402</v>
      </c>
      <c r="AQ102" s="34">
        <f t="shared" si="434"/>
        <v>-0.47328244274809161</v>
      </c>
      <c r="AR102" s="34">
        <f t="shared" si="434"/>
        <v>2.4927536231884058</v>
      </c>
      <c r="AS102" s="34">
        <f t="shared" si="434"/>
        <v>-4.0165975103734439</v>
      </c>
      <c r="AT102" s="34">
        <f t="shared" si="434"/>
        <v>-0.80192572214580471</v>
      </c>
      <c r="AU102" s="34">
        <f t="shared" si="434"/>
        <v>-2.4930555555555554</v>
      </c>
      <c r="AV102" s="34">
        <f t="shared" si="434"/>
        <v>-1.1162790697674418</v>
      </c>
      <c r="AW102" s="34">
        <f t="shared" si="434"/>
        <v>34.826870000000007</v>
      </c>
      <c r="AX102" s="34">
        <f t="shared" si="434"/>
        <v>-1.0119780628338455</v>
      </c>
      <c r="AY102" s="34">
        <f t="shared" si="434"/>
        <v>50.885784890290886</v>
      </c>
      <c r="AZ102" s="34">
        <f t="shared" si="434"/>
        <v>-0.66181308822621521</v>
      </c>
      <c r="BA102" s="34">
        <f t="shared" si="434"/>
        <v>-5.7836611743255268</v>
      </c>
      <c r="BB102" s="34">
        <f t="shared" si="434"/>
        <v>-1.2015615226316738</v>
      </c>
      <c r="BC102" s="34">
        <f t="shared" ref="BC102:BJ102" si="435">BC101/BB101-1</f>
        <v>2.2679336424271059</v>
      </c>
      <c r="BD102" s="34">
        <f t="shared" si="435"/>
        <v>-0.71074719560403921</v>
      </c>
      <c r="BE102" s="34">
        <f t="shared" si="435"/>
        <v>-6.2973581904435614</v>
      </c>
      <c r="BF102" s="34">
        <f t="shared" si="435"/>
        <v>-1.1942055910727434</v>
      </c>
      <c r="BG102" s="34">
        <f t="shared" si="435"/>
        <v>2.375487280518318</v>
      </c>
      <c r="BH102" s="34">
        <f t="shared" si="435"/>
        <v>-0.94465070531483464</v>
      </c>
      <c r="BI102" s="34">
        <f t="shared" si="435"/>
        <v>-28.784756717650037</v>
      </c>
      <c r="BJ102" s="34">
        <f t="shared" si="435"/>
        <v>-1.2470155878209888</v>
      </c>
      <c r="BK102" s="34">
        <f>BK101/BJ101-1</f>
        <v>1.8536156754056585</v>
      </c>
      <c r="BL102" s="34">
        <f>BL101/BK101-1</f>
        <v>-0.72137541674255345</v>
      </c>
      <c r="BM102" s="34">
        <f>BM101/BL101-1</f>
        <v>-6.350009961233857</v>
      </c>
      <c r="BN102" s="34">
        <f>BN101/BM101-1</f>
        <v>-1.2034878947922585</v>
      </c>
      <c r="BO102" s="35"/>
      <c r="BP102" s="35"/>
      <c r="BQ102" s="35" t="s">
        <v>17</v>
      </c>
      <c r="BR102" s="35" t="s">
        <v>17</v>
      </c>
      <c r="BS102" s="35" t="s">
        <v>17</v>
      </c>
      <c r="BT102" s="35" t="s">
        <v>17</v>
      </c>
      <c r="BU102" s="35" t="s">
        <v>17</v>
      </c>
      <c r="BV102" s="35" t="s">
        <v>17</v>
      </c>
      <c r="BW102" s="35" t="s">
        <v>17</v>
      </c>
      <c r="BX102" s="35" t="s">
        <v>17</v>
      </c>
      <c r="BY102" s="35" t="s">
        <v>17</v>
      </c>
      <c r="BZ102" s="35" t="s">
        <v>17</v>
      </c>
      <c r="CA102" s="35" t="s">
        <v>17</v>
      </c>
      <c r="CB102" s="35" t="s">
        <v>17</v>
      </c>
      <c r="CC102" s="35" t="s">
        <v>17</v>
      </c>
      <c r="CD102" s="35" t="s">
        <v>17</v>
      </c>
      <c r="CE102" s="35" t="s">
        <v>17</v>
      </c>
      <c r="CF102" s="35" t="s">
        <v>17</v>
      </c>
      <c r="CG102" s="36"/>
      <c r="CH102" s="36"/>
      <c r="CI102" s="36"/>
    </row>
    <row r="103" spans="1:87" s="37" customFormat="1" ht="12.75" customHeight="1">
      <c r="A103" s="69" t="s">
        <v>1</v>
      </c>
      <c r="B103" s="34" t="s">
        <v>17</v>
      </c>
      <c r="C103" s="34" t="s">
        <v>17</v>
      </c>
      <c r="D103" s="34" t="s">
        <v>17</v>
      </c>
      <c r="E103" s="34" t="s">
        <v>17</v>
      </c>
      <c r="F103" s="34">
        <f t="shared" ref="F103:AR103" si="436">F101/B101-1</f>
        <v>-0.26356589147286824</v>
      </c>
      <c r="G103" s="34">
        <f t="shared" si="436"/>
        <v>0.72101449275362328</v>
      </c>
      <c r="H103" s="34">
        <f t="shared" si="436"/>
        <v>0.26086956521739135</v>
      </c>
      <c r="I103" s="34">
        <f t="shared" si="436"/>
        <v>0.65266106442577021</v>
      </c>
      <c r="J103" s="34">
        <f t="shared" si="436"/>
        <v>3.1157894736842104</v>
      </c>
      <c r="K103" s="34">
        <f t="shared" si="436"/>
        <v>-2.3157894736842155E-2</v>
      </c>
      <c r="L103" s="34">
        <f t="shared" si="436"/>
        <v>0.15673981191222564</v>
      </c>
      <c r="M103" s="34">
        <f t="shared" si="436"/>
        <v>-0.55932203389830515</v>
      </c>
      <c r="N103" s="34">
        <f t="shared" si="436"/>
        <v>-0.56777493606138107</v>
      </c>
      <c r="O103" s="34">
        <f t="shared" si="436"/>
        <v>-2.155172413793105E-2</v>
      </c>
      <c r="P103" s="34">
        <f t="shared" si="436"/>
        <v>-6.5040650406504086E-2</v>
      </c>
      <c r="Q103" s="34">
        <f t="shared" si="436"/>
        <v>1.9384615384615387</v>
      </c>
      <c r="R103" s="34">
        <f t="shared" si="436"/>
        <v>0.23668639053254448</v>
      </c>
      <c r="S103" s="34">
        <f t="shared" si="436"/>
        <v>-3.3039647577092546E-2</v>
      </c>
      <c r="T103" s="34">
        <f t="shared" si="436"/>
        <v>-0.33333333333333337</v>
      </c>
      <c r="U103" s="34">
        <f t="shared" si="436"/>
        <v>-0.60471204188481675</v>
      </c>
      <c r="V103" s="34">
        <f t="shared" si="436"/>
        <v>0.38277511961722488</v>
      </c>
      <c r="W103" s="34">
        <f t="shared" si="436"/>
        <v>0.1617312072892938</v>
      </c>
      <c r="X103" s="34">
        <f t="shared" si="436"/>
        <v>0.4391304347826086</v>
      </c>
      <c r="Y103" s="34">
        <f t="shared" si="436"/>
        <v>1.4271523178807946</v>
      </c>
      <c r="Z103" s="34">
        <f t="shared" si="436"/>
        <v>0.32871972318339093</v>
      </c>
      <c r="AA103" s="34">
        <f t="shared" si="436"/>
        <v>0.15490196078431362</v>
      </c>
      <c r="AB103" s="34">
        <f t="shared" si="436"/>
        <v>-0.39577039274924475</v>
      </c>
      <c r="AC103" s="34">
        <f t="shared" si="436"/>
        <v>0.25648021828103684</v>
      </c>
      <c r="AD103" s="34">
        <f t="shared" si="436"/>
        <v>0.1328125</v>
      </c>
      <c r="AE103" s="34">
        <f t="shared" si="436"/>
        <v>0.14431239388794559</v>
      </c>
      <c r="AF103" s="34">
        <f t="shared" si="436"/>
        <v>0.10000000000000009</v>
      </c>
      <c r="AG103" s="34">
        <f t="shared" si="436"/>
        <v>-0.11943539630836053</v>
      </c>
      <c r="AH103" s="34">
        <f t="shared" si="436"/>
        <v>-0.24827586206896557</v>
      </c>
      <c r="AI103" s="34">
        <f t="shared" si="436"/>
        <v>-0.42433234421364985</v>
      </c>
      <c r="AJ103" s="34">
        <f t="shared" si="436"/>
        <v>-1.290909090909091</v>
      </c>
      <c r="AK103" s="34">
        <f t="shared" si="436"/>
        <v>-0.60542540073982742</v>
      </c>
      <c r="AL103" s="34">
        <f t="shared" si="436"/>
        <v>-1.3853211009174311</v>
      </c>
      <c r="AM103" s="34">
        <f t="shared" si="436"/>
        <v>0.10051546391752586</v>
      </c>
      <c r="AN103" s="34">
        <f t="shared" si="436"/>
        <v>-0.453125</v>
      </c>
      <c r="AO103" s="34">
        <f t="shared" si="436"/>
        <v>0.33749999999999991</v>
      </c>
      <c r="AP103" s="34">
        <f t="shared" si="436"/>
        <v>-2.0396825396825395</v>
      </c>
      <c r="AQ103" s="34">
        <f t="shared" si="436"/>
        <v>-0.83840749414519911</v>
      </c>
      <c r="AR103" s="34">
        <f t="shared" si="436"/>
        <v>5.8857142857142861</v>
      </c>
      <c r="AS103" s="34">
        <f t="shared" ref="AS103:BB103" si="437">AS101/AO101-1</f>
        <v>0.69859813084112155</v>
      </c>
      <c r="AT103" s="34">
        <f t="shared" si="437"/>
        <v>-2.0992366412213741</v>
      </c>
      <c r="AU103" s="34">
        <f t="shared" si="437"/>
        <v>2.1159420289855073</v>
      </c>
      <c r="AV103" s="34">
        <f t="shared" si="437"/>
        <v>-1.103734439834025</v>
      </c>
      <c r="AW103" s="34">
        <f t="shared" si="437"/>
        <v>0.23201066024759309</v>
      </c>
      <c r="AX103" s="34">
        <f t="shared" si="437"/>
        <v>-1.0745028645833357</v>
      </c>
      <c r="AY103" s="34">
        <f t="shared" si="437"/>
        <v>1.5890795497177912</v>
      </c>
      <c r="AZ103" s="34">
        <f t="shared" si="437"/>
        <v>-8.5300982283992006</v>
      </c>
      <c r="BA103" s="34">
        <f t="shared" si="437"/>
        <v>5.430799119506835E-3</v>
      </c>
      <c r="BB103" s="34">
        <f t="shared" si="437"/>
        <v>15.918943036321263</v>
      </c>
      <c r="BC103" s="34">
        <f t="shared" ref="BC103:BJ103" si="438">BC101/AY101-1</f>
        <v>6.5609458536844745E-2</v>
      </c>
      <c r="BD103" s="34">
        <f t="shared" si="438"/>
        <v>-8.857938157340417E-2</v>
      </c>
      <c r="BE103" s="34">
        <f t="shared" si="438"/>
        <v>9.294199989405838E-3</v>
      </c>
      <c r="BF103" s="34">
        <f t="shared" si="438"/>
        <v>-2.7539710377080695E-2</v>
      </c>
      <c r="BG103" s="34">
        <f t="shared" si="438"/>
        <v>4.4657259299119012E-3</v>
      </c>
      <c r="BH103" s="34">
        <f t="shared" si="438"/>
        <v>-0.80779280746562176</v>
      </c>
      <c r="BI103" s="34">
        <f t="shared" si="438"/>
        <v>8.1308252072440634E-3</v>
      </c>
      <c r="BJ103" s="34">
        <f t="shared" si="438"/>
        <v>0.2822701293689811</v>
      </c>
      <c r="BK103" s="34">
        <f>BK101/BG101-1</f>
        <v>8.4023086797085256E-2</v>
      </c>
      <c r="BL103" s="34">
        <f>BL101/BH101-1</f>
        <v>4.4568984576643498</v>
      </c>
      <c r="BM103" s="34">
        <f>BM101/BI101-1</f>
        <v>5.0736610819428263E-2</v>
      </c>
      <c r="BN103" s="34">
        <f>BN101/BJ101-1</f>
        <v>-0.13441826565315074</v>
      </c>
      <c r="BO103" s="35"/>
      <c r="BP103" s="35"/>
      <c r="BQ103" s="35" t="s">
        <v>17</v>
      </c>
      <c r="BR103" s="35">
        <f t="shared" ref="BR103:CF103" si="439">BR101/BQ101-1</f>
        <v>-0.82008368200836823</v>
      </c>
      <c r="BS103" s="35">
        <f t="shared" si="439"/>
        <v>-1.0930232558139534</v>
      </c>
      <c r="BT103" s="35">
        <f t="shared" si="439"/>
        <v>-112.5</v>
      </c>
      <c r="BU103" s="35">
        <f t="shared" si="439"/>
        <v>-1.4394618834080717</v>
      </c>
      <c r="BV103" s="35">
        <f t="shared" si="439"/>
        <v>-1.8673469387755102</v>
      </c>
      <c r="BW103" s="35">
        <f t="shared" si="439"/>
        <v>-0.42941176470588238</v>
      </c>
      <c r="BX103" s="35">
        <f t="shared" si="439"/>
        <v>-0.69072164948453607</v>
      </c>
      <c r="BY103" s="35">
        <f t="shared" si="439"/>
        <v>-1.2</v>
      </c>
      <c r="BZ103" s="35">
        <f t="shared" si="439"/>
        <v>26.5</v>
      </c>
      <c r="CA103" s="35">
        <f t="shared" si="439"/>
        <v>-4.4000000000000004</v>
      </c>
      <c r="CB103" s="35">
        <f t="shared" si="439"/>
        <v>0.23875817736185367</v>
      </c>
      <c r="CC103" s="35">
        <f t="shared" si="439"/>
        <v>-1.0372433177053095</v>
      </c>
      <c r="CD103" s="35">
        <f t="shared" si="439"/>
        <v>0.25028090165323746</v>
      </c>
      <c r="CE103" s="35">
        <f t="shared" si="439"/>
        <v>-2.8898607627513626</v>
      </c>
      <c r="CF103" s="35">
        <f t="shared" si="439"/>
        <v>-1.9643416855874052</v>
      </c>
      <c r="CG103" s="36"/>
      <c r="CH103" s="36"/>
      <c r="CI103" s="36"/>
    </row>
    <row r="104" spans="1:87" s="37" customFormat="1" ht="12.75" customHeight="1">
      <c r="A104" s="69" t="s">
        <v>83</v>
      </c>
      <c r="B104" s="34">
        <f t="shared" ref="B104:AG104" si="440">B101/B$128</f>
        <v>-0.13176710929519919</v>
      </c>
      <c r="C104" s="34">
        <f t="shared" si="440"/>
        <v>-0.33865030674846625</v>
      </c>
      <c r="D104" s="34">
        <f t="shared" si="440"/>
        <v>0.40095087163232962</v>
      </c>
      <c r="E104" s="34">
        <f t="shared" si="440"/>
        <v>0.33903133903133903</v>
      </c>
      <c r="F104" s="34">
        <f t="shared" si="440"/>
        <v>-8.7155963302752298E-2</v>
      </c>
      <c r="G104" s="34">
        <f t="shared" si="440"/>
        <v>-0.47547547547547547</v>
      </c>
      <c r="H104" s="34">
        <f t="shared" si="440"/>
        <v>0.44615384615384618</v>
      </c>
      <c r="I104" s="34">
        <f t="shared" si="440"/>
        <v>0.55607917059377943</v>
      </c>
      <c r="J104" s="34">
        <f t="shared" si="440"/>
        <v>-0.28581871345029242</v>
      </c>
      <c r="K104" s="34">
        <f t="shared" si="440"/>
        <v>-0.48586387434554973</v>
      </c>
      <c r="L104" s="34">
        <f t="shared" si="440"/>
        <v>0.51898734177215189</v>
      </c>
      <c r="M104" s="34">
        <f t="shared" si="440"/>
        <v>0.28199566160520606</v>
      </c>
      <c r="N104" s="34">
        <f t="shared" si="440"/>
        <v>-0.13978494623655913</v>
      </c>
      <c r="O104" s="34">
        <f t="shared" si="440"/>
        <v>-0.47839831401475236</v>
      </c>
      <c r="P104" s="34">
        <f t="shared" si="440"/>
        <v>0.49640287769784175</v>
      </c>
      <c r="Q104" s="34">
        <f t="shared" si="440"/>
        <v>0.9455445544554455</v>
      </c>
      <c r="R104" s="34">
        <f t="shared" si="440"/>
        <v>-0.18610863757791629</v>
      </c>
      <c r="S104" s="34">
        <f t="shared" si="440"/>
        <v>-0.36161449752883029</v>
      </c>
      <c r="T104" s="34">
        <f t="shared" si="440"/>
        <v>0.23232323232323232</v>
      </c>
      <c r="U104" s="34">
        <f t="shared" si="440"/>
        <v>0.26820603907637658</v>
      </c>
      <c r="V104" s="34">
        <f t="shared" si="440"/>
        <v>-0.2438818565400844</v>
      </c>
      <c r="W104" s="34">
        <f t="shared" si="440"/>
        <v>-0.42394014962593518</v>
      </c>
      <c r="X104" s="34">
        <f t="shared" si="440"/>
        <v>0.40613496932515336</v>
      </c>
      <c r="Y104" s="34">
        <f t="shared" si="440"/>
        <v>0.68504672897196262</v>
      </c>
      <c r="Z104" s="34">
        <f t="shared" si="440"/>
        <v>-0.29357798165137616</v>
      </c>
      <c r="AA104" s="34">
        <f t="shared" si="440"/>
        <v>-0.46341463414634149</v>
      </c>
      <c r="AB104" s="34">
        <f t="shared" si="440"/>
        <v>0.22271714922048999</v>
      </c>
      <c r="AC104" s="34">
        <f t="shared" si="440"/>
        <v>0.80156657963446476</v>
      </c>
      <c r="AD104" s="34">
        <f t="shared" si="440"/>
        <v>-0.28487229862475444</v>
      </c>
      <c r="AE104" s="34">
        <f t="shared" si="440"/>
        <v>-0.46514837819185645</v>
      </c>
      <c r="AF104" s="34">
        <f t="shared" si="440"/>
        <v>0.22940563086548488</v>
      </c>
      <c r="AG104" s="34">
        <f t="shared" si="440"/>
        <v>0.69913793103448274</v>
      </c>
      <c r="AH104" s="34">
        <f t="shared" ref="AH104:BN104" si="441">AH101/AH$128</f>
        <v>-0.20670037926675094</v>
      </c>
      <c r="AI104" s="34">
        <f t="shared" si="441"/>
        <v>-0.34124890061565522</v>
      </c>
      <c r="AJ104" s="34">
        <f t="shared" si="441"/>
        <v>-4.9766718506998445E-2</v>
      </c>
      <c r="AK104" s="34">
        <f t="shared" si="441"/>
        <v>0.2482544608223429</v>
      </c>
      <c r="AL104" s="34">
        <f t="shared" si="441"/>
        <v>0.10177705977382875</v>
      </c>
      <c r="AM104" s="34">
        <f t="shared" si="441"/>
        <v>-0.35318444995864351</v>
      </c>
      <c r="AN104" s="34">
        <f t="shared" si="441"/>
        <v>-2.596439169139466E-2</v>
      </c>
      <c r="AO104" s="34">
        <f t="shared" si="441"/>
        <v>0.26867545511613306</v>
      </c>
      <c r="AP104" s="34">
        <f t="shared" si="441"/>
        <v>-9.4448449891852915E-2</v>
      </c>
      <c r="AQ104" s="34">
        <f t="shared" si="441"/>
        <v>-4.7292666209732694E-2</v>
      </c>
      <c r="AR104" s="34">
        <f t="shared" si="441"/>
        <v>-0.20938314509122502</v>
      </c>
      <c r="AS104" s="34">
        <f t="shared" si="441"/>
        <v>0.43454871488344293</v>
      </c>
      <c r="AT104" s="34">
        <f t="shared" si="441"/>
        <v>0.10698365527488855</v>
      </c>
      <c r="AU104" s="34">
        <f t="shared" si="441"/>
        <v>-0.13862024500322373</v>
      </c>
      <c r="AV104" s="34">
        <f t="shared" si="441"/>
        <v>1.3691128148959474E-2</v>
      </c>
      <c r="AW104" s="34">
        <f t="shared" si="441"/>
        <v>0.51402822064913978</v>
      </c>
      <c r="AX104" s="34">
        <f t="shared" si="441"/>
        <v>-5.9414774923586232E-3</v>
      </c>
      <c r="AY104" s="34">
        <f t="shared" si="441"/>
        <v>-0.2685532263143463</v>
      </c>
      <c r="AZ104" s="34">
        <f t="shared" si="441"/>
        <v>-8.8161039718496481E-2</v>
      </c>
      <c r="BA104" s="34">
        <f t="shared" si="441"/>
        <v>0.45656289172501435</v>
      </c>
      <c r="BB104" s="34">
        <f t="shared" si="441"/>
        <v>-9.5750630108273865E-2</v>
      </c>
      <c r="BC104" s="34">
        <f t="shared" si="441"/>
        <v>-0.27981571641782238</v>
      </c>
      <c r="BD104" s="34">
        <f t="shared" si="441"/>
        <v>-7.7915794903172853E-2</v>
      </c>
      <c r="BE104" s="34">
        <f t="shared" si="441"/>
        <v>0.44079181300243381</v>
      </c>
      <c r="BF104" s="34">
        <f t="shared" si="441"/>
        <v>-8.8995197519779731E-2</v>
      </c>
      <c r="BG104" s="34">
        <f t="shared" si="441"/>
        <v>-0.27024529933326641</v>
      </c>
      <c r="BH104" s="34">
        <f t="shared" si="441"/>
        <v>-1.3097656438692842E-2</v>
      </c>
      <c r="BI104" s="34">
        <f t="shared" si="441"/>
        <v>0.39938240491741289</v>
      </c>
      <c r="BJ104" s="34">
        <f t="shared" si="441"/>
        <v>-0.10449177236570993</v>
      </c>
      <c r="BK104" s="34">
        <f t="shared" si="441"/>
        <v>-0.27332891832925416</v>
      </c>
      <c r="BL104" s="34">
        <f t="shared" si="441"/>
        <v>-7.3592092928001798E-2</v>
      </c>
      <c r="BM104" s="34">
        <f t="shared" si="441"/>
        <v>0.41025509299357887</v>
      </c>
      <c r="BN104" s="34">
        <f t="shared" si="441"/>
        <v>-8.7513980775938749E-2</v>
      </c>
      <c r="BO104" s="35"/>
      <c r="BP104" s="35"/>
      <c r="BQ104" s="35">
        <f t="shared" ref="BQ104:CF104" si="442">BQ101/BQ$128</f>
        <v>6.659236556143773E-2</v>
      </c>
      <c r="BR104" s="35">
        <f t="shared" si="442"/>
        <v>1.037895244991552E-2</v>
      </c>
      <c r="BS104" s="35">
        <f t="shared" si="442"/>
        <v>-1.0534632604687912E-3</v>
      </c>
      <c r="BT104" s="35">
        <f t="shared" si="442"/>
        <v>0.12475524475524476</v>
      </c>
      <c r="BU104" s="35">
        <f t="shared" si="442"/>
        <v>-4.3410852713178294E-2</v>
      </c>
      <c r="BV104" s="35">
        <f t="shared" si="442"/>
        <v>3.8671519563239311E-2</v>
      </c>
      <c r="BW104" s="35">
        <f t="shared" si="442"/>
        <v>2.002063983488132E-2</v>
      </c>
      <c r="BX104" s="35">
        <f t="shared" si="442"/>
        <v>5.8252427184466021E-3</v>
      </c>
      <c r="BY104" s="35">
        <f t="shared" si="442"/>
        <v>-1.2121212121212121E-3</v>
      </c>
      <c r="BZ104" s="35">
        <f t="shared" si="442"/>
        <v>-2.9799530431641682E-2</v>
      </c>
      <c r="CA104" s="35">
        <f t="shared" si="442"/>
        <v>9.966246224906733E-2</v>
      </c>
      <c r="CB104" s="35">
        <f t="shared" si="442"/>
        <v>0.10035083907352789</v>
      </c>
      <c r="CC104" s="35">
        <f t="shared" si="442"/>
        <v>-3.2047166130985366E-3</v>
      </c>
      <c r="CD104" s="35">
        <f t="shared" si="442"/>
        <v>-3.8673812061755363E-3</v>
      </c>
      <c r="CE104" s="35">
        <f t="shared" si="442"/>
        <v>6.6596299478193718E-3</v>
      </c>
      <c r="CF104" s="35">
        <f t="shared" si="442"/>
        <v>-6.2780029499430699E-3</v>
      </c>
      <c r="CG104" s="36"/>
      <c r="CH104" s="36"/>
      <c r="CI104" s="36"/>
    </row>
    <row r="105" spans="1:87" s="37" customFormat="1" ht="12.75" customHeight="1">
      <c r="A105" s="69" t="s">
        <v>84</v>
      </c>
      <c r="B105" s="34">
        <f t="shared" ref="B105:AG105" si="443">B101/B$8</f>
        <v>-0.15176470588235294</v>
      </c>
      <c r="C105" s="34">
        <f t="shared" si="443"/>
        <v>-0.51205936920222639</v>
      </c>
      <c r="D105" s="34">
        <f t="shared" si="443"/>
        <v>0.28619909502262442</v>
      </c>
      <c r="E105" s="34">
        <f t="shared" si="443"/>
        <v>0.2531914893617021</v>
      </c>
      <c r="F105" s="34">
        <f t="shared" si="443"/>
        <v>-9.5477386934673364E-2</v>
      </c>
      <c r="G105" s="34">
        <f t="shared" si="443"/>
        <v>-0.90648854961832059</v>
      </c>
      <c r="H105" s="34">
        <f t="shared" si="443"/>
        <v>0.30851063829787234</v>
      </c>
      <c r="I105" s="34">
        <f t="shared" si="443"/>
        <v>0.35735917625681407</v>
      </c>
      <c r="J105" s="34">
        <f t="shared" si="443"/>
        <v>-0.40020470829068577</v>
      </c>
      <c r="K105" s="34">
        <f t="shared" si="443"/>
        <v>-0.94501018329938902</v>
      </c>
      <c r="L105" s="34">
        <f t="shared" si="443"/>
        <v>0.34166666666666667</v>
      </c>
      <c r="M105" s="34">
        <f t="shared" si="443"/>
        <v>0.21996615905245348</v>
      </c>
      <c r="N105" s="34">
        <f t="shared" si="443"/>
        <v>-0.16250000000000001</v>
      </c>
      <c r="O105" s="34">
        <f t="shared" si="443"/>
        <v>-0.91717171717171719</v>
      </c>
      <c r="P105" s="34">
        <f t="shared" si="443"/>
        <v>0.33173076923076922</v>
      </c>
      <c r="Q105" s="34">
        <f t="shared" si="443"/>
        <v>0.48600508905852419</v>
      </c>
      <c r="R105" s="34">
        <f t="shared" si="443"/>
        <v>-0.2286652078774617</v>
      </c>
      <c r="S105" s="34">
        <f t="shared" si="443"/>
        <v>-0.56645161290322577</v>
      </c>
      <c r="T105" s="34">
        <f t="shared" si="443"/>
        <v>0.18852459016393441</v>
      </c>
      <c r="U105" s="34">
        <f t="shared" si="443"/>
        <v>0.21148459383753501</v>
      </c>
      <c r="V105" s="34">
        <f t="shared" si="443"/>
        <v>-0.32254464285714285</v>
      </c>
      <c r="W105" s="34">
        <f t="shared" si="443"/>
        <v>-0.73593073593073588</v>
      </c>
      <c r="X105" s="34">
        <f t="shared" si="443"/>
        <v>0.28883071553228623</v>
      </c>
      <c r="Y105" s="34">
        <f t="shared" si="443"/>
        <v>0.4065446478092069</v>
      </c>
      <c r="Z105" s="34">
        <f t="shared" si="443"/>
        <v>-0.41558441558441561</v>
      </c>
      <c r="AA105" s="34">
        <f t="shared" si="443"/>
        <v>-0.86363636363636365</v>
      </c>
      <c r="AB105" s="34">
        <f t="shared" si="443"/>
        <v>0.18214936247723132</v>
      </c>
      <c r="AC105" s="34">
        <f t="shared" si="443"/>
        <v>0.44492753623188408</v>
      </c>
      <c r="AD105" s="34">
        <f t="shared" si="443"/>
        <v>-0.39835164835164832</v>
      </c>
      <c r="AE105" s="34">
        <f t="shared" si="443"/>
        <v>-0.86967741935483867</v>
      </c>
      <c r="AF105" s="34">
        <f t="shared" si="443"/>
        <v>0.18659881255301103</v>
      </c>
      <c r="AG105" s="34">
        <f t="shared" si="443"/>
        <v>0.41146626078132925</v>
      </c>
      <c r="AH105" s="34">
        <f t="shared" ref="AH105:BN105" si="444">AH101/AH$8</f>
        <v>-0.26055776892430277</v>
      </c>
      <c r="AI105" s="34">
        <f t="shared" si="444"/>
        <v>-0.51802403204272363</v>
      </c>
      <c r="AJ105" s="34">
        <f t="shared" si="444"/>
        <v>-5.2373158756137482E-2</v>
      </c>
      <c r="AK105" s="34">
        <f t="shared" si="444"/>
        <v>0.19888129272840274</v>
      </c>
      <c r="AL105" s="34">
        <f t="shared" si="444"/>
        <v>9.2375366568914957E-2</v>
      </c>
      <c r="AM105" s="34">
        <f t="shared" si="444"/>
        <v>-0.54603580562659848</v>
      </c>
      <c r="AN105" s="34">
        <f t="shared" si="444"/>
        <v>-2.6656511805026657E-2</v>
      </c>
      <c r="AO105" s="34">
        <f t="shared" si="444"/>
        <v>0.21177634834240475</v>
      </c>
      <c r="AP105" s="34">
        <f t="shared" si="444"/>
        <v>-0.10429936305732485</v>
      </c>
      <c r="AQ105" s="34">
        <f t="shared" si="444"/>
        <v>-4.9640287769784172E-2</v>
      </c>
      <c r="AR105" s="34">
        <f t="shared" si="444"/>
        <v>-0.26483516483516484</v>
      </c>
      <c r="AS105" s="34">
        <f t="shared" si="444"/>
        <v>0.30291666666666667</v>
      </c>
      <c r="AT105" s="34">
        <f t="shared" si="444"/>
        <v>9.6644295302013419E-2</v>
      </c>
      <c r="AU105" s="34">
        <f t="shared" si="444"/>
        <v>-0.16092814371257486</v>
      </c>
      <c r="AV105" s="34">
        <f t="shared" si="444"/>
        <v>1.350621285791464E-2</v>
      </c>
      <c r="AW105" s="34">
        <f t="shared" si="444"/>
        <v>0.33951032988589214</v>
      </c>
      <c r="AX105" s="34">
        <f t="shared" si="444"/>
        <v>-5.9769896417873631E-3</v>
      </c>
      <c r="AY105" s="34">
        <f t="shared" si="444"/>
        <v>-0.36715347715753222</v>
      </c>
      <c r="AZ105" s="34">
        <f t="shared" si="444"/>
        <v>-9.6684879193228754E-2</v>
      </c>
      <c r="BA105" s="34">
        <f t="shared" si="444"/>
        <v>0.31345223355532886</v>
      </c>
      <c r="BB105" s="34">
        <f t="shared" si="444"/>
        <v>-0.10588962878651378</v>
      </c>
      <c r="BC105" s="34">
        <f t="shared" si="444"/>
        <v>-0.38853349454673791</v>
      </c>
      <c r="BD105" s="34">
        <f t="shared" si="444"/>
        <v>-8.4499652496477798E-2</v>
      </c>
      <c r="BE105" s="34">
        <f t="shared" si="444"/>
        <v>0.30593719996498148</v>
      </c>
      <c r="BF105" s="34">
        <f t="shared" si="444"/>
        <v>-9.7689054193226377E-2</v>
      </c>
      <c r="BG105" s="34">
        <f t="shared" si="444"/>
        <v>-0.37032347867901272</v>
      </c>
      <c r="BH105" s="34">
        <f t="shared" si="444"/>
        <v>-1.327148174704806E-2</v>
      </c>
      <c r="BI105" s="34">
        <f t="shared" si="444"/>
        <v>0.28539904711820585</v>
      </c>
      <c r="BJ105" s="34">
        <f t="shared" si="444"/>
        <v>-0.11668432420967387</v>
      </c>
      <c r="BK105" s="34">
        <f t="shared" si="444"/>
        <v>-0.37613842799526637</v>
      </c>
      <c r="BL105" s="34">
        <f t="shared" si="444"/>
        <v>-7.9438109677406277E-2</v>
      </c>
      <c r="BM105" s="34">
        <f t="shared" si="444"/>
        <v>0.29090842857565685</v>
      </c>
      <c r="BN105" s="34">
        <f t="shared" si="444"/>
        <v>-9.5907201789630567E-2</v>
      </c>
      <c r="BO105" s="35"/>
      <c r="BP105" s="35"/>
      <c r="BQ105" s="35">
        <f t="shared" ref="BQ105:CF105" si="445">BQ101/BQ$8</f>
        <v>6.2434691745036575E-2</v>
      </c>
      <c r="BR105" s="35">
        <f t="shared" si="445"/>
        <v>1.0272336359292882E-2</v>
      </c>
      <c r="BS105" s="35">
        <f t="shared" si="445"/>
        <v>-1.0545742156604272E-3</v>
      </c>
      <c r="BT105" s="35">
        <f t="shared" si="445"/>
        <v>0.11091768216861478</v>
      </c>
      <c r="BU105" s="35">
        <f t="shared" si="445"/>
        <v>-4.5380875202593193E-2</v>
      </c>
      <c r="BV105" s="35">
        <f t="shared" si="445"/>
        <v>3.7231712658782307E-2</v>
      </c>
      <c r="BW105" s="35">
        <f t="shared" si="445"/>
        <v>1.9627681100768919E-2</v>
      </c>
      <c r="BX105" s="35">
        <f t="shared" si="445"/>
        <v>5.7915057915057912E-3</v>
      </c>
      <c r="BY105" s="35">
        <f t="shared" si="445"/>
        <v>-1.2135922330097086E-3</v>
      </c>
      <c r="BZ105" s="35">
        <f t="shared" si="445"/>
        <v>-3.0714817572598661E-2</v>
      </c>
      <c r="CA105" s="35">
        <f t="shared" si="445"/>
        <v>9.0630048465266552E-2</v>
      </c>
      <c r="CB105" s="35">
        <f t="shared" si="445"/>
        <v>9.1198948108242611E-2</v>
      </c>
      <c r="CC105" s="35">
        <f t="shared" si="445"/>
        <v>-3.2150198405931267E-3</v>
      </c>
      <c r="CD105" s="35">
        <f t="shared" si="445"/>
        <v>-3.8823959111572788E-3</v>
      </c>
      <c r="CE105" s="35">
        <f t="shared" si="445"/>
        <v>6.6155726818652467E-3</v>
      </c>
      <c r="CF105" s="35">
        <f t="shared" si="445"/>
        <v>-6.3176652711521156E-3</v>
      </c>
      <c r="CG105" s="36"/>
      <c r="CH105" s="36"/>
      <c r="CI105" s="36"/>
    </row>
    <row r="106" spans="1:87" s="37" customFormat="1" ht="12.75" hidden="1" customHeight="1" outlineLevel="1">
      <c r="A106" s="69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75"/>
      <c r="AN106" s="75"/>
      <c r="AO106" s="75"/>
      <c r="AP106" s="75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5"/>
      <c r="BP106" s="35"/>
      <c r="BQ106" s="35"/>
      <c r="BR106" s="35"/>
      <c r="BS106" s="35"/>
      <c r="BT106" s="35"/>
      <c r="BU106" s="35"/>
      <c r="BV106" s="35"/>
      <c r="BW106" s="35"/>
      <c r="BX106" s="35"/>
      <c r="BY106" s="35"/>
      <c r="BZ106" s="35"/>
      <c r="CA106" s="35"/>
      <c r="CB106" s="35"/>
      <c r="CC106" s="35"/>
      <c r="CD106" s="35"/>
      <c r="CE106" s="35"/>
      <c r="CF106" s="35"/>
      <c r="CG106" s="36"/>
      <c r="CH106" s="36"/>
      <c r="CI106" s="36"/>
    </row>
    <row r="107" spans="1:87" s="50" customFormat="1" ht="12.75" hidden="1" customHeight="1" outlineLevel="1">
      <c r="A107" s="42" t="s">
        <v>202</v>
      </c>
      <c r="B107" s="44"/>
      <c r="C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5">
        <f>AJ111+AJ115</f>
        <v>91</v>
      </c>
      <c r="AK107" s="45">
        <f t="shared" ref="AK107:AU107" si="446">AK111+AK115</f>
        <v>47</v>
      </c>
      <c r="AL107" s="45">
        <f t="shared" si="446"/>
        <v>39</v>
      </c>
      <c r="AM107" s="45">
        <f t="shared" si="446"/>
        <v>-167</v>
      </c>
      <c r="AN107" s="45">
        <f t="shared" si="446"/>
        <v>57</v>
      </c>
      <c r="AO107" s="45">
        <f t="shared" si="446"/>
        <v>91</v>
      </c>
      <c r="AP107" s="45">
        <f t="shared" si="446"/>
        <v>-88</v>
      </c>
      <c r="AQ107" s="45">
        <f t="shared" si="446"/>
        <v>-72</v>
      </c>
      <c r="AR107" s="45">
        <f t="shared" si="446"/>
        <v>-16</v>
      </c>
      <c r="AS107" s="45">
        <f t="shared" si="446"/>
        <v>136</v>
      </c>
      <c r="AT107" s="45">
        <f t="shared" si="446"/>
        <v>-63</v>
      </c>
      <c r="AU107" s="45">
        <f t="shared" si="446"/>
        <v>-40</v>
      </c>
      <c r="AV107" s="45"/>
      <c r="AW107" s="45"/>
      <c r="AX107" s="45"/>
      <c r="AY107" s="45"/>
      <c r="AZ107" s="45"/>
      <c r="BA107" s="45"/>
      <c r="BB107" s="45"/>
      <c r="BC107" s="45"/>
      <c r="BD107" s="45"/>
      <c r="BE107" s="45"/>
      <c r="BF107" s="45"/>
      <c r="BG107" s="45"/>
      <c r="BH107" s="45"/>
      <c r="BI107" s="45"/>
      <c r="BJ107" s="45"/>
      <c r="BK107" s="45"/>
      <c r="BL107" s="45"/>
      <c r="BM107" s="45"/>
      <c r="BN107" s="45"/>
      <c r="BO107" s="45"/>
      <c r="BP107" s="44"/>
      <c r="BQ107" s="161"/>
      <c r="BR107" s="161"/>
      <c r="BS107" s="161"/>
      <c r="BT107" s="161"/>
      <c r="BU107" s="161"/>
      <c r="BV107" s="161"/>
      <c r="BW107" s="161"/>
      <c r="BX107" s="161"/>
      <c r="BY107" s="161"/>
      <c r="BZ107" s="49">
        <f>SUM(AM107:AP107)</f>
        <v>-107</v>
      </c>
      <c r="CA107" s="49">
        <f>SUM(AQ107:AT107)</f>
        <v>-15</v>
      </c>
      <c r="CB107" s="49">
        <f>SUM(AU107:AX107)</f>
        <v>-40</v>
      </c>
      <c r="CC107" s="49">
        <f>SUM(AY107:BB107)</f>
        <v>0</v>
      </c>
      <c r="CD107" s="49">
        <f>SUM(BC107:BF107)</f>
        <v>0</v>
      </c>
      <c r="CE107" s="49">
        <f>SUM(BG107:BJ107)</f>
        <v>0</v>
      </c>
      <c r="CF107" s="49">
        <f>SUM(BK107:BN107)</f>
        <v>0</v>
      </c>
      <c r="CG107" s="43"/>
      <c r="CH107" s="43"/>
      <c r="CI107" s="43"/>
    </row>
    <row r="108" spans="1:87" s="37" customFormat="1" ht="12.75" hidden="1" customHeight="1" outlineLevel="1">
      <c r="A108" s="69" t="s">
        <v>0</v>
      </c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>
        <f t="shared" ref="AK108" si="447">AK107/AJ107-1</f>
        <v>-0.48351648351648346</v>
      </c>
      <c r="AL108" s="34">
        <f t="shared" ref="AL108" si="448">AL107/AK107-1</f>
        <v>-0.17021276595744683</v>
      </c>
      <c r="AM108" s="34">
        <f t="shared" ref="AM108" si="449">AM107/AL107-1</f>
        <v>-5.2820512820512819</v>
      </c>
      <c r="AN108" s="34">
        <f t="shared" ref="AN108" si="450">AN107/AM107-1</f>
        <v>-1.341317365269461</v>
      </c>
      <c r="AO108" s="34">
        <f t="shared" ref="AO108" si="451">AO107/AN107-1</f>
        <v>0.59649122807017552</v>
      </c>
      <c r="AP108" s="34">
        <f t="shared" ref="AP108" si="452">AP107/AO107-1</f>
        <v>-1.9670329670329672</v>
      </c>
      <c r="AQ108" s="34">
        <f t="shared" ref="AQ108:AU108" si="453">AQ107/AP107-1</f>
        <v>-0.18181818181818177</v>
      </c>
      <c r="AR108" s="34">
        <f t="shared" si="453"/>
        <v>-0.77777777777777779</v>
      </c>
      <c r="AS108" s="34">
        <f t="shared" si="453"/>
        <v>-9.5</v>
      </c>
      <c r="AT108" s="34">
        <f t="shared" si="453"/>
        <v>-1.4632352941176472</v>
      </c>
      <c r="AU108" s="34">
        <f t="shared" si="453"/>
        <v>-0.36507936507936511</v>
      </c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5"/>
      <c r="BP108" s="35"/>
      <c r="BQ108" s="35"/>
      <c r="BR108" s="35"/>
      <c r="BS108" s="35"/>
      <c r="BT108" s="35"/>
      <c r="BU108" s="35"/>
      <c r="BV108" s="35"/>
      <c r="BW108" s="35"/>
      <c r="BX108" s="35"/>
      <c r="BY108" s="35"/>
      <c r="BZ108" s="35" t="s">
        <v>17</v>
      </c>
      <c r="CA108" s="35" t="s">
        <v>17</v>
      </c>
      <c r="CB108" s="35" t="s">
        <v>17</v>
      </c>
      <c r="CC108" s="35" t="s">
        <v>17</v>
      </c>
      <c r="CD108" s="35" t="s">
        <v>17</v>
      </c>
      <c r="CE108" s="35" t="s">
        <v>17</v>
      </c>
      <c r="CF108" s="35" t="s">
        <v>17</v>
      </c>
      <c r="CG108" s="36"/>
      <c r="CH108" s="36"/>
      <c r="CI108" s="36"/>
    </row>
    <row r="109" spans="1:87" s="37" customFormat="1" ht="12.75" hidden="1" customHeight="1" outlineLevel="1">
      <c r="A109" s="69" t="s">
        <v>1</v>
      </c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 t="s">
        <v>17</v>
      </c>
      <c r="AK109" s="34" t="s">
        <v>17</v>
      </c>
      <c r="AL109" s="34" t="s">
        <v>17</v>
      </c>
      <c r="AM109" s="34" t="s">
        <v>17</v>
      </c>
      <c r="AN109" s="34">
        <f t="shared" ref="AN109:AP109" si="454">AN107/AJ107-1</f>
        <v>-0.37362637362637363</v>
      </c>
      <c r="AO109" s="34">
        <f t="shared" si="454"/>
        <v>0.93617021276595747</v>
      </c>
      <c r="AP109" s="34">
        <f t="shared" si="454"/>
        <v>-3.2564102564102564</v>
      </c>
      <c r="AQ109" s="34">
        <f>AQ107/AM107-1</f>
        <v>-0.56886227544910173</v>
      </c>
      <c r="AR109" s="34">
        <f>AR107/AN107-1</f>
        <v>-1.2807017543859649</v>
      </c>
      <c r="AS109" s="34">
        <f>AS107/AO107-1</f>
        <v>0.49450549450549453</v>
      </c>
      <c r="AT109" s="34">
        <f>AT107/AP107-1</f>
        <v>-0.28409090909090906</v>
      </c>
      <c r="AU109" s="34">
        <f>AU107/AQ107-1</f>
        <v>-0.44444444444444442</v>
      </c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5"/>
      <c r="BP109" s="35"/>
      <c r="BQ109" s="35"/>
      <c r="BR109" s="35"/>
      <c r="BS109" s="35"/>
      <c r="BT109" s="35"/>
      <c r="BU109" s="35"/>
      <c r="BV109" s="35"/>
      <c r="BW109" s="35"/>
      <c r="BX109" s="35"/>
      <c r="BY109" s="35"/>
      <c r="BZ109" s="35" t="str">
        <f t="shared" ref="BZ109" si="455">IF(OR(AND(BY107&lt;0,BZ107&gt;0),BY107=0),"n/a",BZ107/BY107-1)</f>
        <v>n/a</v>
      </c>
      <c r="CA109" s="35">
        <f t="shared" ref="CA109" si="456">IF(OR(AND(BZ107&lt;0,CA107&gt;0),BZ107=0),"n/a",CA107/BZ107-1)</f>
        <v>-0.85981308411214952</v>
      </c>
      <c r="CB109" s="35">
        <f t="shared" ref="CB109" si="457">IF(OR(AND(CA107&lt;0,CB107&gt;0),CA107=0),"n/a",CB107/CA107-1)</f>
        <v>1.6666666666666665</v>
      </c>
      <c r="CC109" s="35">
        <f t="shared" ref="CC109" si="458">IF(OR(AND(CB107&lt;0,CC107&gt;0),CB107=0),"n/a",CC107/CB107-1)</f>
        <v>-1</v>
      </c>
      <c r="CD109" s="35" t="str">
        <f t="shared" ref="CD109" si="459">IF(OR(AND(CC107&lt;0,CD107&gt;0),CC107=0),"n/a",CD107/CC107-1)</f>
        <v>n/a</v>
      </c>
      <c r="CE109" s="35" t="str">
        <f t="shared" ref="CE109" si="460">IF(OR(AND(CD107&lt;0,CE107&gt;0),CD107=0),"n/a",CE107/CD107-1)</f>
        <v>n/a</v>
      </c>
      <c r="CF109" s="35" t="str">
        <f t="shared" ref="CF109" si="461">IF(OR(AND(CE107&lt;0,CF107&gt;0),CE107=0),"n/a",CF107/CE107-1)</f>
        <v>n/a</v>
      </c>
      <c r="CG109" s="36"/>
      <c r="CH109" s="36"/>
      <c r="CI109" s="36"/>
    </row>
    <row r="110" spans="1:87" s="37" customFormat="1" ht="12.75" hidden="1" customHeight="1" outlineLevel="1">
      <c r="A110" s="69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5"/>
      <c r="BP110" s="35"/>
      <c r="BQ110" s="35"/>
      <c r="BR110" s="35"/>
      <c r="BS110" s="35"/>
      <c r="BT110" s="35"/>
      <c r="BU110" s="35"/>
      <c r="BV110" s="35"/>
      <c r="BW110" s="35"/>
      <c r="BX110" s="35"/>
      <c r="BY110" s="35"/>
      <c r="BZ110" s="35"/>
      <c r="CA110" s="35"/>
      <c r="CB110" s="35"/>
      <c r="CC110" s="35"/>
      <c r="CD110" s="35"/>
      <c r="CE110" s="35"/>
      <c r="CF110" s="35"/>
      <c r="CG110" s="36"/>
      <c r="CH110" s="36"/>
      <c r="CI110" s="36"/>
    </row>
    <row r="111" spans="1:87" s="50" customFormat="1" ht="12.75" hidden="1" customHeight="1" outlineLevel="1">
      <c r="A111" s="162" t="s">
        <v>204</v>
      </c>
      <c r="B111" s="44"/>
      <c r="C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>
        <v>9</v>
      </c>
      <c r="AK111" s="44">
        <v>25</v>
      </c>
      <c r="AL111" s="44">
        <v>45</v>
      </c>
      <c r="AM111" s="44">
        <v>-57</v>
      </c>
      <c r="AN111" s="44">
        <v>-5</v>
      </c>
      <c r="AO111" s="44">
        <v>31</v>
      </c>
      <c r="AP111" s="44">
        <v>-21</v>
      </c>
      <c r="AQ111" s="44">
        <v>-5</v>
      </c>
      <c r="AR111" s="44">
        <v>-2</v>
      </c>
      <c r="AS111" s="44">
        <v>53</v>
      </c>
      <c r="AT111" s="44">
        <v>-19</v>
      </c>
      <c r="AU111" s="44">
        <v>-5</v>
      </c>
      <c r="AV111" s="45"/>
      <c r="AW111" s="45"/>
      <c r="AX111" s="45"/>
      <c r="AY111" s="45"/>
      <c r="AZ111" s="45"/>
      <c r="BA111" s="45"/>
      <c r="BB111" s="45"/>
      <c r="BC111" s="45"/>
      <c r="BD111" s="45"/>
      <c r="BE111" s="45"/>
      <c r="BF111" s="45"/>
      <c r="BG111" s="45"/>
      <c r="BH111" s="45"/>
      <c r="BI111" s="45"/>
      <c r="BJ111" s="45"/>
      <c r="BK111" s="45"/>
      <c r="BL111" s="45"/>
      <c r="BM111" s="45"/>
      <c r="BN111" s="45"/>
      <c r="BO111" s="45"/>
      <c r="BP111" s="44"/>
      <c r="BQ111" s="161"/>
      <c r="BR111" s="161"/>
      <c r="BS111" s="161"/>
      <c r="BT111" s="161"/>
      <c r="BU111" s="161"/>
      <c r="BV111" s="161"/>
      <c r="BW111" s="161"/>
      <c r="BX111" s="161"/>
      <c r="BY111" s="161"/>
      <c r="BZ111" s="49">
        <f>SUM(AM111:AP111)</f>
        <v>-52</v>
      </c>
      <c r="CA111" s="49">
        <f>SUM(AQ111:AT111)</f>
        <v>27</v>
      </c>
      <c r="CB111" s="49">
        <f>SUM(AU111:AX111)</f>
        <v>-5</v>
      </c>
      <c r="CC111" s="49">
        <f>SUM(AY111:BB111)</f>
        <v>0</v>
      </c>
      <c r="CD111" s="49">
        <f>SUM(BC111:BF111)</f>
        <v>0</v>
      </c>
      <c r="CE111" s="49">
        <f>SUM(BG111:BJ111)</f>
        <v>0</v>
      </c>
      <c r="CF111" s="49">
        <f>SUM(BK111:BN111)</f>
        <v>0</v>
      </c>
      <c r="CG111" s="43"/>
      <c r="CH111" s="43"/>
      <c r="CI111" s="43"/>
    </row>
    <row r="112" spans="1:87" s="37" customFormat="1" ht="12.75" hidden="1" customHeight="1" outlineLevel="1">
      <c r="A112" s="73" t="s">
        <v>0</v>
      </c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 t="s">
        <v>17</v>
      </c>
      <c r="AK112" s="34">
        <f t="shared" ref="AK112" si="462">AK111/AJ111-1</f>
        <v>1.7777777777777777</v>
      </c>
      <c r="AL112" s="34">
        <f t="shared" ref="AL112" si="463">AL111/AK111-1</f>
        <v>0.8</v>
      </c>
      <c r="AM112" s="34">
        <f t="shared" ref="AM112" si="464">AM111/AL111-1</f>
        <v>-2.2666666666666666</v>
      </c>
      <c r="AN112" s="34">
        <f t="shared" ref="AN112" si="465">AN111/AM111-1</f>
        <v>-0.91228070175438591</v>
      </c>
      <c r="AO112" s="34">
        <f t="shared" ref="AO112" si="466">AO111/AN111-1</f>
        <v>-7.2</v>
      </c>
      <c r="AP112" s="34">
        <f t="shared" ref="AP112" si="467">AP111/AO111-1</f>
        <v>-1.6774193548387095</v>
      </c>
      <c r="AQ112" s="34">
        <f t="shared" ref="AQ112" si="468">AQ111/AP111-1</f>
        <v>-0.76190476190476186</v>
      </c>
      <c r="AR112" s="34">
        <f t="shared" ref="AR112" si="469">AR111/AQ111-1</f>
        <v>-0.6</v>
      </c>
      <c r="AS112" s="34">
        <f t="shared" ref="AS112" si="470">AS111/AR111-1</f>
        <v>-27.5</v>
      </c>
      <c r="AT112" s="34">
        <f t="shared" ref="AT112" si="471">AT111/AS111-1</f>
        <v>-1.3584905660377358</v>
      </c>
      <c r="AU112" s="34">
        <f t="shared" ref="AU112" si="472">AU111/AT111-1</f>
        <v>-0.73684210526315796</v>
      </c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5"/>
      <c r="BP112" s="35"/>
      <c r="BQ112" s="35"/>
      <c r="BR112" s="35"/>
      <c r="BS112" s="35"/>
      <c r="BT112" s="35"/>
      <c r="BU112" s="35"/>
      <c r="BV112" s="35"/>
      <c r="BW112" s="35"/>
      <c r="BX112" s="35"/>
      <c r="BY112" s="35"/>
      <c r="BZ112" s="35" t="s">
        <v>17</v>
      </c>
      <c r="CA112" s="35" t="s">
        <v>17</v>
      </c>
      <c r="CB112" s="35" t="s">
        <v>17</v>
      </c>
      <c r="CC112" s="35" t="s">
        <v>17</v>
      </c>
      <c r="CD112" s="35" t="s">
        <v>17</v>
      </c>
      <c r="CE112" s="35" t="s">
        <v>17</v>
      </c>
      <c r="CF112" s="35" t="s">
        <v>17</v>
      </c>
      <c r="CG112" s="36"/>
      <c r="CH112" s="36"/>
      <c r="CI112" s="36"/>
    </row>
    <row r="113" spans="1:87" s="37" customFormat="1" ht="12.75" hidden="1" customHeight="1" outlineLevel="1">
      <c r="A113" s="73" t="s">
        <v>1</v>
      </c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 t="s">
        <v>17</v>
      </c>
      <c r="AK113" s="34" t="s">
        <v>17</v>
      </c>
      <c r="AL113" s="34" t="s">
        <v>17</v>
      </c>
      <c r="AM113" s="34" t="s">
        <v>17</v>
      </c>
      <c r="AN113" s="34">
        <f t="shared" ref="AN113" si="473">AN111/AJ111-1</f>
        <v>-1.5555555555555556</v>
      </c>
      <c r="AO113" s="34">
        <f t="shared" ref="AO113" si="474">AO111/AK111-1</f>
        <v>0.24</v>
      </c>
      <c r="AP113" s="34">
        <f t="shared" ref="AP113" si="475">AP111/AL111-1</f>
        <v>-1.4666666666666668</v>
      </c>
      <c r="AQ113" s="34">
        <f>AQ111/AM111-1</f>
        <v>-0.91228070175438591</v>
      </c>
      <c r="AR113" s="34">
        <f>AR111/AN111-1</f>
        <v>-0.6</v>
      </c>
      <c r="AS113" s="34">
        <f>AS111/AO111-1</f>
        <v>0.70967741935483875</v>
      </c>
      <c r="AT113" s="34">
        <f>AT111/AP111-1</f>
        <v>-9.5238095238095233E-2</v>
      </c>
      <c r="AU113" s="34">
        <f>AU111/AQ111-1</f>
        <v>0</v>
      </c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5"/>
      <c r="BP113" s="35"/>
      <c r="BQ113" s="35"/>
      <c r="BR113" s="35"/>
      <c r="BS113" s="35"/>
      <c r="BT113" s="35"/>
      <c r="BU113" s="35"/>
      <c r="BV113" s="35"/>
      <c r="BW113" s="35"/>
      <c r="BX113" s="35"/>
      <c r="BY113" s="35"/>
      <c r="BZ113" s="35" t="str">
        <f t="shared" ref="BZ113" si="476">IF(OR(AND(BY111&lt;0,BZ111&gt;0),BY111=0),"n/a",BZ111/BY111-1)</f>
        <v>n/a</v>
      </c>
      <c r="CA113" s="35" t="str">
        <f t="shared" ref="CA113" si="477">IF(OR(AND(BZ111&lt;0,CA111&gt;0),BZ111=0),"n/a",CA111/BZ111-1)</f>
        <v>n/a</v>
      </c>
      <c r="CB113" s="35">
        <f t="shared" ref="CB113" si="478">IF(OR(AND(CA111&lt;0,CB111&gt;0),CA111=0),"n/a",CB111/CA111-1)</f>
        <v>-1.1851851851851851</v>
      </c>
      <c r="CC113" s="35">
        <f t="shared" ref="CC113" si="479">IF(OR(AND(CB111&lt;0,CC111&gt;0),CB111=0),"n/a",CC111/CB111-1)</f>
        <v>-1</v>
      </c>
      <c r="CD113" s="35" t="str">
        <f t="shared" ref="CD113" si="480">IF(OR(AND(CC111&lt;0,CD111&gt;0),CC111=0),"n/a",CD111/CC111-1)</f>
        <v>n/a</v>
      </c>
      <c r="CE113" s="35" t="str">
        <f t="shared" ref="CE113" si="481">IF(OR(AND(CD111&lt;0,CE111&gt;0),CD111=0),"n/a",CE111/CD111-1)</f>
        <v>n/a</v>
      </c>
      <c r="CF113" s="35" t="str">
        <f t="shared" ref="CF113" si="482">IF(OR(AND(CE111&lt;0,CF111&gt;0),CE111=0),"n/a",CF111/CE111-1)</f>
        <v>n/a</v>
      </c>
      <c r="CG113" s="36"/>
      <c r="CH113" s="36"/>
      <c r="CI113" s="36"/>
    </row>
    <row r="114" spans="1:87" s="37" customFormat="1" ht="12.75" hidden="1" customHeight="1" outlineLevel="1">
      <c r="A114" s="69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5"/>
      <c r="BP114" s="35"/>
      <c r="BQ114" s="35"/>
      <c r="BR114" s="35"/>
      <c r="BS114" s="35"/>
      <c r="BT114" s="35"/>
      <c r="BU114" s="35"/>
      <c r="BV114" s="35"/>
      <c r="BW114" s="35"/>
      <c r="BX114" s="35"/>
      <c r="BY114" s="35"/>
      <c r="BZ114" s="35"/>
      <c r="CA114" s="35"/>
      <c r="CB114" s="35"/>
      <c r="CC114" s="35"/>
      <c r="CD114" s="35"/>
      <c r="CE114" s="35"/>
      <c r="CF114" s="35"/>
      <c r="CG114" s="36"/>
      <c r="CH114" s="36"/>
      <c r="CI114" s="36"/>
    </row>
    <row r="115" spans="1:87" s="50" customFormat="1" ht="12.75" hidden="1" customHeight="1" outlineLevel="1">
      <c r="A115" s="162" t="s">
        <v>205</v>
      </c>
      <c r="B115" s="44"/>
      <c r="C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>
        <v>82</v>
      </c>
      <c r="AK115" s="44">
        <v>22</v>
      </c>
      <c r="AL115" s="44">
        <v>-6</v>
      </c>
      <c r="AM115" s="44">
        <v>-110</v>
      </c>
      <c r="AN115" s="44">
        <v>62</v>
      </c>
      <c r="AO115" s="44">
        <v>60</v>
      </c>
      <c r="AP115" s="44">
        <v>-67</v>
      </c>
      <c r="AQ115" s="44">
        <v>-67</v>
      </c>
      <c r="AR115" s="44">
        <v>-14</v>
      </c>
      <c r="AS115" s="44">
        <v>83</v>
      </c>
      <c r="AT115" s="44">
        <v>-44</v>
      </c>
      <c r="AU115" s="44">
        <v>-35</v>
      </c>
      <c r="AV115" s="45"/>
      <c r="AW115" s="45"/>
      <c r="AX115" s="45"/>
      <c r="AY115" s="45"/>
      <c r="AZ115" s="45"/>
      <c r="BA115" s="45"/>
      <c r="BB115" s="45"/>
      <c r="BC115" s="45"/>
      <c r="BD115" s="45"/>
      <c r="BE115" s="45"/>
      <c r="BF115" s="45"/>
      <c r="BG115" s="45"/>
      <c r="BH115" s="45"/>
      <c r="BI115" s="45"/>
      <c r="BJ115" s="45"/>
      <c r="BK115" s="45"/>
      <c r="BL115" s="45"/>
      <c r="BM115" s="45"/>
      <c r="BN115" s="45"/>
      <c r="BO115" s="45"/>
      <c r="BP115" s="44"/>
      <c r="BQ115" s="161"/>
      <c r="BR115" s="161"/>
      <c r="BS115" s="161"/>
      <c r="BT115" s="161"/>
      <c r="BU115" s="161"/>
      <c r="BV115" s="161"/>
      <c r="BW115" s="161"/>
      <c r="BX115" s="161"/>
      <c r="BY115" s="161"/>
      <c r="BZ115" s="49">
        <f>SUM(AM115:AP115)</f>
        <v>-55</v>
      </c>
      <c r="CA115" s="49">
        <f>SUM(AQ115:AT115)</f>
        <v>-42</v>
      </c>
      <c r="CB115" s="49">
        <f>SUM(AU115:AX115)</f>
        <v>-35</v>
      </c>
      <c r="CC115" s="49">
        <f>SUM(AY115:BB115)</f>
        <v>0</v>
      </c>
      <c r="CD115" s="49">
        <f>SUM(BC115:BF115)</f>
        <v>0</v>
      </c>
      <c r="CE115" s="49">
        <f>SUM(BG115:BJ115)</f>
        <v>0</v>
      </c>
      <c r="CF115" s="49">
        <f>SUM(BK115:BN115)</f>
        <v>0</v>
      </c>
      <c r="CG115" s="43"/>
      <c r="CH115" s="43"/>
      <c r="CI115" s="43"/>
    </row>
    <row r="116" spans="1:87" s="37" customFormat="1" ht="12.75" hidden="1" customHeight="1" outlineLevel="1">
      <c r="A116" s="73" t="s">
        <v>0</v>
      </c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 t="s">
        <v>17</v>
      </c>
      <c r="AK116" s="34">
        <f t="shared" ref="AK116" si="483">AK115/AJ115-1</f>
        <v>-0.73170731707317072</v>
      </c>
      <c r="AL116" s="34">
        <f t="shared" ref="AL116" si="484">AL115/AK115-1</f>
        <v>-1.2727272727272727</v>
      </c>
      <c r="AM116" s="34">
        <f t="shared" ref="AM116" si="485">AM115/AL115-1</f>
        <v>17.333333333333332</v>
      </c>
      <c r="AN116" s="34">
        <f t="shared" ref="AN116" si="486">AN115/AM115-1</f>
        <v>-1.5636363636363635</v>
      </c>
      <c r="AO116" s="34">
        <f t="shared" ref="AO116" si="487">AO115/AN115-1</f>
        <v>-3.2258064516129004E-2</v>
      </c>
      <c r="AP116" s="34">
        <f t="shared" ref="AP116" si="488">AP115/AO115-1</f>
        <v>-2.1166666666666667</v>
      </c>
      <c r="AQ116" s="34">
        <f t="shared" ref="AQ116" si="489">AQ115/AP115-1</f>
        <v>0</v>
      </c>
      <c r="AR116" s="34">
        <f t="shared" ref="AR116" si="490">AR115/AQ115-1</f>
        <v>-0.79104477611940305</v>
      </c>
      <c r="AS116" s="34">
        <f t="shared" ref="AS116" si="491">AS115/AR115-1</f>
        <v>-6.9285714285714288</v>
      </c>
      <c r="AT116" s="34">
        <f t="shared" ref="AT116" si="492">AT115/AS115-1</f>
        <v>-1.5301204819277108</v>
      </c>
      <c r="AU116" s="34">
        <f t="shared" ref="AU116" si="493">AU115/AT115-1</f>
        <v>-0.20454545454545459</v>
      </c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5"/>
      <c r="BP116" s="35"/>
      <c r="BQ116" s="35"/>
      <c r="BR116" s="35"/>
      <c r="BS116" s="35"/>
      <c r="BT116" s="35"/>
      <c r="BU116" s="35"/>
      <c r="BV116" s="35"/>
      <c r="BW116" s="35"/>
      <c r="BX116" s="35"/>
      <c r="BY116" s="35"/>
      <c r="BZ116" s="35" t="s">
        <v>17</v>
      </c>
      <c r="CA116" s="35" t="s">
        <v>17</v>
      </c>
      <c r="CB116" s="35" t="s">
        <v>17</v>
      </c>
      <c r="CC116" s="35" t="s">
        <v>17</v>
      </c>
      <c r="CD116" s="35" t="s">
        <v>17</v>
      </c>
      <c r="CE116" s="35" t="s">
        <v>17</v>
      </c>
      <c r="CF116" s="35" t="s">
        <v>17</v>
      </c>
      <c r="CG116" s="36"/>
      <c r="CH116" s="36"/>
      <c r="CI116" s="36"/>
    </row>
    <row r="117" spans="1:87" s="37" customFormat="1" ht="12.75" hidden="1" customHeight="1" outlineLevel="1">
      <c r="A117" s="73" t="s">
        <v>1</v>
      </c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 t="s">
        <v>17</v>
      </c>
      <c r="AK117" s="34" t="s">
        <v>17</v>
      </c>
      <c r="AL117" s="34" t="s">
        <v>17</v>
      </c>
      <c r="AM117" s="34" t="s">
        <v>17</v>
      </c>
      <c r="AN117" s="34">
        <f t="shared" ref="AN117" si="494">AN115/AJ115-1</f>
        <v>-0.24390243902439024</v>
      </c>
      <c r="AO117" s="34">
        <f t="shared" ref="AO117" si="495">AO115/AK115-1</f>
        <v>1.7272727272727271</v>
      </c>
      <c r="AP117" s="34">
        <f t="shared" ref="AP117" si="496">AP115/AL115-1</f>
        <v>10.166666666666666</v>
      </c>
      <c r="AQ117" s="34">
        <f>AQ115/AM115-1</f>
        <v>-0.39090909090909087</v>
      </c>
      <c r="AR117" s="34">
        <f>AR115/AN115-1</f>
        <v>-1.2258064516129032</v>
      </c>
      <c r="AS117" s="34">
        <f>AS115/AO115-1</f>
        <v>0.3833333333333333</v>
      </c>
      <c r="AT117" s="34">
        <f>AT115/AP115-1</f>
        <v>-0.34328358208955223</v>
      </c>
      <c r="AU117" s="34">
        <f>AU115/AQ115-1</f>
        <v>-0.47761194029850751</v>
      </c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35"/>
      <c r="BP117" s="35"/>
      <c r="BQ117" s="35"/>
      <c r="BR117" s="35"/>
      <c r="BS117" s="35"/>
      <c r="BT117" s="35"/>
      <c r="BU117" s="35"/>
      <c r="BV117" s="35"/>
      <c r="BW117" s="35"/>
      <c r="BX117" s="35"/>
      <c r="BY117" s="35"/>
      <c r="BZ117" s="35" t="str">
        <f t="shared" ref="BZ117" si="497">IF(OR(AND(BY115&lt;0,BZ115&gt;0),BY115=0),"n/a",BZ115/BY115-1)</f>
        <v>n/a</v>
      </c>
      <c r="CA117" s="35">
        <f t="shared" ref="CA117" si="498">IF(OR(AND(BZ115&lt;0,CA115&gt;0),BZ115=0),"n/a",CA115/BZ115-1)</f>
        <v>-0.23636363636363633</v>
      </c>
      <c r="CB117" s="35">
        <f t="shared" ref="CB117" si="499">IF(OR(AND(CA115&lt;0,CB115&gt;0),CA115=0),"n/a",CB115/CA115-1)</f>
        <v>-0.16666666666666663</v>
      </c>
      <c r="CC117" s="35">
        <f t="shared" ref="CC117" si="500">IF(OR(AND(CB115&lt;0,CC115&gt;0),CB115=0),"n/a",CC115/CB115-1)</f>
        <v>-1</v>
      </c>
      <c r="CD117" s="35" t="str">
        <f t="shared" ref="CD117" si="501">IF(OR(AND(CC115&lt;0,CD115&gt;0),CC115=0),"n/a",CD115/CC115-1)</f>
        <v>n/a</v>
      </c>
      <c r="CE117" s="35" t="str">
        <f t="shared" ref="CE117" si="502">IF(OR(AND(CD115&lt;0,CE115&gt;0),CD115=0),"n/a",CE115/CD115-1)</f>
        <v>n/a</v>
      </c>
      <c r="CF117" s="35" t="str">
        <f t="shared" ref="CF117" si="503">IF(OR(AND(CE115&lt;0,CF115&gt;0),CE115=0),"n/a",CF115/CE115-1)</f>
        <v>n/a</v>
      </c>
      <c r="CG117" s="36"/>
      <c r="CH117" s="36"/>
      <c r="CI117" s="36"/>
    </row>
    <row r="118" spans="1:87" s="37" customFormat="1" ht="12.75" hidden="1" customHeight="1" outlineLevel="1">
      <c r="A118" s="69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75"/>
      <c r="AN118" s="75"/>
      <c r="AO118" s="75"/>
      <c r="AP118" s="75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5"/>
      <c r="BP118" s="35"/>
      <c r="BQ118" s="35"/>
      <c r="BR118" s="35"/>
      <c r="BS118" s="35"/>
      <c r="BT118" s="35"/>
      <c r="BU118" s="35"/>
      <c r="BV118" s="35"/>
      <c r="BW118" s="35"/>
      <c r="BX118" s="35"/>
      <c r="BY118" s="35"/>
      <c r="BZ118" s="35"/>
      <c r="CA118" s="35"/>
      <c r="CB118" s="35"/>
      <c r="CC118" s="35"/>
      <c r="CD118" s="35"/>
      <c r="CE118" s="35"/>
      <c r="CF118" s="35"/>
      <c r="CG118" s="36"/>
      <c r="CH118" s="36"/>
      <c r="CI118" s="36"/>
    </row>
    <row r="119" spans="1:87" s="50" customFormat="1" ht="12.75" hidden="1" customHeight="1" outlineLevel="1">
      <c r="A119" s="42" t="s">
        <v>203</v>
      </c>
      <c r="B119" s="44"/>
      <c r="C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>
        <v>-111</v>
      </c>
      <c r="AK119" s="44">
        <v>321</v>
      </c>
      <c r="AL119" s="44">
        <v>134</v>
      </c>
      <c r="AM119" s="44">
        <v>-260</v>
      </c>
      <c r="AN119" s="44">
        <v>-92</v>
      </c>
      <c r="AO119" s="44">
        <v>337</v>
      </c>
      <c r="AP119" s="44">
        <v>-43</v>
      </c>
      <c r="AQ119" s="44">
        <v>3</v>
      </c>
      <c r="AR119" s="44">
        <v>-225</v>
      </c>
      <c r="AS119" s="44">
        <v>591</v>
      </c>
      <c r="AT119" s="44">
        <v>207</v>
      </c>
      <c r="AU119" s="44">
        <v>-175</v>
      </c>
      <c r="AV119" s="45"/>
      <c r="AW119" s="45"/>
      <c r="AX119" s="45"/>
      <c r="AY119" s="45"/>
      <c r="AZ119" s="45"/>
      <c r="BA119" s="45"/>
      <c r="BB119" s="45"/>
      <c r="BC119" s="45"/>
      <c r="BD119" s="45"/>
      <c r="BE119" s="45"/>
      <c r="BF119" s="45"/>
      <c r="BG119" s="45"/>
      <c r="BH119" s="45"/>
      <c r="BI119" s="45"/>
      <c r="BJ119" s="45"/>
      <c r="BK119" s="45"/>
      <c r="BL119" s="45"/>
      <c r="BM119" s="45"/>
      <c r="BN119" s="45"/>
      <c r="BO119" s="45"/>
      <c r="BP119" s="44"/>
      <c r="BQ119" s="161"/>
      <c r="BR119" s="161"/>
      <c r="BS119" s="161"/>
      <c r="BT119" s="161"/>
      <c r="BU119" s="161"/>
      <c r="BV119" s="161"/>
      <c r="BW119" s="161"/>
      <c r="BX119" s="161"/>
      <c r="BY119" s="161"/>
      <c r="BZ119" s="49">
        <f>SUM(AM119:AP119)</f>
        <v>-58</v>
      </c>
      <c r="CA119" s="49">
        <f>SUM(AQ119:AT119)</f>
        <v>576</v>
      </c>
      <c r="CB119" s="49">
        <f>SUM(AU119:AX119)</f>
        <v>-175</v>
      </c>
      <c r="CC119" s="49">
        <f>SUM(AY119:BB119)</f>
        <v>0</v>
      </c>
      <c r="CD119" s="49">
        <f>SUM(BC119:BF119)</f>
        <v>0</v>
      </c>
      <c r="CE119" s="49">
        <f>SUM(BG119:BJ119)</f>
        <v>0</v>
      </c>
      <c r="CF119" s="49">
        <f>SUM(BK119:BN119)</f>
        <v>0</v>
      </c>
      <c r="CG119" s="43"/>
      <c r="CH119" s="43"/>
      <c r="CI119" s="43"/>
    </row>
    <row r="120" spans="1:87" s="37" customFormat="1" ht="12.75" hidden="1" customHeight="1" outlineLevel="1">
      <c r="A120" s="69" t="s">
        <v>0</v>
      </c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>
        <f t="shared" ref="AK120" si="504">AK119/AJ119-1</f>
        <v>-3.8918918918918921</v>
      </c>
      <c r="AL120" s="34">
        <f t="shared" ref="AL120" si="505">AL119/AK119-1</f>
        <v>-0.58255451713395634</v>
      </c>
      <c r="AM120" s="34">
        <f t="shared" ref="AM120" si="506">AM119/AL119-1</f>
        <v>-2.9402985074626864</v>
      </c>
      <c r="AN120" s="34">
        <f t="shared" ref="AN120" si="507">AN119/AM119-1</f>
        <v>-0.64615384615384608</v>
      </c>
      <c r="AO120" s="34">
        <f t="shared" ref="AO120" si="508">AO119/AN119-1</f>
        <v>-4.6630434782608692</v>
      </c>
      <c r="AP120" s="34">
        <f t="shared" ref="AP120:AU120" si="509">AP119/AO119-1</f>
        <v>-1.1275964391691395</v>
      </c>
      <c r="AQ120" s="34">
        <f t="shared" si="509"/>
        <v>-1.069767441860465</v>
      </c>
      <c r="AR120" s="34">
        <f t="shared" si="509"/>
        <v>-76</v>
      </c>
      <c r="AS120" s="34">
        <f t="shared" si="509"/>
        <v>-3.6266666666666665</v>
      </c>
      <c r="AT120" s="34">
        <f t="shared" si="509"/>
        <v>-0.64974619289340096</v>
      </c>
      <c r="AU120" s="34">
        <f t="shared" si="509"/>
        <v>-1.8454106280193237</v>
      </c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5"/>
      <c r="BP120" s="35"/>
      <c r="BQ120" s="35"/>
      <c r="BR120" s="35"/>
      <c r="BS120" s="35"/>
      <c r="BT120" s="35"/>
      <c r="BU120" s="35"/>
      <c r="BV120" s="35"/>
      <c r="BW120" s="35"/>
      <c r="BX120" s="35"/>
      <c r="BY120" s="35"/>
      <c r="BZ120" s="35" t="s">
        <v>17</v>
      </c>
      <c r="CA120" s="35" t="s">
        <v>17</v>
      </c>
      <c r="CB120" s="35" t="s">
        <v>17</v>
      </c>
      <c r="CC120" s="35" t="s">
        <v>17</v>
      </c>
      <c r="CD120" s="35" t="s">
        <v>17</v>
      </c>
      <c r="CE120" s="35" t="s">
        <v>17</v>
      </c>
      <c r="CF120" s="35" t="s">
        <v>17</v>
      </c>
      <c r="CG120" s="36"/>
      <c r="CH120" s="36"/>
      <c r="CI120" s="36"/>
    </row>
    <row r="121" spans="1:87" s="37" customFormat="1" ht="12.75" hidden="1" customHeight="1" outlineLevel="1">
      <c r="A121" s="69" t="s">
        <v>1</v>
      </c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 t="s">
        <v>17</v>
      </c>
      <c r="AK121" s="34" t="s">
        <v>17</v>
      </c>
      <c r="AL121" s="34" t="s">
        <v>17</v>
      </c>
      <c r="AM121" s="34" t="e">
        <f t="shared" ref="AM121" si="510">AM119/AI119-1</f>
        <v>#DIV/0!</v>
      </c>
      <c r="AN121" s="34">
        <f t="shared" ref="AN121" si="511">AN119/AJ119-1</f>
        <v>-0.1711711711711712</v>
      </c>
      <c r="AO121" s="34">
        <f t="shared" ref="AO121" si="512">AO119/AK119-1</f>
        <v>4.9844236760124616E-2</v>
      </c>
      <c r="AP121" s="34" t="s">
        <v>17</v>
      </c>
      <c r="AQ121" s="34">
        <f>AQ119/AM119-1</f>
        <v>-1.0115384615384615</v>
      </c>
      <c r="AR121" s="34">
        <f>AR119/AN119-1</f>
        <v>1.4456521739130435</v>
      </c>
      <c r="AS121" s="34">
        <f>AS119/AO119-1</f>
        <v>0.75370919881305642</v>
      </c>
      <c r="AT121" s="34">
        <f>AT119/AP119-1</f>
        <v>-5.8139534883720927</v>
      </c>
      <c r="AU121" s="34">
        <f>AU119/AQ119-1</f>
        <v>-59.333333333333336</v>
      </c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35"/>
      <c r="BP121" s="35"/>
      <c r="BQ121" s="35"/>
      <c r="BR121" s="35"/>
      <c r="BS121" s="35"/>
      <c r="BT121" s="35"/>
      <c r="BU121" s="35"/>
      <c r="BV121" s="35"/>
      <c r="BW121" s="35"/>
      <c r="BX121" s="35"/>
      <c r="BY121" s="35"/>
      <c r="BZ121" s="35" t="str">
        <f t="shared" ref="BZ121" si="513">IF(OR(AND(BY119&lt;0,BZ119&gt;0),BY119=0),"n/a",BZ119/BY119-1)</f>
        <v>n/a</v>
      </c>
      <c r="CA121" s="35" t="str">
        <f t="shared" ref="CA121" si="514">IF(OR(AND(BZ119&lt;0,CA119&gt;0),BZ119=0),"n/a",CA119/BZ119-1)</f>
        <v>n/a</v>
      </c>
      <c r="CB121" s="35">
        <f t="shared" ref="CB121" si="515">IF(OR(AND(CA119&lt;0,CB119&gt;0),CA119=0),"n/a",CB119/CA119-1)</f>
        <v>-1.3038194444444444</v>
      </c>
      <c r="CC121" s="35">
        <f t="shared" ref="CC121" si="516">IF(OR(AND(CB119&lt;0,CC119&gt;0),CB119=0),"n/a",CC119/CB119-1)</f>
        <v>-1</v>
      </c>
      <c r="CD121" s="35" t="str">
        <f t="shared" ref="CD121" si="517">IF(OR(AND(CC119&lt;0,CD119&gt;0),CC119=0),"n/a",CD119/CC119-1)</f>
        <v>n/a</v>
      </c>
      <c r="CE121" s="35" t="str">
        <f t="shared" ref="CE121" si="518">IF(OR(AND(CD119&lt;0,CE119&gt;0),CD119=0),"n/a",CE119/CD119-1)</f>
        <v>n/a</v>
      </c>
      <c r="CF121" s="35" t="str">
        <f t="shared" ref="CF121" si="519">IF(OR(AND(CE119&lt;0,CF119&gt;0),CE119=0),"n/a",CF119/CE119-1)</f>
        <v>n/a</v>
      </c>
      <c r="CG121" s="36"/>
      <c r="CH121" s="36"/>
      <c r="CI121" s="36"/>
    </row>
    <row r="122" spans="1:87" s="37" customFormat="1" ht="12.75" customHeight="1" collapsed="1">
      <c r="A122" s="69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35"/>
      <c r="BP122" s="35"/>
      <c r="BQ122" s="35"/>
      <c r="BR122" s="35"/>
      <c r="BS122" s="35"/>
      <c r="BT122" s="35"/>
      <c r="BU122" s="35"/>
      <c r="BV122" s="35"/>
      <c r="BW122" s="35"/>
      <c r="BX122" s="35"/>
      <c r="BY122" s="35"/>
      <c r="BZ122" s="35"/>
      <c r="CA122" s="35"/>
      <c r="CB122" s="35"/>
      <c r="CC122" s="35"/>
      <c r="CD122" s="35"/>
      <c r="CE122" s="35"/>
      <c r="CF122" s="35"/>
      <c r="CG122" s="36"/>
      <c r="CH122" s="36"/>
      <c r="CI122" s="36"/>
    </row>
    <row r="123" spans="1:87" s="165" customFormat="1" ht="12.75" customHeight="1">
      <c r="A123" s="25" t="s">
        <v>411</v>
      </c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163"/>
      <c r="BP123" s="163"/>
      <c r="BQ123" s="163"/>
      <c r="BR123" s="163"/>
      <c r="BS123" s="163"/>
      <c r="BT123" s="163"/>
      <c r="BU123" s="163"/>
      <c r="BV123" s="163"/>
      <c r="BW123" s="163"/>
      <c r="BX123" s="163"/>
      <c r="BY123" s="163"/>
      <c r="BZ123" s="163"/>
      <c r="CA123" s="163"/>
      <c r="CB123" s="163"/>
      <c r="CC123" s="163"/>
      <c r="CD123" s="163"/>
      <c r="CE123" s="163"/>
      <c r="CF123" s="163"/>
      <c r="CG123" s="164"/>
      <c r="CH123" s="78"/>
      <c r="CI123" s="78"/>
    </row>
    <row r="124" spans="1:87" s="50" customFormat="1" ht="12.75" customHeight="1">
      <c r="A124" s="42" t="s">
        <v>249</v>
      </c>
      <c r="B124" s="44"/>
      <c r="C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>
        <v>-590</v>
      </c>
      <c r="AF124" s="44">
        <v>258</v>
      </c>
      <c r="AG124" s="44">
        <v>710</v>
      </c>
      <c r="AH124" s="44">
        <v>-313</v>
      </c>
      <c r="AI124" s="44">
        <v>-288</v>
      </c>
      <c r="AJ124" s="44">
        <v>8</v>
      </c>
      <c r="AK124" s="44">
        <v>323</v>
      </c>
      <c r="AL124" s="44">
        <v>87</v>
      </c>
      <c r="AM124" s="44">
        <v>-344</v>
      </c>
      <c r="AN124" s="44">
        <v>8</v>
      </c>
      <c r="AO124" s="44">
        <v>388</v>
      </c>
      <c r="AP124" s="44">
        <v>-143</v>
      </c>
      <c r="AQ124" s="44">
        <v>-108</v>
      </c>
      <c r="AR124" s="44">
        <v>-201</v>
      </c>
      <c r="AS124" s="44">
        <v>619</v>
      </c>
      <c r="AT124" s="44">
        <v>71</v>
      </c>
      <c r="AU124" s="44">
        <v>-278</v>
      </c>
      <c r="AV124" s="44">
        <v>-29</v>
      </c>
      <c r="AW124" s="45"/>
      <c r="AX124" s="45"/>
      <c r="AY124" s="45"/>
      <c r="AZ124" s="45"/>
      <c r="BA124" s="45"/>
      <c r="BB124" s="45"/>
      <c r="BC124" s="45"/>
      <c r="BD124" s="45"/>
      <c r="BE124" s="45"/>
      <c r="BF124" s="45"/>
      <c r="BG124" s="45"/>
      <c r="BH124" s="45"/>
      <c r="BI124" s="45"/>
      <c r="BJ124" s="45"/>
      <c r="BK124" s="45"/>
      <c r="BL124" s="45"/>
      <c r="BM124" s="45"/>
      <c r="BN124" s="45"/>
      <c r="BO124" s="45"/>
      <c r="BP124" s="44"/>
      <c r="BQ124" s="161"/>
      <c r="BR124" s="161"/>
      <c r="BS124" s="161"/>
      <c r="BT124" s="161"/>
      <c r="BU124" s="161"/>
      <c r="BV124" s="161"/>
      <c r="BW124" s="161"/>
      <c r="BX124" s="161"/>
      <c r="BY124" s="161"/>
      <c r="BZ124" s="49">
        <f>SUM(AM124:AP124)</f>
        <v>-91</v>
      </c>
      <c r="CA124" s="49">
        <f>SUM(AQ124:AT124)</f>
        <v>381</v>
      </c>
      <c r="CB124" s="49">
        <f>SUM(AU124:AX124)</f>
        <v>-307</v>
      </c>
      <c r="CC124" s="49">
        <f>SUM(AY124:BB124)</f>
        <v>0</v>
      </c>
      <c r="CD124" s="49">
        <f>SUM(BC124:BF124)</f>
        <v>0</v>
      </c>
      <c r="CE124" s="49">
        <f>SUM(BG124:BJ124)</f>
        <v>0</v>
      </c>
      <c r="CF124" s="49">
        <f>SUM(BK124:BN124)</f>
        <v>0</v>
      </c>
      <c r="CG124" s="43"/>
      <c r="CH124" s="43"/>
      <c r="CI124" s="43"/>
    </row>
    <row r="125" spans="1:87" s="50" customFormat="1" ht="12.75" customHeight="1">
      <c r="A125" s="42" t="s">
        <v>250</v>
      </c>
      <c r="B125" s="44"/>
      <c r="C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>
        <v>-64</v>
      </c>
      <c r="AF125" s="44">
        <v>-31</v>
      </c>
      <c r="AG125" s="44">
        <v>80</v>
      </c>
      <c r="AH125" s="44">
        <v>-19</v>
      </c>
      <c r="AI125" s="44">
        <v>-9</v>
      </c>
      <c r="AJ125" s="44">
        <v>-4</v>
      </c>
      <c r="AK125" s="44">
        <v>33</v>
      </c>
      <c r="AL125" s="44">
        <v>88</v>
      </c>
      <c r="AM125" s="44">
        <v>-58</v>
      </c>
      <c r="AN125" s="44">
        <v>-32</v>
      </c>
      <c r="AO125" s="44">
        <v>24</v>
      </c>
      <c r="AP125" s="44">
        <v>7</v>
      </c>
      <c r="AQ125" s="44">
        <v>15</v>
      </c>
      <c r="AR125" s="44">
        <v>-24</v>
      </c>
      <c r="AS125" s="44">
        <v>73</v>
      </c>
      <c r="AT125" s="44">
        <v>51</v>
      </c>
      <c r="AU125" s="44">
        <v>9</v>
      </c>
      <c r="AV125" s="44">
        <v>26</v>
      </c>
      <c r="AW125" s="45"/>
      <c r="AX125" s="45"/>
      <c r="AY125" s="45"/>
      <c r="AZ125" s="45"/>
      <c r="BA125" s="45"/>
      <c r="BB125" s="45"/>
      <c r="BC125" s="45"/>
      <c r="BD125" s="45"/>
      <c r="BE125" s="45"/>
      <c r="BF125" s="45"/>
      <c r="BG125" s="45"/>
      <c r="BH125" s="45"/>
      <c r="BI125" s="45"/>
      <c r="BJ125" s="45"/>
      <c r="BK125" s="45"/>
      <c r="BL125" s="45"/>
      <c r="BM125" s="45"/>
      <c r="BN125" s="45"/>
      <c r="BO125" s="45"/>
      <c r="BP125" s="44"/>
      <c r="BQ125" s="161"/>
      <c r="BR125" s="161"/>
      <c r="BS125" s="161"/>
      <c r="BT125" s="161"/>
      <c r="BU125" s="161"/>
      <c r="BV125" s="161"/>
      <c r="BW125" s="161"/>
      <c r="BX125" s="161"/>
      <c r="BY125" s="161"/>
      <c r="BZ125" s="49">
        <f>SUM(AM125:AP125)</f>
        <v>-59</v>
      </c>
      <c r="CA125" s="49">
        <f>SUM(AQ125:AT125)</f>
        <v>115</v>
      </c>
      <c r="CB125" s="49">
        <f>SUM(AU125:AX125)</f>
        <v>35</v>
      </c>
      <c r="CC125" s="49">
        <f>SUM(AY125:BB125)</f>
        <v>0</v>
      </c>
      <c r="CD125" s="49">
        <f>SUM(BC125:BF125)</f>
        <v>0</v>
      </c>
      <c r="CE125" s="49">
        <f>SUM(BG125:BJ125)</f>
        <v>0</v>
      </c>
      <c r="CF125" s="49">
        <f>SUM(BK125:BN125)</f>
        <v>0</v>
      </c>
      <c r="CG125" s="43"/>
      <c r="CH125" s="43"/>
      <c r="CI125" s="43"/>
    </row>
    <row r="126" spans="1:87" s="50" customFormat="1" ht="12.75" customHeight="1">
      <c r="A126" s="42" t="s">
        <v>251</v>
      </c>
      <c r="B126" s="44"/>
      <c r="C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>
        <v>-20</v>
      </c>
      <c r="AF126" s="44">
        <v>-7</v>
      </c>
      <c r="AG126" s="44">
        <v>21</v>
      </c>
      <c r="AH126" s="44">
        <v>5</v>
      </c>
      <c r="AI126" s="44">
        <v>-42</v>
      </c>
      <c r="AJ126" s="44">
        <v>-24</v>
      </c>
      <c r="AK126" s="44">
        <v>11</v>
      </c>
      <c r="AL126" s="44">
        <v>-2</v>
      </c>
      <c r="AM126" s="44">
        <v>-25</v>
      </c>
      <c r="AN126" s="44">
        <v>-11</v>
      </c>
      <c r="AO126" s="44">
        <v>16</v>
      </c>
      <c r="AP126" s="44">
        <v>5</v>
      </c>
      <c r="AQ126" s="44">
        <v>24</v>
      </c>
      <c r="AR126" s="44">
        <v>-16</v>
      </c>
      <c r="AS126" s="44">
        <v>35</v>
      </c>
      <c r="AT126" s="44">
        <v>22</v>
      </c>
      <c r="AU126" s="44">
        <v>54</v>
      </c>
      <c r="AV126" s="44">
        <v>28</v>
      </c>
      <c r="AW126" s="45"/>
      <c r="AX126" s="45"/>
      <c r="AY126" s="45"/>
      <c r="AZ126" s="45"/>
      <c r="BA126" s="45"/>
      <c r="BB126" s="45"/>
      <c r="BC126" s="45"/>
      <c r="BD126" s="45"/>
      <c r="BE126" s="45"/>
      <c r="BF126" s="45"/>
      <c r="BG126" s="45"/>
      <c r="BH126" s="45"/>
      <c r="BI126" s="45"/>
      <c r="BJ126" s="45"/>
      <c r="BK126" s="45"/>
      <c r="BL126" s="45"/>
      <c r="BM126" s="45"/>
      <c r="BN126" s="45"/>
      <c r="BO126" s="45"/>
      <c r="BP126" s="44"/>
      <c r="BQ126" s="161"/>
      <c r="BR126" s="161"/>
      <c r="BS126" s="161"/>
      <c r="BT126" s="161"/>
      <c r="BU126" s="161"/>
      <c r="BV126" s="161"/>
      <c r="BW126" s="161"/>
      <c r="BX126" s="161"/>
      <c r="BY126" s="161"/>
      <c r="BZ126" s="49">
        <f>SUM(AM126:AP126)</f>
        <v>-15</v>
      </c>
      <c r="CA126" s="49">
        <f>SUM(AQ126:AT126)</f>
        <v>65</v>
      </c>
      <c r="CB126" s="49">
        <f>SUM(AU126:AX126)</f>
        <v>82</v>
      </c>
      <c r="CC126" s="49">
        <f>SUM(AY126:BB126)</f>
        <v>0</v>
      </c>
      <c r="CD126" s="49">
        <f>SUM(BC126:BF126)</f>
        <v>0</v>
      </c>
      <c r="CE126" s="49">
        <f>SUM(BG126:BJ126)</f>
        <v>0</v>
      </c>
      <c r="CF126" s="49">
        <f>SUM(BK126:BN126)</f>
        <v>0</v>
      </c>
      <c r="CG126" s="43"/>
      <c r="CH126" s="43"/>
      <c r="CI126" s="43"/>
    </row>
    <row r="127" spans="1:87" s="37" customFormat="1" ht="12.75" customHeight="1">
      <c r="A127" s="38"/>
      <c r="B127" s="166"/>
      <c r="C127" s="166"/>
      <c r="D127" s="166"/>
      <c r="E127" s="166"/>
      <c r="F127" s="166"/>
      <c r="G127" s="166"/>
      <c r="H127" s="166"/>
      <c r="I127" s="166"/>
      <c r="J127" s="166"/>
      <c r="K127" s="166"/>
      <c r="L127" s="166"/>
      <c r="M127" s="166"/>
      <c r="N127" s="166"/>
      <c r="O127" s="166"/>
      <c r="P127" s="166"/>
      <c r="Q127" s="166"/>
      <c r="R127" s="166"/>
      <c r="S127" s="166"/>
      <c r="T127" s="166"/>
      <c r="U127" s="166"/>
      <c r="V127" s="166"/>
      <c r="W127" s="166"/>
      <c r="X127" s="166"/>
      <c r="Y127" s="166"/>
      <c r="Z127" s="166"/>
      <c r="AA127" s="166"/>
      <c r="AB127" s="167"/>
      <c r="AC127" s="167"/>
      <c r="AD127" s="167"/>
      <c r="AE127" s="167"/>
      <c r="AF127" s="167"/>
      <c r="AG127" s="167"/>
      <c r="AH127" s="167"/>
      <c r="AI127" s="167"/>
      <c r="AJ127" s="36"/>
      <c r="AK127" s="36"/>
      <c r="AL127" s="36"/>
      <c r="AM127" s="168"/>
      <c r="AN127" s="168"/>
      <c r="AO127" s="168"/>
      <c r="AP127" s="168"/>
      <c r="AQ127" s="168"/>
      <c r="AR127" s="168"/>
      <c r="AS127" s="168"/>
      <c r="AT127" s="168"/>
      <c r="AU127" s="168"/>
      <c r="AV127" s="169"/>
      <c r="AW127" s="166"/>
      <c r="AX127" s="166"/>
      <c r="AY127" s="166"/>
      <c r="AZ127" s="166"/>
      <c r="BA127" s="166"/>
      <c r="BB127" s="166"/>
      <c r="BC127" s="166"/>
      <c r="BD127" s="166"/>
      <c r="BE127" s="166"/>
      <c r="BF127" s="166"/>
      <c r="BG127" s="166"/>
      <c r="BH127" s="166"/>
      <c r="BI127" s="166"/>
      <c r="BJ127" s="166"/>
      <c r="BK127" s="166"/>
      <c r="BL127" s="166"/>
      <c r="BM127" s="166"/>
      <c r="BN127" s="166"/>
      <c r="BO127" s="166"/>
      <c r="BP127" s="170"/>
      <c r="BQ127" s="170"/>
      <c r="BR127" s="170"/>
      <c r="BS127" s="170"/>
      <c r="BT127" s="170"/>
      <c r="BU127" s="170"/>
      <c r="BV127" s="170"/>
      <c r="BW127" s="170"/>
      <c r="BX127" s="170"/>
      <c r="BY127" s="170"/>
      <c r="BZ127" s="170"/>
      <c r="CA127" s="170"/>
      <c r="CB127" s="170"/>
      <c r="CC127" s="170"/>
      <c r="CD127" s="170"/>
      <c r="CE127" s="170"/>
      <c r="CF127" s="170"/>
      <c r="CG127" s="36"/>
      <c r="CH127" s="36"/>
      <c r="CI127" s="36"/>
    </row>
    <row r="128" spans="1:87" s="172" customFormat="1" ht="12.75" customHeight="1">
      <c r="A128" s="25" t="s">
        <v>81</v>
      </c>
      <c r="B128" s="171">
        <v>979</v>
      </c>
      <c r="C128" s="171">
        <v>815</v>
      </c>
      <c r="D128" s="171">
        <v>631</v>
      </c>
      <c r="E128" s="171">
        <v>1053</v>
      </c>
      <c r="F128" s="171">
        <v>1090</v>
      </c>
      <c r="G128" s="171">
        <v>999</v>
      </c>
      <c r="H128" s="171">
        <v>715</v>
      </c>
      <c r="I128" s="171">
        <v>1061</v>
      </c>
      <c r="J128" s="171">
        <v>1368</v>
      </c>
      <c r="K128" s="171">
        <v>955</v>
      </c>
      <c r="L128" s="171">
        <v>711</v>
      </c>
      <c r="M128" s="171">
        <v>922</v>
      </c>
      <c r="N128" s="171">
        <v>1209</v>
      </c>
      <c r="O128" s="171">
        <v>949</v>
      </c>
      <c r="P128" s="171">
        <v>695</v>
      </c>
      <c r="Q128" s="171">
        <v>808</v>
      </c>
      <c r="R128" s="171">
        <v>1123</v>
      </c>
      <c r="S128" s="171">
        <v>1214</v>
      </c>
      <c r="T128" s="171">
        <v>990</v>
      </c>
      <c r="U128" s="171">
        <v>1126</v>
      </c>
      <c r="V128" s="171">
        <v>1185</v>
      </c>
      <c r="W128" s="171">
        <v>1203</v>
      </c>
      <c r="X128" s="171">
        <v>815</v>
      </c>
      <c r="Y128" s="171">
        <v>1070</v>
      </c>
      <c r="Z128" s="171">
        <v>1308</v>
      </c>
      <c r="AA128" s="171">
        <v>1271</v>
      </c>
      <c r="AB128" s="171">
        <v>898</v>
      </c>
      <c r="AC128" s="171">
        <v>1149</v>
      </c>
      <c r="AD128" s="171">
        <v>1527</v>
      </c>
      <c r="AE128" s="171">
        <v>1449</v>
      </c>
      <c r="AF128" s="171">
        <v>959</v>
      </c>
      <c r="AG128" s="171">
        <v>1160</v>
      </c>
      <c r="AH128" s="171">
        <v>1582</v>
      </c>
      <c r="AI128" s="171">
        <v>1137</v>
      </c>
      <c r="AJ128" s="171">
        <v>1286</v>
      </c>
      <c r="AK128" s="171">
        <v>1289</v>
      </c>
      <c r="AL128" s="171">
        <v>1238</v>
      </c>
      <c r="AM128" s="171">
        <v>1209</v>
      </c>
      <c r="AN128" s="171">
        <v>1348</v>
      </c>
      <c r="AO128" s="171">
        <v>1593</v>
      </c>
      <c r="AP128" s="171">
        <v>1387</v>
      </c>
      <c r="AQ128" s="171">
        <v>1459</v>
      </c>
      <c r="AR128" s="171">
        <v>1151</v>
      </c>
      <c r="AS128" s="171">
        <v>1673</v>
      </c>
      <c r="AT128" s="171">
        <v>1346</v>
      </c>
      <c r="AU128" s="171">
        <v>1551</v>
      </c>
      <c r="AV128" s="171">
        <v>1826</v>
      </c>
      <c r="AW128" s="61">
        <f>AW131*(BS!AV25+AW8)</f>
        <v>1742.456375</v>
      </c>
      <c r="AX128" s="61">
        <f>AX131*(BS!AW25+AX8)</f>
        <v>1805.6809125000002</v>
      </c>
      <c r="AY128" s="61">
        <f>AY131*(BS!AX25+AY8)</f>
        <v>2072.781291175977</v>
      </c>
      <c r="AZ128" s="61">
        <f>AZ131*(BS!AY25+AZ8)</f>
        <v>2135.3248136714528</v>
      </c>
      <c r="BA128" s="61">
        <f>BA131*(BS!AZ25+BA8)</f>
        <v>1972.4247845653997</v>
      </c>
      <c r="BB128" s="61">
        <f>BB131*(BS!BA25+BB8)</f>
        <v>1895.6888299576624</v>
      </c>
      <c r="BC128" s="61">
        <f>BC131*(BS!BB25+BC8)</f>
        <v>2119.8728715696661</v>
      </c>
      <c r="BD128" s="61">
        <f>BD131*(BS!BC25+BD8)</f>
        <v>2202.0845685619574</v>
      </c>
      <c r="BE128" s="61">
        <f>BE131*(BS!BD25+BE8)</f>
        <v>2061.9841337372745</v>
      </c>
      <c r="BF128" s="61">
        <f>BF131*(BS!BE25+BF8)</f>
        <v>1983.4168406001677</v>
      </c>
      <c r="BG128" s="61">
        <f>BG131*(BS!BF25+BG8)</f>
        <v>2204.7476833921846</v>
      </c>
      <c r="BH128" s="61">
        <f>BH131*(BS!BG25+BH8)</f>
        <v>2517.8829683654326</v>
      </c>
      <c r="BI128" s="61">
        <f>BI131*(BS!BH25+BI8)</f>
        <v>2294.282038937396</v>
      </c>
      <c r="BJ128" s="61">
        <f>BJ131*(BS!BI25+BJ8)</f>
        <v>2166.097481786046</v>
      </c>
      <c r="BK128" s="61">
        <f>BK131*(BS!BJ25+BK8)</f>
        <v>2363.0341196285335</v>
      </c>
      <c r="BL128" s="61">
        <f>BL131*(BS!BK25+BL8)</f>
        <v>2445.3659054554155</v>
      </c>
      <c r="BM128" s="61">
        <f>BM131*(BS!BL25+BM8)</f>
        <v>2346.7974976630576</v>
      </c>
      <c r="BN128" s="61">
        <f>BN131*(BS!BM25+BN8)</f>
        <v>2238.6733909351592</v>
      </c>
      <c r="BO128" s="61"/>
      <c r="BP128" s="171">
        <v>3654</v>
      </c>
      <c r="BQ128" s="30">
        <f>SUM(C128:F128)</f>
        <v>3589</v>
      </c>
      <c r="BR128" s="30">
        <f>SUM(G128:J128)</f>
        <v>4143</v>
      </c>
      <c r="BS128" s="30">
        <f>SUM(K128:N128)</f>
        <v>3797</v>
      </c>
      <c r="BT128" s="30">
        <f>SUM(O128:R128)</f>
        <v>3575</v>
      </c>
      <c r="BU128" s="30">
        <f>SUM(S128:V128)</f>
        <v>4515</v>
      </c>
      <c r="BV128" s="30">
        <f>SUM(W128:Z128)</f>
        <v>4396</v>
      </c>
      <c r="BW128" s="30">
        <f>SUM(AA128:AD128)</f>
        <v>4845</v>
      </c>
      <c r="BX128" s="30">
        <f>SUM(AE128:AH128)</f>
        <v>5150</v>
      </c>
      <c r="BY128" s="30">
        <f>SUM(AI128:AL128)</f>
        <v>4950</v>
      </c>
      <c r="BZ128" s="30">
        <f>SUM(AM128:AP128)</f>
        <v>5537</v>
      </c>
      <c r="CA128" s="30">
        <f>SUM(AQ128:AT128)</f>
        <v>5629</v>
      </c>
      <c r="CB128" s="30">
        <f>SUM(AU128:AX128)</f>
        <v>6925.1372874999997</v>
      </c>
      <c r="CC128" s="30">
        <f>SUM(AY128:BB128)</f>
        <v>8076.2197193704915</v>
      </c>
      <c r="CD128" s="30">
        <f>SUM(BC128:BF128)</f>
        <v>8367.3584144690667</v>
      </c>
      <c r="CE128" s="30">
        <f>SUM(BG128:BJ128)</f>
        <v>9183.0101724810593</v>
      </c>
      <c r="CF128" s="30">
        <f>SUM(BK128:BN128)</f>
        <v>9393.8709136821653</v>
      </c>
      <c r="CG128" s="134"/>
      <c r="CH128" s="134"/>
      <c r="CI128" s="134"/>
    </row>
    <row r="129" spans="1:87" s="37" customFormat="1" ht="12.75" customHeight="1">
      <c r="A129" s="69" t="s">
        <v>0</v>
      </c>
      <c r="B129" s="34" t="s">
        <v>17</v>
      </c>
      <c r="C129" s="34">
        <f t="shared" ref="C129:U129" si="520">C128/B128-1</f>
        <v>-0.16751787538304397</v>
      </c>
      <c r="D129" s="34">
        <f t="shared" si="520"/>
        <v>-0.2257668711656442</v>
      </c>
      <c r="E129" s="34">
        <f t="shared" si="520"/>
        <v>0.66877971473851039</v>
      </c>
      <c r="F129" s="34">
        <f t="shared" si="520"/>
        <v>3.5137701804368371E-2</v>
      </c>
      <c r="G129" s="34">
        <f t="shared" si="520"/>
        <v>-8.3486238532110124E-2</v>
      </c>
      <c r="H129" s="34">
        <f t="shared" si="520"/>
        <v>-0.28428428428428432</v>
      </c>
      <c r="I129" s="34">
        <f t="shared" si="520"/>
        <v>0.48391608391608387</v>
      </c>
      <c r="J129" s="34">
        <f t="shared" si="520"/>
        <v>0.28934967012252599</v>
      </c>
      <c r="K129" s="34">
        <f t="shared" si="520"/>
        <v>-0.30190058479532167</v>
      </c>
      <c r="L129" s="34">
        <f t="shared" si="520"/>
        <v>-0.2554973821989529</v>
      </c>
      <c r="M129" s="34">
        <f t="shared" si="520"/>
        <v>0.29676511954992968</v>
      </c>
      <c r="N129" s="34">
        <f t="shared" si="520"/>
        <v>0.31127982646420826</v>
      </c>
      <c r="O129" s="34">
        <f t="shared" si="520"/>
        <v>-0.21505376344086025</v>
      </c>
      <c r="P129" s="34">
        <f t="shared" si="520"/>
        <v>-0.26765015806111692</v>
      </c>
      <c r="Q129" s="34">
        <f t="shared" si="520"/>
        <v>0.16258992805755401</v>
      </c>
      <c r="R129" s="34">
        <f t="shared" si="520"/>
        <v>0.38985148514851486</v>
      </c>
      <c r="S129" s="34">
        <f t="shared" si="520"/>
        <v>8.1032947462154947E-2</v>
      </c>
      <c r="T129" s="34">
        <f t="shared" si="520"/>
        <v>-0.18451400329489287</v>
      </c>
      <c r="U129" s="34">
        <f t="shared" si="520"/>
        <v>0.13737373737373737</v>
      </c>
      <c r="V129" s="34">
        <f t="shared" ref="V129:AR129" si="521">V128/U128-1</f>
        <v>5.2397868561278926E-2</v>
      </c>
      <c r="W129" s="34">
        <f t="shared" si="521"/>
        <v>1.51898734177216E-2</v>
      </c>
      <c r="X129" s="34">
        <f t="shared" si="521"/>
        <v>-0.32252701579384868</v>
      </c>
      <c r="Y129" s="34">
        <f t="shared" si="521"/>
        <v>0.31288343558282206</v>
      </c>
      <c r="Z129" s="34">
        <f t="shared" si="521"/>
        <v>0.22242990654205608</v>
      </c>
      <c r="AA129" s="34">
        <f t="shared" si="521"/>
        <v>-2.828746177370034E-2</v>
      </c>
      <c r="AB129" s="34">
        <f t="shared" si="521"/>
        <v>-0.29346970889063728</v>
      </c>
      <c r="AC129" s="34">
        <f t="shared" si="521"/>
        <v>0.27951002227171484</v>
      </c>
      <c r="AD129" s="34">
        <f t="shared" si="521"/>
        <v>0.328981723237598</v>
      </c>
      <c r="AE129" s="34">
        <f t="shared" si="521"/>
        <v>-5.1080550098231869E-2</v>
      </c>
      <c r="AF129" s="34">
        <f t="shared" si="521"/>
        <v>-0.33816425120772942</v>
      </c>
      <c r="AG129" s="34">
        <f t="shared" si="521"/>
        <v>0.20959332638164763</v>
      </c>
      <c r="AH129" s="34">
        <f t="shared" si="521"/>
        <v>0.36379310344827576</v>
      </c>
      <c r="AI129" s="34">
        <f t="shared" si="521"/>
        <v>-0.28128950695322374</v>
      </c>
      <c r="AJ129" s="34">
        <f t="shared" si="521"/>
        <v>0.13104661389621808</v>
      </c>
      <c r="AK129" s="34">
        <f t="shared" si="521"/>
        <v>2.3328149300154699E-3</v>
      </c>
      <c r="AL129" s="34">
        <f t="shared" si="521"/>
        <v>-3.9565554693560934E-2</v>
      </c>
      <c r="AM129" s="34">
        <f t="shared" si="521"/>
        <v>-2.342487883683364E-2</v>
      </c>
      <c r="AN129" s="34">
        <f t="shared" si="521"/>
        <v>0.11497105045492151</v>
      </c>
      <c r="AO129" s="34">
        <f t="shared" si="521"/>
        <v>0.18175074183976259</v>
      </c>
      <c r="AP129" s="34">
        <f t="shared" si="521"/>
        <v>-0.12931575643440052</v>
      </c>
      <c r="AQ129" s="34">
        <f t="shared" si="521"/>
        <v>5.1910598413842823E-2</v>
      </c>
      <c r="AR129" s="34">
        <f t="shared" si="521"/>
        <v>-0.21110349554489372</v>
      </c>
      <c r="AS129" s="34">
        <f t="shared" ref="AS129:AX129" si="522">AS128/AR128-1</f>
        <v>0.45351867940920942</v>
      </c>
      <c r="AT129" s="34">
        <f t="shared" si="522"/>
        <v>-0.19545726240286909</v>
      </c>
      <c r="AU129" s="34">
        <f t="shared" si="522"/>
        <v>0.15230312035661209</v>
      </c>
      <c r="AV129" s="34">
        <f t="shared" si="522"/>
        <v>0.17730496453900702</v>
      </c>
      <c r="AW129" s="34">
        <f t="shared" si="522"/>
        <v>-4.5752259036144549E-2</v>
      </c>
      <c r="AX129" s="34">
        <f t="shared" si="522"/>
        <v>3.6284717601610117E-2</v>
      </c>
      <c r="AY129" s="34">
        <f t="shared" ref="AY129:BF129" si="523">AY128/AX128-1</f>
        <v>0.1479222474064763</v>
      </c>
      <c r="AZ129" s="34">
        <f t="shared" si="523"/>
        <v>3.0173720093735534E-2</v>
      </c>
      <c r="BA129" s="34">
        <f t="shared" si="523"/>
        <v>-7.6288173144939297E-2</v>
      </c>
      <c r="BB129" s="34">
        <f t="shared" si="523"/>
        <v>-3.8904375572752281E-2</v>
      </c>
      <c r="BC129" s="34">
        <f t="shared" si="523"/>
        <v>0.11825993700506765</v>
      </c>
      <c r="BD129" s="34">
        <f t="shared" si="523"/>
        <v>3.8781427931297241E-2</v>
      </c>
      <c r="BE129" s="34">
        <f t="shared" si="523"/>
        <v>-6.3621732255348284E-2</v>
      </c>
      <c r="BF129" s="34">
        <f t="shared" si="523"/>
        <v>-3.8102763184072796E-2</v>
      </c>
      <c r="BG129" s="34">
        <f t="shared" ref="BG129:BN129" si="524">BG128/BF128-1</f>
        <v>0.11159068444989284</v>
      </c>
      <c r="BH129" s="34">
        <f t="shared" si="524"/>
        <v>0.14202771924062696</v>
      </c>
      <c r="BI129" s="34">
        <f t="shared" si="524"/>
        <v>-8.8805132024541433E-2</v>
      </c>
      <c r="BJ129" s="34">
        <f t="shared" si="524"/>
        <v>-5.5871316157240614E-2</v>
      </c>
      <c r="BK129" s="34">
        <f t="shared" si="524"/>
        <v>9.0917716999561859E-2</v>
      </c>
      <c r="BL129" s="34">
        <f t="shared" si="524"/>
        <v>3.4841556092226167E-2</v>
      </c>
      <c r="BM129" s="34">
        <f t="shared" si="524"/>
        <v>-4.0308244902106383E-2</v>
      </c>
      <c r="BN129" s="34">
        <f t="shared" si="524"/>
        <v>-4.6073045005190494E-2</v>
      </c>
      <c r="BO129" s="35"/>
      <c r="BP129" s="35" t="s">
        <v>17</v>
      </c>
      <c r="BQ129" s="35" t="s">
        <v>17</v>
      </c>
      <c r="BR129" s="35" t="s">
        <v>17</v>
      </c>
      <c r="BS129" s="35" t="s">
        <v>17</v>
      </c>
      <c r="BT129" s="35" t="s">
        <v>17</v>
      </c>
      <c r="BU129" s="35" t="s">
        <v>17</v>
      </c>
      <c r="BV129" s="35" t="s">
        <v>17</v>
      </c>
      <c r="BW129" s="35" t="s">
        <v>17</v>
      </c>
      <c r="BX129" s="35" t="s">
        <v>17</v>
      </c>
      <c r="BY129" s="35" t="s">
        <v>17</v>
      </c>
      <c r="BZ129" s="35" t="s">
        <v>17</v>
      </c>
      <c r="CA129" s="35" t="s">
        <v>17</v>
      </c>
      <c r="CB129" s="35" t="s">
        <v>17</v>
      </c>
      <c r="CC129" s="35" t="s">
        <v>17</v>
      </c>
      <c r="CD129" s="35" t="s">
        <v>17</v>
      </c>
      <c r="CE129" s="35" t="s">
        <v>17</v>
      </c>
      <c r="CF129" s="35" t="s">
        <v>17</v>
      </c>
      <c r="CG129" s="36"/>
      <c r="CH129" s="36"/>
      <c r="CI129" s="36"/>
    </row>
    <row r="130" spans="1:87" s="37" customFormat="1" ht="12.75" customHeight="1">
      <c r="A130" s="69" t="s">
        <v>1</v>
      </c>
      <c r="B130" s="34" t="s">
        <v>17</v>
      </c>
      <c r="C130" s="34" t="s">
        <v>17</v>
      </c>
      <c r="D130" s="34" t="s">
        <v>17</v>
      </c>
      <c r="E130" s="34" t="s">
        <v>17</v>
      </c>
      <c r="F130" s="34">
        <f t="shared" ref="F130:U130" si="525">F128/B128-1</f>
        <v>0.11338100102145043</v>
      </c>
      <c r="G130" s="34">
        <f t="shared" si="525"/>
        <v>0.2257668711656442</v>
      </c>
      <c r="H130" s="34">
        <f t="shared" si="525"/>
        <v>0.13312202852614896</v>
      </c>
      <c r="I130" s="34">
        <f t="shared" si="525"/>
        <v>7.5973409306742123E-3</v>
      </c>
      <c r="J130" s="34">
        <f t="shared" si="525"/>
        <v>0.2550458715596331</v>
      </c>
      <c r="K130" s="34">
        <f t="shared" si="525"/>
        <v>-4.4044044044044051E-2</v>
      </c>
      <c r="L130" s="34">
        <f t="shared" si="525"/>
        <v>-5.5944055944056048E-3</v>
      </c>
      <c r="M130" s="34">
        <f t="shared" si="525"/>
        <v>-0.13100848256361919</v>
      </c>
      <c r="N130" s="34">
        <f t="shared" si="525"/>
        <v>-0.11622807017543857</v>
      </c>
      <c r="O130" s="34">
        <f t="shared" si="525"/>
        <v>-6.2827225130890341E-3</v>
      </c>
      <c r="P130" s="34">
        <f t="shared" si="525"/>
        <v>-2.2503516174402272E-2</v>
      </c>
      <c r="Q130" s="34">
        <f t="shared" si="525"/>
        <v>-0.12364425162689807</v>
      </c>
      <c r="R130" s="34">
        <f t="shared" si="525"/>
        <v>-7.1133167907361461E-2</v>
      </c>
      <c r="S130" s="34">
        <f t="shared" si="525"/>
        <v>0.27924130663856683</v>
      </c>
      <c r="T130" s="34">
        <f t="shared" si="525"/>
        <v>0.42446043165467628</v>
      </c>
      <c r="U130" s="34">
        <f t="shared" si="525"/>
        <v>0.39356435643564347</v>
      </c>
      <c r="V130" s="34">
        <f t="shared" ref="V130:AR130" si="526">V128/R128-1</f>
        <v>5.5209260908281488E-2</v>
      </c>
      <c r="W130" s="34">
        <f t="shared" si="526"/>
        <v>-9.0609555189455904E-3</v>
      </c>
      <c r="X130" s="34">
        <f t="shared" si="526"/>
        <v>-0.1767676767676768</v>
      </c>
      <c r="Y130" s="34">
        <f t="shared" si="526"/>
        <v>-4.9733570159857909E-2</v>
      </c>
      <c r="Z130" s="34">
        <f t="shared" si="526"/>
        <v>0.10379746835443049</v>
      </c>
      <c r="AA130" s="34">
        <f t="shared" si="526"/>
        <v>5.652535328345798E-2</v>
      </c>
      <c r="AB130" s="34">
        <f t="shared" si="526"/>
        <v>0.10184049079754609</v>
      </c>
      <c r="AC130" s="34">
        <f t="shared" si="526"/>
        <v>7.3831775700934577E-2</v>
      </c>
      <c r="AD130" s="34">
        <f t="shared" si="526"/>
        <v>0.16743119266055051</v>
      </c>
      <c r="AE130" s="34">
        <f t="shared" si="526"/>
        <v>0.14004720692368222</v>
      </c>
      <c r="AF130" s="34">
        <f t="shared" si="526"/>
        <v>6.7928730512249347E-2</v>
      </c>
      <c r="AG130" s="34">
        <f t="shared" si="526"/>
        <v>9.5735422106180135E-3</v>
      </c>
      <c r="AH130" s="34">
        <f t="shared" si="526"/>
        <v>3.6018336607727575E-2</v>
      </c>
      <c r="AI130" s="34">
        <f t="shared" si="526"/>
        <v>-0.21532091097308492</v>
      </c>
      <c r="AJ130" s="34">
        <f t="shared" si="526"/>
        <v>0.34098018769551608</v>
      </c>
      <c r="AK130" s="34">
        <f t="shared" si="526"/>
        <v>0.11120689655172411</v>
      </c>
      <c r="AL130" s="34">
        <f t="shared" si="526"/>
        <v>-0.21744627054361565</v>
      </c>
      <c r="AM130" s="34">
        <f t="shared" si="526"/>
        <v>6.3324538258575203E-2</v>
      </c>
      <c r="AN130" s="34">
        <f t="shared" si="526"/>
        <v>4.8211508553654747E-2</v>
      </c>
      <c r="AO130" s="34">
        <f t="shared" si="526"/>
        <v>0.23584173778122586</v>
      </c>
      <c r="AP130" s="34">
        <f t="shared" si="526"/>
        <v>0.12035541195476585</v>
      </c>
      <c r="AQ130" s="34">
        <f t="shared" si="526"/>
        <v>0.20678246484698093</v>
      </c>
      <c r="AR130" s="34">
        <f t="shared" si="526"/>
        <v>-0.14614243323442133</v>
      </c>
      <c r="AS130" s="34">
        <f t="shared" ref="AS130:AX130" si="527">AS128/AO128-1</f>
        <v>5.0219711236660469E-2</v>
      </c>
      <c r="AT130" s="34">
        <f t="shared" si="527"/>
        <v>-2.9560201874549441E-2</v>
      </c>
      <c r="AU130" s="34">
        <f t="shared" si="527"/>
        <v>6.3056888279643619E-2</v>
      </c>
      <c r="AV130" s="34">
        <f t="shared" si="527"/>
        <v>0.58644656820156382</v>
      </c>
      <c r="AW130" s="34">
        <f t="shared" si="527"/>
        <v>4.1516063956963611E-2</v>
      </c>
      <c r="AX130" s="34">
        <f t="shared" si="527"/>
        <v>0.34151627971768228</v>
      </c>
      <c r="AY130" s="34">
        <f t="shared" ref="AY130:BF130" si="528">AY128/AU128-1</f>
        <v>0.33641604846935969</v>
      </c>
      <c r="AZ130" s="34">
        <f t="shared" si="528"/>
        <v>0.16940022654515485</v>
      </c>
      <c r="BA130" s="34">
        <f t="shared" si="528"/>
        <v>0.13197943596458739</v>
      </c>
      <c r="BB130" s="34">
        <f t="shared" si="528"/>
        <v>4.9847078093684161E-2</v>
      </c>
      <c r="BC130" s="34">
        <f t="shared" si="528"/>
        <v>2.2719030027028131E-2</v>
      </c>
      <c r="BD130" s="34">
        <f t="shared" si="528"/>
        <v>3.1264449540919559E-2</v>
      </c>
      <c r="BE130" s="34">
        <f t="shared" si="528"/>
        <v>4.5405710713378733E-2</v>
      </c>
      <c r="BF130" s="34">
        <f t="shared" si="528"/>
        <v>4.6277642857907475E-2</v>
      </c>
      <c r="BG130" s="34">
        <f t="shared" ref="BG130:BN130" si="529">BG128/BC128-1</f>
        <v>4.0037689505254548E-2</v>
      </c>
      <c r="BH130" s="34">
        <f t="shared" si="529"/>
        <v>0.14340884283554245</v>
      </c>
      <c r="BI130" s="34">
        <f t="shared" si="529"/>
        <v>0.11265746491418893</v>
      </c>
      <c r="BJ130" s="34">
        <f t="shared" si="529"/>
        <v>9.2104008318594444E-2</v>
      </c>
      <c r="BK130" s="34">
        <f t="shared" si="529"/>
        <v>7.1793447127161736E-2</v>
      </c>
      <c r="BL130" s="34">
        <f t="shared" si="529"/>
        <v>-2.8800807591583211E-2</v>
      </c>
      <c r="BM130" s="34">
        <f t="shared" si="529"/>
        <v>2.2889713572435966E-2</v>
      </c>
      <c r="BN130" s="34">
        <f t="shared" si="529"/>
        <v>3.3505375339465848E-2</v>
      </c>
      <c r="BO130" s="35"/>
      <c r="BP130" s="35" t="s">
        <v>17</v>
      </c>
      <c r="BQ130" s="35">
        <f t="shared" ref="BQ130:CF130" si="530">BQ128/BP128-1</f>
        <v>-1.7788724685276369E-2</v>
      </c>
      <c r="BR130" s="35">
        <f t="shared" si="530"/>
        <v>0.15436054611312344</v>
      </c>
      <c r="BS130" s="35">
        <f t="shared" si="530"/>
        <v>-8.3514361573738816E-2</v>
      </c>
      <c r="BT130" s="35">
        <f t="shared" si="530"/>
        <v>-5.8467210956017923E-2</v>
      </c>
      <c r="BU130" s="35">
        <f t="shared" si="530"/>
        <v>0.26293706293706287</v>
      </c>
      <c r="BV130" s="35">
        <f t="shared" si="530"/>
        <v>-2.635658914728678E-2</v>
      </c>
      <c r="BW130" s="35">
        <f t="shared" si="530"/>
        <v>0.10213830755232034</v>
      </c>
      <c r="BX130" s="35">
        <f t="shared" si="530"/>
        <v>6.2951496388028882E-2</v>
      </c>
      <c r="BY130" s="35">
        <f t="shared" si="530"/>
        <v>-3.8834951456310662E-2</v>
      </c>
      <c r="BZ130" s="35">
        <f t="shared" si="530"/>
        <v>0.11858585858585857</v>
      </c>
      <c r="CA130" s="35">
        <f t="shared" si="530"/>
        <v>1.6615495755824439E-2</v>
      </c>
      <c r="CB130" s="35">
        <f t="shared" si="530"/>
        <v>0.23026066574880089</v>
      </c>
      <c r="CC130" s="35">
        <f t="shared" si="530"/>
        <v>0.16621799454405273</v>
      </c>
      <c r="CD130" s="35">
        <f t="shared" si="530"/>
        <v>3.6048882424569273E-2</v>
      </c>
      <c r="CE130" s="35">
        <f t="shared" si="530"/>
        <v>9.7480198362430048E-2</v>
      </c>
      <c r="CF130" s="35">
        <f t="shared" si="530"/>
        <v>2.2962050268984457E-2</v>
      </c>
      <c r="CG130" s="36"/>
      <c r="CH130" s="36"/>
      <c r="CI130" s="36"/>
    </row>
    <row r="131" spans="1:87" s="37" customFormat="1" ht="12.75" customHeight="1">
      <c r="A131" s="69" t="s">
        <v>169</v>
      </c>
      <c r="B131" s="34" t="s">
        <v>17</v>
      </c>
      <c r="C131" s="34">
        <f>(C128)/(BS!B25+C8)</f>
        <v>0.62452107279693492</v>
      </c>
      <c r="D131" s="34">
        <f>(D128)/(BS!C25+D8)</f>
        <v>0.45924308588064044</v>
      </c>
      <c r="E131" s="34">
        <f>(E128)/(BS!D25+E8)</f>
        <v>0.48908499767765906</v>
      </c>
      <c r="F131" s="34">
        <f>(F128)/(BS!E25+F8)</f>
        <v>0.52028639618138428</v>
      </c>
      <c r="G131" s="34">
        <f>(G128)/(BS!F25+G8)</f>
        <v>0.65336821451929361</v>
      </c>
      <c r="H131" s="34">
        <f>(H128)/(BS!G25+H8)</f>
        <v>0.45716112531969311</v>
      </c>
      <c r="I131" s="34">
        <f>(I128)/(BS!H25+I8)</f>
        <v>0.4244</v>
      </c>
      <c r="J131" s="34">
        <f>(J128)/(BS!I25+J8)</f>
        <v>0.56622516556291391</v>
      </c>
      <c r="K131" s="34">
        <f>(K128)/(BS!J25+K8)</f>
        <v>0.62053281351526968</v>
      </c>
      <c r="L131" s="34">
        <f>(L128)/(BS!K25+L8)</f>
        <v>0.42728365384615385</v>
      </c>
      <c r="M131" s="34">
        <f>(M128)/(BS!L25+M8)</f>
        <v>0.43185011709601873</v>
      </c>
      <c r="N131" s="34">
        <f>(N128)/(BS!M25+N8)</f>
        <v>0.5366178428761651</v>
      </c>
      <c r="O131" s="34">
        <f>(O128)/(BS!N25+O8)</f>
        <v>0.61663417803768683</v>
      </c>
      <c r="P131" s="34">
        <f>(P128)/(BS!O25+P8)</f>
        <v>0.42638036809815949</v>
      </c>
      <c r="Q131" s="34">
        <f>(Q128)/(BS!P25+Q8)</f>
        <v>0.32229756681292382</v>
      </c>
      <c r="R131" s="34">
        <f>(R128)/(BS!Q25+R8)</f>
        <v>0.42977420589360887</v>
      </c>
      <c r="S131" s="34">
        <f>(S128)/(BS!R25+S8)</f>
        <v>0.53598233995584987</v>
      </c>
      <c r="T131" s="34">
        <f>(T128)/(BS!S25+T8)</f>
        <v>0.43593130779392336</v>
      </c>
      <c r="U131" s="34">
        <f>(U128)/(BS!T25+U8)</f>
        <v>0.41565153193060173</v>
      </c>
      <c r="V131" s="34">
        <f>(V128)/(BS!U25+V8)</f>
        <v>0.47801532876159741</v>
      </c>
      <c r="W131" s="34">
        <f>(W128)/(BS!V25+W8)</f>
        <v>0.60880566801619429</v>
      </c>
      <c r="X131" s="34">
        <f>(X128)/(BS!W25+X8)</f>
        <v>0.42425819885476312</v>
      </c>
      <c r="Y131" s="34">
        <f>(Y128)/(BS!X25+Y8)</f>
        <v>0.36694101508916321</v>
      </c>
      <c r="Z131" s="34">
        <f>(Z128)/(BS!Y25+Z8)</f>
        <v>0.4725433526011561</v>
      </c>
      <c r="AA131" s="34">
        <f>(AA128)/(BS!Z25+AA8)</f>
        <v>0.59392523364485983</v>
      </c>
      <c r="AB131" s="34">
        <f>(AB128)/(BS!AA25+AB8)</f>
        <v>0.45560629122272955</v>
      </c>
      <c r="AC131" s="34">
        <f>(AC128)/(BS!AB25+AC8)</f>
        <v>0.36627350972266498</v>
      </c>
      <c r="AD131" s="34">
        <f>(AD128)/(BS!AC25+AD8)</f>
        <v>0.49853085210577863</v>
      </c>
      <c r="AE131" s="34">
        <f>(AE128)/(BS!AD25+AE8)</f>
        <v>0.62618841832324978</v>
      </c>
      <c r="AF131" s="34">
        <f>(AF128)/(BS!AE25+AF8)</f>
        <v>0.46530810286268803</v>
      </c>
      <c r="AG131" s="34">
        <f>(AG128)/(BS!AF25+AG8)</f>
        <v>0.3757693553611921</v>
      </c>
      <c r="AH131" s="34">
        <f>(AH128)/(BS!AG25+AH8)</f>
        <v>0.49422055607622617</v>
      </c>
      <c r="AI131" s="34">
        <f>(AI128)/(BS!AH25+AI8)</f>
        <v>0.47954449599325177</v>
      </c>
      <c r="AJ131" s="34">
        <f>(AJ128)/(BS!AI25+AJ8)</f>
        <v>0.68623265741728923</v>
      </c>
      <c r="AK131" s="34">
        <f>(AK128)/(BS!AJ25+AK8)</f>
        <v>0.59047182775996332</v>
      </c>
      <c r="AL131" s="34">
        <f>(AL128)/(BS!AK25+AL8)</f>
        <v>0.54013961605584637</v>
      </c>
      <c r="AM131" s="34">
        <f>(AM128)/(BS!AL25+AM8)</f>
        <v>0.64240170031880983</v>
      </c>
      <c r="AN131" s="34">
        <f>(AN128)/(BS!AM25+AN8)</f>
        <v>0.67670682730923692</v>
      </c>
      <c r="AO131" s="34">
        <f>(AO128)/(BS!AN25+AO8)</f>
        <v>0.59730033745781774</v>
      </c>
      <c r="AP131" s="34">
        <f>(AP128)/(BS!AO25+AP8)</f>
        <v>0.59553456419063977</v>
      </c>
      <c r="AQ131" s="34">
        <f>(AQ128)/(BS!AP25+AQ8)</f>
        <v>0.62483940042826558</v>
      </c>
      <c r="AR131" s="34">
        <f>(AR128)/(BS!AQ25+AR8)</f>
        <v>0.64373601789709167</v>
      </c>
      <c r="AS131" s="34">
        <f>(AS128)/(BS!AR25+AS8)</f>
        <v>0.55051003619611716</v>
      </c>
      <c r="AT131" s="34">
        <f>(AT128)/(BS!AS25+AT8)</f>
        <v>0.46898954703832751</v>
      </c>
      <c r="AU131" s="34">
        <f>(AU128)/(BS!AT25+AU8)</f>
        <v>0.54173943415997206</v>
      </c>
      <c r="AV131" s="34">
        <f>(AV128)/(BS!AU25+AV8)</f>
        <v>0.57858048162230669</v>
      </c>
      <c r="AW131" s="1">
        <v>0.44</v>
      </c>
      <c r="AX131" s="1">
        <v>0.45</v>
      </c>
      <c r="AY131" s="1">
        <f t="shared" ref="AY131:BJ131" si="531">AU131+0.015</f>
        <v>0.55673943415997207</v>
      </c>
      <c r="AZ131" s="1">
        <f t="shared" si="531"/>
        <v>0.5935804816223067</v>
      </c>
      <c r="BA131" s="1">
        <f t="shared" si="531"/>
        <v>0.45500000000000002</v>
      </c>
      <c r="BB131" s="1">
        <f t="shared" si="531"/>
        <v>0.46500000000000002</v>
      </c>
      <c r="BC131" s="1">
        <f t="shared" si="531"/>
        <v>0.57173943415997208</v>
      </c>
      <c r="BD131" s="1">
        <f t="shared" si="531"/>
        <v>0.60858048162230671</v>
      </c>
      <c r="BE131" s="1">
        <f t="shared" si="531"/>
        <v>0.47000000000000003</v>
      </c>
      <c r="BF131" s="1">
        <f t="shared" si="531"/>
        <v>0.48000000000000004</v>
      </c>
      <c r="BG131" s="1">
        <f t="shared" si="531"/>
        <v>0.5867394341599721</v>
      </c>
      <c r="BH131" s="1">
        <f t="shared" si="531"/>
        <v>0.62358048162230673</v>
      </c>
      <c r="BI131" s="1">
        <f t="shared" si="531"/>
        <v>0.48500000000000004</v>
      </c>
      <c r="BJ131" s="1">
        <f t="shared" si="531"/>
        <v>0.49500000000000005</v>
      </c>
      <c r="BK131" s="1">
        <f>BG131+0.015</f>
        <v>0.60173943415997211</v>
      </c>
      <c r="BL131" s="1">
        <f>BH131+0.015</f>
        <v>0.63858048162230674</v>
      </c>
      <c r="BM131" s="1">
        <f>BI131+0.015</f>
        <v>0.5</v>
      </c>
      <c r="BN131" s="1">
        <f>BJ131+0.015</f>
        <v>0.51</v>
      </c>
      <c r="BO131" s="40"/>
      <c r="BP131" s="35" t="s">
        <v>17</v>
      </c>
      <c r="BQ131" s="35">
        <f>(BQ128)/(BS!BP25+BQ8)</f>
        <v>0.78123639529821509</v>
      </c>
      <c r="BR131" s="35">
        <f>(BR128)/(BS!BQ25+BR8)</f>
        <v>0.79811211712579466</v>
      </c>
      <c r="BS131" s="35">
        <f>(BS128)/(BS!BR25+BS8)</f>
        <v>0.78434207808304068</v>
      </c>
      <c r="BT131" s="35">
        <f>(BT128)/(BS!BS25+BT8)</f>
        <v>0.70582428430404742</v>
      </c>
      <c r="BU131" s="35">
        <f>(BU128)/(BS!BT25+BU8)</f>
        <v>0.77724221036322949</v>
      </c>
      <c r="BV131" s="35">
        <f>(BV128)/(BS!BU25+BV8)</f>
        <v>0.75158146691742178</v>
      </c>
      <c r="BW131" s="35">
        <f>(BW128)/(BS!BV25+BW8)</f>
        <v>0.75703125000000004</v>
      </c>
      <c r="BX131" s="35">
        <f>(BX128)/(BS!BW25+BX8)</f>
        <v>0.76648310760529836</v>
      </c>
      <c r="BY131" s="35">
        <f>(BY128)/(BS!BX25+BY8)</f>
        <v>0.75388364300944255</v>
      </c>
      <c r="BZ131" s="35">
        <f>(BZ128)/(BS!BY25+BZ8)</f>
        <v>0.85553152039555003</v>
      </c>
      <c r="CA131" s="35">
        <f>(CA128)/(BS!BZ25+CA8)</f>
        <v>0.78892782060266298</v>
      </c>
      <c r="CB131" s="35">
        <f>(CB128)/(BS!CA25+CB8)</f>
        <v>0.75708715943454374</v>
      </c>
      <c r="CC131" s="35">
        <f>(CC128)/(BS!CB25+CC8)</f>
        <v>0.78736457264396176</v>
      </c>
      <c r="CD131" s="35">
        <f>(CD128)/(BS!CC25+CD8)</f>
        <v>0.79567427544201952</v>
      </c>
      <c r="CE131" s="35">
        <f>(CE128)/(BS!CD25+CE8)</f>
        <v>0.80603152935917699</v>
      </c>
      <c r="CF131" s="35">
        <f>(CF128)/(BS!CE25+CF8)</f>
        <v>0.81369179211246823</v>
      </c>
      <c r="CG131" s="36"/>
      <c r="CH131" s="36"/>
      <c r="CI131" s="36"/>
    </row>
    <row r="132" spans="1:87" s="37" customFormat="1" ht="12.75" customHeight="1">
      <c r="A132" s="69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40"/>
      <c r="BP132" s="35"/>
      <c r="BQ132" s="35"/>
      <c r="BR132" s="35"/>
      <c r="BS132" s="35"/>
      <c r="BT132" s="35"/>
      <c r="BU132" s="35"/>
      <c r="BV132" s="35"/>
      <c r="BW132" s="35"/>
      <c r="BX132" s="35"/>
      <c r="BY132" s="35"/>
      <c r="BZ132" s="35"/>
      <c r="CA132" s="35"/>
      <c r="CB132" s="35"/>
      <c r="CC132" s="35"/>
      <c r="CD132" s="35"/>
      <c r="CE132" s="35"/>
      <c r="CF132" s="35"/>
      <c r="CG132" s="36"/>
      <c r="CH132" s="36"/>
      <c r="CI132" s="36"/>
    </row>
    <row r="133" spans="1:87" s="37" customFormat="1" ht="12.75" customHeight="1">
      <c r="A133" s="38" t="s">
        <v>194</v>
      </c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75"/>
      <c r="AK133" s="75"/>
      <c r="AL133" s="75"/>
      <c r="AM133" s="75"/>
      <c r="AN133" s="75"/>
      <c r="AO133" s="75"/>
      <c r="AP133" s="75"/>
      <c r="AQ133" s="75"/>
      <c r="AR133" s="75"/>
      <c r="AS133" s="75"/>
      <c r="AT133" s="75"/>
      <c r="AU133" s="75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40"/>
      <c r="BP133" s="35"/>
      <c r="BQ133" s="35"/>
      <c r="BR133" s="35"/>
      <c r="BS133" s="35"/>
      <c r="BT133" s="35"/>
      <c r="BU133" s="35"/>
      <c r="BV133" s="35"/>
      <c r="BW133" s="35"/>
      <c r="BX133" s="35"/>
      <c r="BY133" s="35"/>
      <c r="BZ133" s="35"/>
      <c r="CA133" s="35"/>
      <c r="CB133" s="35"/>
      <c r="CC133" s="35"/>
      <c r="CD133" s="35"/>
      <c r="CE133" s="35"/>
      <c r="CF133" s="35"/>
      <c r="CG133" s="36"/>
      <c r="CH133" s="36"/>
      <c r="CI133" s="36"/>
    </row>
    <row r="134" spans="1:87" s="37" customFormat="1" ht="12.75" customHeight="1" outlineLevel="1">
      <c r="A134" s="38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75"/>
      <c r="AK134" s="75"/>
      <c r="AL134" s="75"/>
      <c r="AM134" s="75"/>
      <c r="AN134" s="75"/>
      <c r="AO134" s="75"/>
      <c r="AP134" s="75"/>
      <c r="AQ134" s="75"/>
      <c r="AR134" s="75"/>
      <c r="AS134" s="75"/>
      <c r="AT134" s="75"/>
      <c r="AU134" s="75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40"/>
      <c r="BP134" s="35"/>
      <c r="BQ134" s="35"/>
      <c r="BR134" s="35"/>
      <c r="BS134" s="35"/>
      <c r="BT134" s="35"/>
      <c r="BU134" s="35"/>
      <c r="BV134" s="35"/>
      <c r="BW134" s="35"/>
      <c r="BX134" s="35"/>
      <c r="BY134" s="35"/>
      <c r="BZ134" s="35"/>
      <c r="CA134" s="35"/>
      <c r="CB134" s="35"/>
      <c r="CC134" s="35"/>
      <c r="CD134" s="35"/>
      <c r="CE134" s="35"/>
      <c r="CF134" s="35"/>
      <c r="CG134" s="36"/>
      <c r="CH134" s="36"/>
      <c r="CI134" s="36"/>
    </row>
    <row r="135" spans="1:87" s="179" customFormat="1" ht="12.75" customHeight="1" outlineLevel="1">
      <c r="A135" s="42" t="s">
        <v>202</v>
      </c>
      <c r="B135" s="173"/>
      <c r="C135" s="173"/>
      <c r="D135" s="173"/>
      <c r="E135" s="173"/>
      <c r="F135" s="173"/>
      <c r="G135" s="173"/>
      <c r="H135" s="173"/>
      <c r="I135" s="173"/>
      <c r="J135" s="173"/>
      <c r="K135" s="173"/>
      <c r="L135" s="173"/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4"/>
      <c r="AB135" s="174"/>
      <c r="AC135" s="174"/>
      <c r="AD135" s="174"/>
      <c r="AE135" s="174"/>
      <c r="AF135" s="174"/>
      <c r="AG135" s="174"/>
      <c r="AH135" s="174"/>
      <c r="AI135" s="174">
        <v>271</v>
      </c>
      <c r="AJ135" s="174">
        <v>638</v>
      </c>
      <c r="AK135" s="174">
        <v>577</v>
      </c>
      <c r="AL135" s="174">
        <v>307</v>
      </c>
      <c r="AM135" s="174">
        <v>262</v>
      </c>
      <c r="AN135" s="174">
        <v>580</v>
      </c>
      <c r="AO135" s="174">
        <v>689</v>
      </c>
      <c r="AP135" s="174">
        <v>356</v>
      </c>
      <c r="AQ135" s="174">
        <v>359</v>
      </c>
      <c r="AR135" s="174">
        <v>282</v>
      </c>
      <c r="AS135" s="174">
        <v>722</v>
      </c>
      <c r="AT135" s="174">
        <v>250</v>
      </c>
      <c r="AU135" s="174">
        <v>322</v>
      </c>
      <c r="AV135" s="174">
        <v>617</v>
      </c>
      <c r="AW135" s="173"/>
      <c r="AX135" s="173"/>
      <c r="AY135" s="173"/>
      <c r="AZ135" s="173"/>
      <c r="BA135" s="173"/>
      <c r="BB135" s="173"/>
      <c r="BC135" s="173"/>
      <c r="BD135" s="173"/>
      <c r="BE135" s="173"/>
      <c r="BF135" s="173"/>
      <c r="BG135" s="173"/>
      <c r="BH135" s="173"/>
      <c r="BI135" s="173"/>
      <c r="BJ135" s="173"/>
      <c r="BK135" s="173"/>
      <c r="BL135" s="173"/>
      <c r="BM135" s="173"/>
      <c r="BN135" s="173"/>
      <c r="BO135" s="175"/>
      <c r="BP135" s="163"/>
      <c r="BQ135" s="176"/>
      <c r="BR135" s="176"/>
      <c r="BS135" s="176"/>
      <c r="BT135" s="176"/>
      <c r="BU135" s="176"/>
      <c r="BV135" s="176"/>
      <c r="BW135" s="176"/>
      <c r="BX135" s="176"/>
      <c r="BY135" s="176"/>
      <c r="BZ135" s="49">
        <f t="shared" ref="BZ135" si="532">SUM(AM135:AP135)</f>
        <v>1887</v>
      </c>
      <c r="CA135" s="49">
        <f t="shared" ref="CA135" si="533">SUM(AQ135:AT135)</f>
        <v>1613</v>
      </c>
      <c r="CB135" s="49">
        <f t="shared" ref="CB135" si="534">SUM(AU135:AX135)</f>
        <v>939</v>
      </c>
      <c r="CC135" s="49"/>
      <c r="CD135" s="49"/>
      <c r="CE135" s="49"/>
      <c r="CF135" s="49"/>
      <c r="CG135" s="177"/>
      <c r="CH135" s="178"/>
      <c r="CI135" s="178"/>
    </row>
    <row r="136" spans="1:87" s="37" customFormat="1" ht="12.75" customHeight="1" outlineLevel="1">
      <c r="A136" s="69" t="s">
        <v>0</v>
      </c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 t="s">
        <v>17</v>
      </c>
      <c r="AK136" s="34" t="s">
        <v>17</v>
      </c>
      <c r="AL136" s="34" t="s">
        <v>17</v>
      </c>
      <c r="AM136" s="34" t="s">
        <v>17</v>
      </c>
      <c r="AN136" s="34">
        <f t="shared" ref="AN136:AV136" si="535">AN135/AM135-1</f>
        <v>1.2137404580152671</v>
      </c>
      <c r="AO136" s="34">
        <f t="shared" si="535"/>
        <v>0.18793103448275872</v>
      </c>
      <c r="AP136" s="34">
        <f t="shared" si="535"/>
        <v>-0.48330914368650213</v>
      </c>
      <c r="AQ136" s="34">
        <f t="shared" si="535"/>
        <v>8.4269662921347965E-3</v>
      </c>
      <c r="AR136" s="34">
        <f t="shared" si="535"/>
        <v>-0.21448467966573814</v>
      </c>
      <c r="AS136" s="34">
        <f t="shared" si="535"/>
        <v>1.5602836879432624</v>
      </c>
      <c r="AT136" s="34">
        <f t="shared" si="535"/>
        <v>-0.65373961218836563</v>
      </c>
      <c r="AU136" s="34">
        <f t="shared" si="535"/>
        <v>0.28800000000000003</v>
      </c>
      <c r="AV136" s="34">
        <f t="shared" si="535"/>
        <v>0.91614906832298137</v>
      </c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40"/>
      <c r="BP136" s="35"/>
      <c r="BQ136" s="35"/>
      <c r="BR136" s="35"/>
      <c r="BS136" s="35"/>
      <c r="BT136" s="35"/>
      <c r="BU136" s="35"/>
      <c r="BV136" s="35"/>
      <c r="BW136" s="35"/>
      <c r="BX136" s="35"/>
      <c r="BY136" s="35"/>
      <c r="BZ136" s="35" t="s">
        <v>17</v>
      </c>
      <c r="CA136" s="35" t="s">
        <v>17</v>
      </c>
      <c r="CB136" s="35" t="s">
        <v>17</v>
      </c>
      <c r="CC136" s="35"/>
      <c r="CD136" s="35"/>
      <c r="CE136" s="35"/>
      <c r="CF136" s="35"/>
      <c r="CG136" s="36"/>
      <c r="CH136" s="36"/>
      <c r="CI136" s="36"/>
    </row>
    <row r="137" spans="1:87" s="37" customFormat="1" ht="12.75" customHeight="1" outlineLevel="1">
      <c r="A137" s="69" t="s">
        <v>1</v>
      </c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 t="s">
        <v>17</v>
      </c>
      <c r="AK137" s="34" t="s">
        <v>17</v>
      </c>
      <c r="AL137" s="34" t="s">
        <v>17</v>
      </c>
      <c r="AM137" s="34">
        <f t="shared" ref="AM137:AP137" si="536">AM135/AI135-1</f>
        <v>-3.3210332103321027E-2</v>
      </c>
      <c r="AN137" s="34">
        <f t="shared" si="536"/>
        <v>-9.0909090909090939E-2</v>
      </c>
      <c r="AO137" s="34">
        <f t="shared" si="536"/>
        <v>0.19410745233968796</v>
      </c>
      <c r="AP137" s="34">
        <f t="shared" si="536"/>
        <v>0.15960912052117271</v>
      </c>
      <c r="AQ137" s="34">
        <f t="shared" ref="AQ137:AV137" si="537">AQ135/AM135-1</f>
        <v>0.37022900763358768</v>
      </c>
      <c r="AR137" s="34">
        <f t="shared" si="537"/>
        <v>-0.51379310344827589</v>
      </c>
      <c r="AS137" s="34">
        <f t="shared" si="537"/>
        <v>4.7895500725689377E-2</v>
      </c>
      <c r="AT137" s="34">
        <f t="shared" si="537"/>
        <v>-0.297752808988764</v>
      </c>
      <c r="AU137" s="34">
        <f t="shared" si="537"/>
        <v>-0.10306406685236769</v>
      </c>
      <c r="AV137" s="34">
        <f t="shared" si="537"/>
        <v>1.1879432624113475</v>
      </c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40"/>
      <c r="BP137" s="35"/>
      <c r="BQ137" s="35"/>
      <c r="BR137" s="35"/>
      <c r="BS137" s="35"/>
      <c r="BT137" s="35"/>
      <c r="BU137" s="35"/>
      <c r="BV137" s="35"/>
      <c r="BW137" s="35"/>
      <c r="BX137" s="35"/>
      <c r="BY137" s="35"/>
      <c r="BZ137" s="35" t="s">
        <v>17</v>
      </c>
      <c r="CA137" s="35">
        <f t="shared" ref="CA137" si="538">CA135/BZ135-1</f>
        <v>-0.14520402755696871</v>
      </c>
      <c r="CB137" s="35">
        <f t="shared" ref="CB137" si="539">CB135/CA135-1</f>
        <v>-0.41785492870427776</v>
      </c>
      <c r="CC137" s="35"/>
      <c r="CD137" s="35"/>
      <c r="CE137" s="35"/>
      <c r="CF137" s="35"/>
      <c r="CG137" s="36"/>
      <c r="CH137" s="36"/>
      <c r="CI137" s="36"/>
    </row>
    <row r="138" spans="1:87" s="37" customFormat="1" ht="12.75" customHeight="1" outlineLevel="1">
      <c r="A138" s="69" t="s">
        <v>83</v>
      </c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>
        <f t="shared" ref="AJ138:AL138" si="540">AJ135/AJ$128</f>
        <v>0.49611197511664074</v>
      </c>
      <c r="AK138" s="34">
        <f t="shared" si="540"/>
        <v>0.44763382467028706</v>
      </c>
      <c r="AL138" s="34">
        <f t="shared" si="540"/>
        <v>0.24798061389337642</v>
      </c>
      <c r="AM138" s="34">
        <f t="shared" ref="AM138:AR138" si="541">AM135/AM$128</f>
        <v>0.21670802315963605</v>
      </c>
      <c r="AN138" s="34">
        <f t="shared" si="541"/>
        <v>0.43026706231454004</v>
      </c>
      <c r="AO138" s="34">
        <f t="shared" si="541"/>
        <v>0.43251726302573762</v>
      </c>
      <c r="AP138" s="34">
        <f t="shared" si="541"/>
        <v>0.25666906993511174</v>
      </c>
      <c r="AQ138" s="34">
        <f t="shared" si="541"/>
        <v>0.24605894448252227</v>
      </c>
      <c r="AR138" s="34">
        <f t="shared" si="541"/>
        <v>0.24500434404865334</v>
      </c>
      <c r="AS138" s="34">
        <f>AS135/AS$128</f>
        <v>0.43156007172743577</v>
      </c>
      <c r="AT138" s="34">
        <f>AT135/AT$128</f>
        <v>0.18573551263001487</v>
      </c>
      <c r="AU138" s="34">
        <f>AU135/AU$128</f>
        <v>0.2076079948420374</v>
      </c>
      <c r="AV138" s="34">
        <f>AV135/AV$128</f>
        <v>0.33789704271631982</v>
      </c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40"/>
      <c r="BP138" s="35"/>
      <c r="BQ138" s="35"/>
      <c r="BR138" s="35"/>
      <c r="BS138" s="35"/>
      <c r="BT138" s="35"/>
      <c r="BU138" s="35"/>
      <c r="BV138" s="35"/>
      <c r="BW138" s="35"/>
      <c r="BX138" s="35"/>
      <c r="BY138" s="35"/>
      <c r="BZ138" s="35"/>
      <c r="CA138" s="35"/>
      <c r="CB138" s="35"/>
      <c r="CC138" s="35"/>
      <c r="CD138" s="35"/>
      <c r="CE138" s="35"/>
      <c r="CF138" s="35"/>
      <c r="CG138" s="36"/>
      <c r="CH138" s="36"/>
      <c r="CI138" s="36"/>
    </row>
    <row r="139" spans="1:87" s="37" customFormat="1" ht="12.75" customHeight="1" outlineLevel="1">
      <c r="A139" s="69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34"/>
      <c r="BO139" s="35"/>
      <c r="BP139" s="35"/>
      <c r="BQ139" s="35"/>
      <c r="BR139" s="35"/>
      <c r="BS139" s="35"/>
      <c r="BT139" s="35"/>
      <c r="BU139" s="35"/>
      <c r="BV139" s="35"/>
      <c r="BW139" s="35"/>
      <c r="BX139" s="35"/>
      <c r="BY139" s="35"/>
      <c r="BZ139" s="35"/>
      <c r="CA139" s="35"/>
      <c r="CB139" s="35"/>
      <c r="CC139" s="35"/>
      <c r="CD139" s="35"/>
      <c r="CE139" s="35"/>
      <c r="CF139" s="35"/>
      <c r="CG139" s="36"/>
      <c r="CH139" s="36"/>
      <c r="CI139" s="36"/>
    </row>
    <row r="140" spans="1:87" s="44" customFormat="1" ht="12.75" customHeight="1" outlineLevel="1">
      <c r="A140" s="72" t="s">
        <v>204</v>
      </c>
      <c r="AM140" s="44">
        <v>133</v>
      </c>
      <c r="AN140" s="44">
        <v>181</v>
      </c>
      <c r="AO140" s="44">
        <v>286</v>
      </c>
      <c r="AP140" s="44">
        <v>211</v>
      </c>
      <c r="AQ140" s="44">
        <v>223</v>
      </c>
      <c r="AR140" s="44">
        <v>163</v>
      </c>
      <c r="AS140" s="44">
        <v>347</v>
      </c>
      <c r="AT140" s="44">
        <v>185</v>
      </c>
      <c r="AU140" s="44">
        <v>233</v>
      </c>
      <c r="AV140" s="44">
        <v>337</v>
      </c>
      <c r="BZ140" s="49">
        <f t="shared" ref="BZ140" si="542">SUM(AM140:AP140)</f>
        <v>811</v>
      </c>
      <c r="CA140" s="49">
        <f t="shared" ref="CA140" si="543">SUM(AQ140:AT140)</f>
        <v>918</v>
      </c>
      <c r="CB140" s="49">
        <f t="shared" ref="CB140" si="544">SUM(AU140:AX140)</f>
        <v>570</v>
      </c>
      <c r="CC140" s="49"/>
      <c r="CD140" s="49"/>
      <c r="CE140" s="49"/>
      <c r="CF140" s="49"/>
    </row>
    <row r="141" spans="1:87" s="37" customFormat="1" ht="12.75" customHeight="1" outlineLevel="1">
      <c r="A141" s="73" t="s">
        <v>0</v>
      </c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4"/>
      <c r="AL141" s="34"/>
      <c r="AM141" s="34" t="e">
        <f t="shared" ref="AM141" si="545">AM140/AL140-1</f>
        <v>#DIV/0!</v>
      </c>
      <c r="AN141" s="34">
        <f t="shared" ref="AN141" si="546">AN140/AM140-1</f>
        <v>0.36090225563909772</v>
      </c>
      <c r="AO141" s="34">
        <f t="shared" ref="AO141" si="547">AO140/AN140-1</f>
        <v>0.58011049723756902</v>
      </c>
      <c r="AP141" s="34">
        <f t="shared" ref="AP141" si="548">AP140/AO140-1</f>
        <v>-0.26223776223776218</v>
      </c>
      <c r="AQ141" s="34">
        <f t="shared" ref="AQ141" si="549">AQ140/AP140-1</f>
        <v>5.6872037914691864E-2</v>
      </c>
      <c r="AR141" s="34">
        <f t="shared" ref="AR141" si="550">AR140/AQ140-1</f>
        <v>-0.26905829596412556</v>
      </c>
      <c r="AS141" s="34">
        <f t="shared" ref="AS141" si="551">AS140/AR140-1</f>
        <v>1.128834355828221</v>
      </c>
      <c r="AT141" s="34">
        <f t="shared" ref="AT141" si="552">AT140/AS140-1</f>
        <v>-0.4668587896253602</v>
      </c>
      <c r="AU141" s="34">
        <f t="shared" ref="AU141:AV141" si="553">AU140/AT140-1</f>
        <v>0.25945945945945947</v>
      </c>
      <c r="AV141" s="34">
        <f t="shared" si="553"/>
        <v>0.44635193133047202</v>
      </c>
      <c r="AW141" s="70"/>
      <c r="AX141" s="70"/>
      <c r="AY141" s="70"/>
      <c r="AZ141" s="70"/>
      <c r="BA141" s="70"/>
      <c r="BB141" s="70"/>
      <c r="BC141" s="70"/>
      <c r="BD141" s="70"/>
      <c r="BE141" s="70"/>
      <c r="BF141" s="70"/>
      <c r="BG141" s="70"/>
      <c r="BH141" s="70"/>
      <c r="BI141" s="70"/>
      <c r="BJ141" s="70"/>
      <c r="BK141" s="70"/>
      <c r="BL141" s="70"/>
      <c r="BM141" s="70"/>
      <c r="BN141" s="70"/>
      <c r="BO141" s="71"/>
      <c r="BP141" s="35"/>
      <c r="BQ141" s="35"/>
      <c r="BR141" s="35"/>
      <c r="BS141" s="35"/>
      <c r="BT141" s="35"/>
      <c r="BU141" s="35"/>
      <c r="BV141" s="35"/>
      <c r="BW141" s="35"/>
      <c r="BX141" s="35"/>
      <c r="BY141" s="35"/>
      <c r="BZ141" s="35" t="s">
        <v>17</v>
      </c>
      <c r="CA141" s="35" t="s">
        <v>17</v>
      </c>
      <c r="CB141" s="35" t="s">
        <v>17</v>
      </c>
      <c r="CC141" s="35"/>
      <c r="CD141" s="35"/>
      <c r="CE141" s="35"/>
      <c r="CF141" s="35"/>
      <c r="CG141" s="36"/>
      <c r="CH141" s="36"/>
      <c r="CI141" s="36"/>
    </row>
    <row r="142" spans="1:87" s="37" customFormat="1" ht="12.75" customHeight="1" outlineLevel="1">
      <c r="A142" s="73" t="s">
        <v>1</v>
      </c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4" t="s">
        <v>17</v>
      </c>
      <c r="AN142" s="34" t="s">
        <v>17</v>
      </c>
      <c r="AO142" s="34" t="s">
        <v>17</v>
      </c>
      <c r="AP142" s="34" t="s">
        <v>17</v>
      </c>
      <c r="AQ142" s="34">
        <f t="shared" ref="AQ142:AV142" si="554">AQ140/AM140-1</f>
        <v>0.67669172932330834</v>
      </c>
      <c r="AR142" s="34">
        <f t="shared" si="554"/>
        <v>-9.9447513812154664E-2</v>
      </c>
      <c r="AS142" s="34">
        <f t="shared" si="554"/>
        <v>0.21328671328671334</v>
      </c>
      <c r="AT142" s="34">
        <f t="shared" si="554"/>
        <v>-0.12322274881516593</v>
      </c>
      <c r="AU142" s="34">
        <f t="shared" si="554"/>
        <v>4.4843049327354167E-2</v>
      </c>
      <c r="AV142" s="34">
        <f t="shared" si="554"/>
        <v>1.0674846625766872</v>
      </c>
      <c r="AW142" s="70"/>
      <c r="AX142" s="70"/>
      <c r="AY142" s="70"/>
      <c r="AZ142" s="70"/>
      <c r="BA142" s="70"/>
      <c r="BB142" s="70"/>
      <c r="BC142" s="70"/>
      <c r="BD142" s="70"/>
      <c r="BE142" s="70"/>
      <c r="BF142" s="70"/>
      <c r="BG142" s="70"/>
      <c r="BH142" s="70"/>
      <c r="BI142" s="70"/>
      <c r="BJ142" s="70"/>
      <c r="BK142" s="70"/>
      <c r="BL142" s="70"/>
      <c r="BM142" s="70"/>
      <c r="BN142" s="70"/>
      <c r="BO142" s="71"/>
      <c r="BP142" s="35"/>
      <c r="BQ142" s="35"/>
      <c r="BR142" s="35"/>
      <c r="BS142" s="35"/>
      <c r="BT142" s="35"/>
      <c r="BU142" s="35"/>
      <c r="BV142" s="35"/>
      <c r="BW142" s="35"/>
      <c r="BX142" s="35"/>
      <c r="BY142" s="35"/>
      <c r="BZ142" s="35" t="s">
        <v>17</v>
      </c>
      <c r="CA142" s="35">
        <f t="shared" ref="CA142" si="555">CA140/BZ140-1</f>
        <v>0.13193588162762016</v>
      </c>
      <c r="CB142" s="35">
        <f t="shared" ref="CB142" si="556">CB140/CA140-1</f>
        <v>-0.37908496732026142</v>
      </c>
      <c r="CC142" s="35"/>
      <c r="CD142" s="35"/>
      <c r="CE142" s="35"/>
      <c r="CF142" s="35"/>
      <c r="CG142" s="36"/>
      <c r="CH142" s="36"/>
      <c r="CI142" s="36"/>
    </row>
    <row r="143" spans="1:87" s="37" customFormat="1" ht="12.75" customHeight="1" outlineLevel="1">
      <c r="A143" s="74" t="s">
        <v>105</v>
      </c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70">
        <f>AM140/AM$128</f>
        <v>0.11000827129859388</v>
      </c>
      <c r="AN143" s="70">
        <f t="shared" ref="AN143:AU143" si="557">AN140/AN$128</f>
        <v>0.13427299703264095</v>
      </c>
      <c r="AO143" s="70">
        <f t="shared" si="557"/>
        <v>0.17953546767106088</v>
      </c>
      <c r="AP143" s="70">
        <f t="shared" si="557"/>
        <v>0.1521268925739005</v>
      </c>
      <c r="AQ143" s="70">
        <f t="shared" si="557"/>
        <v>0.15284441398217957</v>
      </c>
      <c r="AR143" s="70">
        <f t="shared" si="557"/>
        <v>0.1416159860990443</v>
      </c>
      <c r="AS143" s="70">
        <f t="shared" si="557"/>
        <v>0.20741183502689778</v>
      </c>
      <c r="AT143" s="70">
        <f t="shared" si="557"/>
        <v>0.13744427934621101</v>
      </c>
      <c r="AU143" s="70">
        <f t="shared" si="557"/>
        <v>0.15022566086395875</v>
      </c>
      <c r="AV143" s="70">
        <f t="shared" ref="AV143" si="558">AV140/AV$128</f>
        <v>0.18455640744797372</v>
      </c>
      <c r="AW143" s="70"/>
      <c r="AX143" s="70"/>
      <c r="AY143" s="70"/>
      <c r="AZ143" s="70"/>
      <c r="BA143" s="70"/>
      <c r="BB143" s="70"/>
      <c r="BC143" s="70"/>
      <c r="BD143" s="70"/>
      <c r="BE143" s="70"/>
      <c r="BF143" s="70"/>
      <c r="BG143" s="70"/>
      <c r="BH143" s="70"/>
      <c r="BI143" s="70"/>
      <c r="BJ143" s="70"/>
      <c r="BK143" s="70"/>
      <c r="BL143" s="70"/>
      <c r="BM143" s="70"/>
      <c r="BN143" s="70"/>
      <c r="BO143" s="71"/>
      <c r="BP143" s="35"/>
      <c r="BQ143" s="35"/>
      <c r="BR143" s="35"/>
      <c r="BS143" s="35"/>
      <c r="BT143" s="35"/>
      <c r="BU143" s="35"/>
      <c r="BV143" s="35"/>
      <c r="BW143" s="35"/>
      <c r="BX143" s="35"/>
      <c r="BY143" s="35"/>
      <c r="BZ143" s="35"/>
      <c r="CA143" s="35"/>
      <c r="CB143" s="35"/>
      <c r="CC143" s="35"/>
      <c r="CD143" s="35"/>
      <c r="CE143" s="35"/>
      <c r="CF143" s="35"/>
      <c r="CG143" s="36"/>
      <c r="CH143" s="36"/>
      <c r="CI143" s="36"/>
    </row>
    <row r="144" spans="1:87" s="37" customFormat="1" ht="12.75" customHeight="1" outlineLevel="1">
      <c r="A144" s="69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70"/>
      <c r="AN144" s="70"/>
      <c r="AO144" s="70"/>
      <c r="AP144" s="70"/>
      <c r="AQ144" s="70"/>
      <c r="AR144" s="70"/>
      <c r="AS144" s="70"/>
      <c r="AT144" s="70"/>
      <c r="AU144" s="70"/>
      <c r="AV144" s="70"/>
      <c r="AW144" s="70"/>
      <c r="AX144" s="70"/>
      <c r="AY144" s="70"/>
      <c r="AZ144" s="70"/>
      <c r="BA144" s="70"/>
      <c r="BB144" s="70"/>
      <c r="BC144" s="70"/>
      <c r="BD144" s="70"/>
      <c r="BE144" s="70"/>
      <c r="BF144" s="70"/>
      <c r="BG144" s="70"/>
      <c r="BH144" s="70"/>
      <c r="BI144" s="70"/>
      <c r="BJ144" s="70"/>
      <c r="BK144" s="70"/>
      <c r="BL144" s="70"/>
      <c r="BM144" s="70"/>
      <c r="BN144" s="70"/>
      <c r="BO144" s="71"/>
      <c r="BP144" s="35"/>
      <c r="BQ144" s="35"/>
      <c r="BR144" s="35"/>
      <c r="BS144" s="35"/>
      <c r="BT144" s="35"/>
      <c r="BU144" s="35"/>
      <c r="BV144" s="35"/>
      <c r="BW144" s="35"/>
      <c r="BX144" s="35"/>
      <c r="BY144" s="35"/>
      <c r="BZ144" s="35"/>
      <c r="CA144" s="35"/>
      <c r="CB144" s="35"/>
      <c r="CC144" s="35"/>
      <c r="CD144" s="35"/>
      <c r="CE144" s="35"/>
      <c r="CF144" s="35"/>
      <c r="CG144" s="36"/>
      <c r="CH144" s="36"/>
      <c r="CI144" s="36"/>
    </row>
    <row r="145" spans="1:87" s="44" customFormat="1" ht="12.75" customHeight="1" outlineLevel="1">
      <c r="A145" s="72" t="s">
        <v>205</v>
      </c>
      <c r="AM145" s="44">
        <v>129</v>
      </c>
      <c r="AN145" s="44">
        <v>399</v>
      </c>
      <c r="AO145" s="44">
        <v>403</v>
      </c>
      <c r="AP145" s="44">
        <v>145</v>
      </c>
      <c r="AQ145" s="44">
        <v>136</v>
      </c>
      <c r="AR145" s="44">
        <v>119</v>
      </c>
      <c r="AS145" s="44">
        <v>375</v>
      </c>
      <c r="AT145" s="44">
        <v>65</v>
      </c>
      <c r="AU145" s="44">
        <v>89</v>
      </c>
      <c r="AV145" s="44">
        <v>280</v>
      </c>
      <c r="BZ145" s="49">
        <f t="shared" ref="BZ145" si="559">SUM(AM145:AP145)</f>
        <v>1076</v>
      </c>
      <c r="CA145" s="49">
        <f t="shared" ref="CA145" si="560">SUM(AQ145:AT145)</f>
        <v>695</v>
      </c>
      <c r="CB145" s="49">
        <f t="shared" ref="CB145" si="561">SUM(AU145:AX145)</f>
        <v>369</v>
      </c>
      <c r="CC145" s="49"/>
      <c r="CD145" s="49"/>
      <c r="CE145" s="49"/>
      <c r="CF145" s="49"/>
    </row>
    <row r="146" spans="1:87" s="37" customFormat="1" ht="12.75" customHeight="1" outlineLevel="1">
      <c r="A146" s="73" t="s">
        <v>0</v>
      </c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4"/>
      <c r="AL146" s="34"/>
      <c r="AM146" s="34" t="e">
        <f t="shared" ref="AM146" si="562">AM145/AL145-1</f>
        <v>#DIV/0!</v>
      </c>
      <c r="AN146" s="34">
        <f t="shared" ref="AN146" si="563">AN145/AM145-1</f>
        <v>2.0930232558139537</v>
      </c>
      <c r="AO146" s="34">
        <f t="shared" ref="AO146" si="564">AO145/AN145-1</f>
        <v>1.0025062656641603E-2</v>
      </c>
      <c r="AP146" s="34">
        <f t="shared" ref="AP146" si="565">AP145/AO145-1</f>
        <v>-0.64019851116625315</v>
      </c>
      <c r="AQ146" s="34">
        <f t="shared" ref="AQ146" si="566">AQ145/AP145-1</f>
        <v>-6.2068965517241392E-2</v>
      </c>
      <c r="AR146" s="34">
        <f t="shared" ref="AR146" si="567">AR145/AQ145-1</f>
        <v>-0.125</v>
      </c>
      <c r="AS146" s="34">
        <f t="shared" ref="AS146" si="568">AS145/AR145-1</f>
        <v>2.1512605042016806</v>
      </c>
      <c r="AT146" s="34">
        <f t="shared" ref="AT146" si="569">AT145/AS145-1</f>
        <v>-0.82666666666666666</v>
      </c>
      <c r="AU146" s="34">
        <f t="shared" ref="AU146:AV146" si="570">AU145/AT145-1</f>
        <v>0.36923076923076925</v>
      </c>
      <c r="AV146" s="34">
        <f t="shared" si="570"/>
        <v>2.1460674157303372</v>
      </c>
      <c r="AW146" s="70"/>
      <c r="AX146" s="70"/>
      <c r="AY146" s="70"/>
      <c r="AZ146" s="70"/>
      <c r="BA146" s="70"/>
      <c r="BB146" s="70"/>
      <c r="BC146" s="70"/>
      <c r="BD146" s="70"/>
      <c r="BE146" s="70"/>
      <c r="BF146" s="70"/>
      <c r="BG146" s="70"/>
      <c r="BH146" s="70"/>
      <c r="BI146" s="70"/>
      <c r="BJ146" s="70"/>
      <c r="BK146" s="70"/>
      <c r="BL146" s="70"/>
      <c r="BM146" s="70"/>
      <c r="BN146" s="70"/>
      <c r="BO146" s="71"/>
      <c r="BP146" s="35"/>
      <c r="BQ146" s="35"/>
      <c r="BR146" s="35"/>
      <c r="BS146" s="35"/>
      <c r="BT146" s="35"/>
      <c r="BU146" s="35"/>
      <c r="BV146" s="35"/>
      <c r="BW146" s="35"/>
      <c r="BX146" s="35"/>
      <c r="BY146" s="35"/>
      <c r="BZ146" s="35" t="s">
        <v>17</v>
      </c>
      <c r="CA146" s="35" t="s">
        <v>17</v>
      </c>
      <c r="CB146" s="35" t="s">
        <v>17</v>
      </c>
      <c r="CC146" s="35"/>
      <c r="CD146" s="35"/>
      <c r="CE146" s="35"/>
      <c r="CF146" s="35"/>
      <c r="CG146" s="36"/>
      <c r="CH146" s="36"/>
      <c r="CI146" s="36"/>
    </row>
    <row r="147" spans="1:87" s="37" customFormat="1" ht="12.75" customHeight="1" outlineLevel="1">
      <c r="A147" s="73" t="s">
        <v>1</v>
      </c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4" t="s">
        <v>17</v>
      </c>
      <c r="AN147" s="34" t="s">
        <v>17</v>
      </c>
      <c r="AO147" s="34" t="s">
        <v>17</v>
      </c>
      <c r="AP147" s="34" t="s">
        <v>17</v>
      </c>
      <c r="AQ147" s="34">
        <f t="shared" ref="AQ147:AV147" si="571">AQ145/AM145-1</f>
        <v>5.4263565891472965E-2</v>
      </c>
      <c r="AR147" s="34">
        <f t="shared" si="571"/>
        <v>-0.70175438596491224</v>
      </c>
      <c r="AS147" s="34">
        <f t="shared" si="571"/>
        <v>-6.9478908188585597E-2</v>
      </c>
      <c r="AT147" s="34">
        <f t="shared" si="571"/>
        <v>-0.55172413793103448</v>
      </c>
      <c r="AU147" s="34">
        <f t="shared" si="571"/>
        <v>-0.34558823529411764</v>
      </c>
      <c r="AV147" s="34">
        <f t="shared" si="571"/>
        <v>1.3529411764705883</v>
      </c>
      <c r="AW147" s="70"/>
      <c r="AX147" s="70"/>
      <c r="AY147" s="70"/>
      <c r="AZ147" s="70"/>
      <c r="BA147" s="70"/>
      <c r="BB147" s="70"/>
      <c r="BC147" s="70"/>
      <c r="BD147" s="70"/>
      <c r="BE147" s="70"/>
      <c r="BF147" s="70"/>
      <c r="BG147" s="70"/>
      <c r="BH147" s="70"/>
      <c r="BI147" s="70"/>
      <c r="BJ147" s="70"/>
      <c r="BK147" s="70"/>
      <c r="BL147" s="70"/>
      <c r="BM147" s="70"/>
      <c r="BN147" s="70"/>
      <c r="BO147" s="71"/>
      <c r="BP147" s="35"/>
      <c r="BQ147" s="35"/>
      <c r="BR147" s="35"/>
      <c r="BS147" s="35"/>
      <c r="BT147" s="35"/>
      <c r="BU147" s="35"/>
      <c r="BV147" s="35"/>
      <c r="BW147" s="35"/>
      <c r="BX147" s="35"/>
      <c r="BY147" s="35"/>
      <c r="BZ147" s="35" t="s">
        <v>17</v>
      </c>
      <c r="CA147" s="35">
        <f t="shared" ref="CA147" si="572">CA145/BZ145-1</f>
        <v>-0.35408921933085502</v>
      </c>
      <c r="CB147" s="35">
        <f t="shared" ref="CB147" si="573">CB145/CA145-1</f>
        <v>-0.46906474820143884</v>
      </c>
      <c r="CC147" s="35"/>
      <c r="CD147" s="35"/>
      <c r="CE147" s="35"/>
      <c r="CF147" s="35"/>
      <c r="CG147" s="36"/>
      <c r="CH147" s="36"/>
      <c r="CI147" s="36"/>
    </row>
    <row r="148" spans="1:87" s="37" customFormat="1" ht="12.75" customHeight="1" outlineLevel="1">
      <c r="A148" s="74" t="s">
        <v>105</v>
      </c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70">
        <f>AM145/AM$128</f>
        <v>0.10669975186104218</v>
      </c>
      <c r="AN148" s="70">
        <f t="shared" ref="AN148:AU148" si="574">AN145/AN$128</f>
        <v>0.29599406528189909</v>
      </c>
      <c r="AO148" s="70">
        <f t="shared" si="574"/>
        <v>0.25298179535467669</v>
      </c>
      <c r="AP148" s="70">
        <f t="shared" si="574"/>
        <v>0.10454217736121124</v>
      </c>
      <c r="AQ148" s="70">
        <f t="shared" si="574"/>
        <v>9.3214530500342702E-2</v>
      </c>
      <c r="AR148" s="70">
        <f t="shared" si="574"/>
        <v>0.10338835794960903</v>
      </c>
      <c r="AS148" s="70">
        <f t="shared" si="574"/>
        <v>0.22414823670053796</v>
      </c>
      <c r="AT148" s="70">
        <f t="shared" si="574"/>
        <v>4.8291233283803865E-2</v>
      </c>
      <c r="AU148" s="70">
        <f t="shared" si="574"/>
        <v>5.738233397807866E-2</v>
      </c>
      <c r="AV148" s="70">
        <f t="shared" ref="AV148" si="575">AV145/AV$128</f>
        <v>0.1533406352683461</v>
      </c>
      <c r="AW148" s="70"/>
      <c r="AX148" s="70"/>
      <c r="AY148" s="70"/>
      <c r="AZ148" s="70"/>
      <c r="BA148" s="70"/>
      <c r="BB148" s="70"/>
      <c r="BC148" s="70"/>
      <c r="BD148" s="70"/>
      <c r="BE148" s="70"/>
      <c r="BF148" s="70"/>
      <c r="BG148" s="70"/>
      <c r="BH148" s="70"/>
      <c r="BI148" s="70"/>
      <c r="BJ148" s="70"/>
      <c r="BK148" s="70"/>
      <c r="BL148" s="70"/>
      <c r="BM148" s="70"/>
      <c r="BN148" s="70"/>
      <c r="BO148" s="71"/>
      <c r="BP148" s="35"/>
      <c r="BQ148" s="35"/>
      <c r="BR148" s="35"/>
      <c r="BS148" s="35"/>
      <c r="BT148" s="35"/>
      <c r="BU148" s="35"/>
      <c r="BV148" s="35"/>
      <c r="BW148" s="35"/>
      <c r="BX148" s="35"/>
      <c r="BY148" s="35"/>
      <c r="BZ148" s="35"/>
      <c r="CA148" s="35"/>
      <c r="CB148" s="35"/>
      <c r="CC148" s="35"/>
      <c r="CD148" s="35"/>
      <c r="CE148" s="35"/>
      <c r="CF148" s="35"/>
      <c r="CG148" s="36"/>
      <c r="CH148" s="36"/>
      <c r="CI148" s="36"/>
    </row>
    <row r="149" spans="1:87" s="37" customFormat="1" ht="12.75" customHeight="1" outlineLevel="1">
      <c r="A149" s="69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5"/>
      <c r="BP149" s="35"/>
      <c r="BQ149" s="35"/>
      <c r="BR149" s="35"/>
      <c r="BS149" s="35"/>
      <c r="BT149" s="35"/>
      <c r="BU149" s="35"/>
      <c r="BV149" s="35"/>
      <c r="BW149" s="35"/>
      <c r="BX149" s="35"/>
      <c r="BY149" s="35"/>
      <c r="BZ149" s="35"/>
      <c r="CA149" s="35"/>
      <c r="CB149" s="35"/>
      <c r="CC149" s="35"/>
      <c r="CD149" s="35"/>
      <c r="CE149" s="35"/>
      <c r="CF149" s="35"/>
      <c r="CG149" s="36"/>
      <c r="CH149" s="36"/>
      <c r="CI149" s="36"/>
    </row>
    <row r="150" spans="1:87" s="179" customFormat="1" ht="12.75" customHeight="1" outlineLevel="1">
      <c r="A150" s="42" t="s">
        <v>203</v>
      </c>
      <c r="B150" s="173"/>
      <c r="C150" s="173"/>
      <c r="D150" s="173"/>
      <c r="E150" s="173"/>
      <c r="F150" s="173"/>
      <c r="G150" s="173"/>
      <c r="H150" s="173"/>
      <c r="I150" s="173"/>
      <c r="J150" s="173"/>
      <c r="K150" s="173"/>
      <c r="L150" s="173"/>
      <c r="M150" s="173"/>
      <c r="N150" s="173"/>
      <c r="O150" s="173"/>
      <c r="P150" s="173"/>
      <c r="Q150" s="173"/>
      <c r="R150" s="173"/>
      <c r="S150" s="173"/>
      <c r="T150" s="173"/>
      <c r="U150" s="173"/>
      <c r="V150" s="173"/>
      <c r="W150" s="173"/>
      <c r="X150" s="173"/>
      <c r="Y150" s="173"/>
      <c r="Z150" s="173"/>
      <c r="AA150" s="174"/>
      <c r="AB150" s="174"/>
      <c r="AC150" s="174"/>
      <c r="AD150" s="174"/>
      <c r="AE150" s="174"/>
      <c r="AF150" s="174"/>
      <c r="AG150" s="174"/>
      <c r="AH150" s="174"/>
      <c r="AI150" s="174">
        <v>866</v>
      </c>
      <c r="AJ150" s="174">
        <v>648</v>
      </c>
      <c r="AK150" s="174">
        <v>712</v>
      </c>
      <c r="AL150" s="174">
        <v>931</v>
      </c>
      <c r="AM150" s="174">
        <v>947</v>
      </c>
      <c r="AN150" s="174">
        <v>768</v>
      </c>
      <c r="AO150" s="174">
        <v>904</v>
      </c>
      <c r="AP150" s="174">
        <v>1031</v>
      </c>
      <c r="AQ150" s="174">
        <v>1100</v>
      </c>
      <c r="AR150" s="174">
        <v>869</v>
      </c>
      <c r="AS150" s="174">
        <v>951</v>
      </c>
      <c r="AT150" s="174">
        <v>1096</v>
      </c>
      <c r="AU150" s="174">
        <v>1229</v>
      </c>
      <c r="AV150" s="174">
        <v>1209</v>
      </c>
      <c r="AW150" s="173"/>
      <c r="AX150" s="173"/>
      <c r="AY150" s="173"/>
      <c r="AZ150" s="173"/>
      <c r="BA150" s="173"/>
      <c r="BB150" s="173"/>
      <c r="BC150" s="173"/>
      <c r="BD150" s="173"/>
      <c r="BE150" s="173"/>
      <c r="BF150" s="173"/>
      <c r="BG150" s="173"/>
      <c r="BH150" s="173"/>
      <c r="BI150" s="173"/>
      <c r="BJ150" s="173"/>
      <c r="BK150" s="173"/>
      <c r="BL150" s="173"/>
      <c r="BM150" s="173"/>
      <c r="BN150" s="173"/>
      <c r="BO150" s="175"/>
      <c r="BP150" s="163"/>
      <c r="BQ150" s="176"/>
      <c r="BR150" s="176"/>
      <c r="BS150" s="176"/>
      <c r="BT150" s="176"/>
      <c r="BU150" s="176"/>
      <c r="BV150" s="176"/>
      <c r="BW150" s="176"/>
      <c r="BX150" s="176"/>
      <c r="BY150" s="49"/>
      <c r="BZ150" s="49">
        <f t="shared" ref="BZ150" si="576">SUM(AM150:AP150)</f>
        <v>3650</v>
      </c>
      <c r="CA150" s="49">
        <f t="shared" ref="CA150" si="577">SUM(AQ150:AT150)</f>
        <v>4016</v>
      </c>
      <c r="CB150" s="49">
        <f t="shared" ref="CB150" si="578">SUM(AU150:AX150)</f>
        <v>2438</v>
      </c>
      <c r="CC150" s="49"/>
      <c r="CD150" s="49"/>
      <c r="CE150" s="49"/>
      <c r="CF150" s="49"/>
      <c r="CG150" s="177"/>
      <c r="CH150" s="178"/>
      <c r="CI150" s="178"/>
    </row>
    <row r="151" spans="1:87" s="37" customFormat="1" ht="12.75" customHeight="1" outlineLevel="1">
      <c r="A151" s="69" t="s">
        <v>0</v>
      </c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 t="s">
        <v>17</v>
      </c>
      <c r="AK151" s="34" t="s">
        <v>17</v>
      </c>
      <c r="AL151" s="34" t="s">
        <v>17</v>
      </c>
      <c r="AM151" s="34" t="s">
        <v>17</v>
      </c>
      <c r="AN151" s="34">
        <f t="shared" ref="AN151" si="579">AN150/AM150-1</f>
        <v>-0.18901795142555433</v>
      </c>
      <c r="AO151" s="34">
        <f t="shared" ref="AO151" si="580">AO150/AN150-1</f>
        <v>0.17708333333333326</v>
      </c>
      <c r="AP151" s="34">
        <f t="shared" ref="AP151" si="581">AP150/AO150-1</f>
        <v>0.14048672566371678</v>
      </c>
      <c r="AQ151" s="34">
        <f t="shared" ref="AQ151" si="582">AQ150/AP150-1</f>
        <v>6.6925315227934101E-2</v>
      </c>
      <c r="AR151" s="34">
        <f t="shared" ref="AR151:AV151" si="583">AR150/AQ150-1</f>
        <v>-0.20999999999999996</v>
      </c>
      <c r="AS151" s="34">
        <f t="shared" si="583"/>
        <v>9.436133486766396E-2</v>
      </c>
      <c r="AT151" s="34">
        <f t="shared" si="583"/>
        <v>0.1524710830704521</v>
      </c>
      <c r="AU151" s="34">
        <f t="shared" si="583"/>
        <v>0.12135036496350371</v>
      </c>
      <c r="AV151" s="34">
        <f t="shared" si="583"/>
        <v>-1.6273393002441017E-2</v>
      </c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40"/>
      <c r="BP151" s="35"/>
      <c r="BQ151" s="35"/>
      <c r="BR151" s="35"/>
      <c r="BS151" s="35"/>
      <c r="BT151" s="35"/>
      <c r="BU151" s="35"/>
      <c r="BV151" s="35"/>
      <c r="BW151" s="35"/>
      <c r="BX151" s="35"/>
      <c r="BY151" s="35"/>
      <c r="BZ151" s="35" t="s">
        <v>17</v>
      </c>
      <c r="CA151" s="35" t="s">
        <v>17</v>
      </c>
      <c r="CB151" s="35" t="s">
        <v>17</v>
      </c>
      <c r="CC151" s="35"/>
      <c r="CD151" s="35"/>
      <c r="CE151" s="35"/>
      <c r="CF151" s="35"/>
      <c r="CG151" s="36"/>
      <c r="CH151" s="36"/>
      <c r="CI151" s="36"/>
    </row>
    <row r="152" spans="1:87" s="37" customFormat="1" ht="12.75" customHeight="1" outlineLevel="1">
      <c r="A152" s="69" t="s">
        <v>1</v>
      </c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 t="s">
        <v>17</v>
      </c>
      <c r="AK152" s="34" t="s">
        <v>17</v>
      </c>
      <c r="AL152" s="34" t="s">
        <v>17</v>
      </c>
      <c r="AM152" s="34">
        <f t="shared" ref="AM152" si="584">AM150/AI150-1</f>
        <v>9.3533487297921436E-2</v>
      </c>
      <c r="AN152" s="34">
        <f t="shared" ref="AN152" si="585">AN150/AJ150-1</f>
        <v>0.18518518518518512</v>
      </c>
      <c r="AO152" s="34">
        <f t="shared" ref="AO152" si="586">AO150/AK150-1</f>
        <v>0.2696629213483146</v>
      </c>
      <c r="AP152" s="34">
        <f t="shared" ref="AP152" si="587">AP150/AL150-1</f>
        <v>0.10741138560687435</v>
      </c>
      <c r="AQ152" s="34">
        <f t="shared" ref="AQ152:AV152" si="588">AQ150/AM150-1</f>
        <v>0.16156282998944027</v>
      </c>
      <c r="AR152" s="34">
        <f t="shared" si="588"/>
        <v>0.13151041666666674</v>
      </c>
      <c r="AS152" s="34">
        <f t="shared" si="588"/>
        <v>5.1991150442477929E-2</v>
      </c>
      <c r="AT152" s="34">
        <f t="shared" si="588"/>
        <v>6.3045586808923471E-2</v>
      </c>
      <c r="AU152" s="34">
        <f t="shared" si="588"/>
        <v>0.1172727272727272</v>
      </c>
      <c r="AV152" s="34">
        <f t="shared" si="588"/>
        <v>0.39125431530494814</v>
      </c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40"/>
      <c r="BP152" s="35"/>
      <c r="BQ152" s="35"/>
      <c r="BR152" s="35"/>
      <c r="BS152" s="35"/>
      <c r="BT152" s="35"/>
      <c r="BU152" s="35"/>
      <c r="BV152" s="35"/>
      <c r="BW152" s="35"/>
      <c r="BX152" s="35"/>
      <c r="BY152" s="35"/>
      <c r="BZ152" s="35" t="s">
        <v>17</v>
      </c>
      <c r="CA152" s="35">
        <f t="shared" ref="CA152" si="589">CA150/BZ150-1</f>
        <v>0.10027397260273974</v>
      </c>
      <c r="CB152" s="35">
        <f t="shared" ref="CB152" si="590">CB150/CA150-1</f>
        <v>-0.39292828685258963</v>
      </c>
      <c r="CC152" s="35"/>
      <c r="CD152" s="35"/>
      <c r="CE152" s="35"/>
      <c r="CF152" s="35"/>
      <c r="CG152" s="36"/>
      <c r="CH152" s="36"/>
      <c r="CI152" s="36"/>
    </row>
    <row r="153" spans="1:87" s="37" customFormat="1" ht="12.75" customHeight="1" outlineLevel="1">
      <c r="A153" s="69" t="s">
        <v>83</v>
      </c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>
        <f t="shared" ref="AJ153:AQ153" si="591">AJ150/AJ$128</f>
        <v>0.50388802488335926</v>
      </c>
      <c r="AK153" s="34">
        <f t="shared" si="591"/>
        <v>0.55236617532971299</v>
      </c>
      <c r="AL153" s="34">
        <f t="shared" si="591"/>
        <v>0.75201938610662356</v>
      </c>
      <c r="AM153" s="34">
        <f t="shared" si="591"/>
        <v>0.78329197684036389</v>
      </c>
      <c r="AN153" s="34">
        <f t="shared" si="591"/>
        <v>0.56973293768545996</v>
      </c>
      <c r="AO153" s="34">
        <f t="shared" si="591"/>
        <v>0.56748273697426244</v>
      </c>
      <c r="AP153" s="34">
        <f t="shared" si="591"/>
        <v>0.74333093006488826</v>
      </c>
      <c r="AQ153" s="34">
        <f t="shared" si="591"/>
        <v>0.7539410555174777</v>
      </c>
      <c r="AR153" s="34">
        <f t="shared" ref="AR153" si="592">AR150/AR$128</f>
        <v>0.75499565595134666</v>
      </c>
      <c r="AS153" s="34">
        <f>AS150/AS$128</f>
        <v>0.56843992827256429</v>
      </c>
      <c r="AT153" s="34">
        <f>AT150/AT$128</f>
        <v>0.81426448736998513</v>
      </c>
      <c r="AU153" s="34">
        <f>AU150/AU$128</f>
        <v>0.7923920051579626</v>
      </c>
      <c r="AV153" s="34">
        <f>AV150/AV$128</f>
        <v>0.66210295728368018</v>
      </c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40"/>
      <c r="BP153" s="35"/>
      <c r="BQ153" s="35"/>
      <c r="BR153" s="35"/>
      <c r="BS153" s="35"/>
      <c r="BT153" s="35"/>
      <c r="BU153" s="35"/>
      <c r="BV153" s="35"/>
      <c r="BW153" s="35"/>
      <c r="BX153" s="35"/>
      <c r="BY153" s="35"/>
      <c r="BZ153" s="35"/>
      <c r="CA153" s="35"/>
      <c r="CB153" s="35"/>
      <c r="CC153" s="35"/>
      <c r="CD153" s="35"/>
      <c r="CE153" s="35"/>
      <c r="CF153" s="35"/>
      <c r="CG153" s="36"/>
      <c r="CH153" s="36"/>
      <c r="CI153" s="36"/>
    </row>
    <row r="154" spans="1:87" s="32" customFormat="1" ht="12.75" customHeight="1" outlineLevel="1">
      <c r="A154" s="42"/>
      <c r="B154" s="180"/>
      <c r="C154" s="180"/>
      <c r="D154" s="180"/>
      <c r="E154" s="180"/>
      <c r="F154" s="180"/>
      <c r="G154" s="180"/>
      <c r="H154" s="180"/>
      <c r="I154" s="180"/>
      <c r="J154" s="180"/>
      <c r="K154" s="180"/>
      <c r="L154" s="180"/>
      <c r="M154" s="180"/>
      <c r="N154" s="180"/>
      <c r="O154" s="180"/>
      <c r="P154" s="180"/>
      <c r="Q154" s="180"/>
      <c r="R154" s="180"/>
      <c r="S154" s="180"/>
      <c r="T154" s="180"/>
      <c r="U154" s="180"/>
      <c r="V154" s="180"/>
      <c r="W154" s="180"/>
      <c r="X154" s="180"/>
      <c r="Y154" s="180"/>
      <c r="Z154" s="180"/>
      <c r="AA154" s="180"/>
      <c r="AB154" s="180"/>
      <c r="AC154" s="180"/>
      <c r="AD154" s="180"/>
      <c r="AE154" s="180"/>
      <c r="AF154" s="180"/>
      <c r="AG154" s="180"/>
      <c r="AH154" s="180"/>
      <c r="AI154" s="180"/>
      <c r="AJ154" s="180"/>
      <c r="AK154" s="180"/>
      <c r="AL154" s="180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181"/>
      <c r="AX154" s="181"/>
      <c r="AY154" s="181"/>
      <c r="AZ154" s="181"/>
      <c r="BA154" s="181"/>
      <c r="BB154" s="181"/>
      <c r="BC154" s="181"/>
      <c r="BD154" s="181"/>
      <c r="BE154" s="181"/>
      <c r="BF154" s="181"/>
      <c r="BG154" s="181"/>
      <c r="BH154" s="181"/>
      <c r="BI154" s="181"/>
      <c r="BJ154" s="181"/>
      <c r="BK154" s="181"/>
      <c r="BL154" s="181"/>
      <c r="BM154" s="181"/>
      <c r="BN154" s="181"/>
      <c r="BO154" s="182"/>
      <c r="BP154" s="68"/>
      <c r="BQ154" s="68"/>
      <c r="BR154" s="68"/>
      <c r="BS154" s="68"/>
      <c r="BT154" s="161"/>
      <c r="BU154" s="161"/>
      <c r="BV154" s="161"/>
      <c r="BW154" s="161"/>
      <c r="BX154" s="161"/>
      <c r="BY154" s="161"/>
      <c r="BZ154" s="161"/>
      <c r="CA154" s="68"/>
      <c r="CB154" s="68"/>
      <c r="CC154" s="68"/>
      <c r="CD154" s="68"/>
      <c r="CE154" s="68"/>
      <c r="CF154" s="68"/>
      <c r="CG154" s="31"/>
      <c r="CH154" s="31"/>
      <c r="CI154" s="31"/>
    </row>
    <row r="155" spans="1:87" s="32" customFormat="1" ht="12.75" customHeight="1" outlineLevel="1">
      <c r="A155" s="162" t="s">
        <v>202</v>
      </c>
      <c r="B155" s="180"/>
      <c r="C155" s="180"/>
      <c r="D155" s="180"/>
      <c r="E155" s="180"/>
      <c r="F155" s="180"/>
      <c r="G155" s="180"/>
      <c r="H155" s="180"/>
      <c r="I155" s="180"/>
      <c r="J155" s="180"/>
      <c r="K155" s="180"/>
      <c r="L155" s="180"/>
      <c r="M155" s="180"/>
      <c r="N155" s="180"/>
      <c r="O155" s="180"/>
      <c r="P155" s="180"/>
      <c r="Q155" s="180"/>
      <c r="R155" s="180"/>
      <c r="S155" s="180"/>
      <c r="T155" s="180"/>
      <c r="U155" s="180"/>
      <c r="V155" s="180"/>
      <c r="W155" s="180"/>
      <c r="X155" s="180"/>
      <c r="Y155" s="180"/>
      <c r="Z155" s="180"/>
      <c r="AA155" s="180"/>
      <c r="AB155" s="180"/>
      <c r="AC155" s="180"/>
      <c r="AD155" s="180"/>
      <c r="AE155" s="180"/>
      <c r="AF155" s="180"/>
      <c r="AG155" s="180"/>
      <c r="AH155" s="180"/>
      <c r="AI155" s="27">
        <f t="shared" ref="AI155:AU155" si="593">AI166+AI167-AI135</f>
        <v>633</v>
      </c>
      <c r="AJ155" s="27">
        <f t="shared" si="593"/>
        <v>428</v>
      </c>
      <c r="AK155" s="27">
        <f t="shared" si="593"/>
        <v>531</v>
      </c>
      <c r="AL155" s="27">
        <f t="shared" si="593"/>
        <v>741</v>
      </c>
      <c r="AM155" s="27">
        <f t="shared" si="593"/>
        <v>751</v>
      </c>
      <c r="AN155" s="27">
        <f t="shared" si="593"/>
        <v>591</v>
      </c>
      <c r="AO155" s="27">
        <f t="shared" si="593"/>
        <v>735</v>
      </c>
      <c r="AP155" s="27">
        <f t="shared" si="593"/>
        <v>846</v>
      </c>
      <c r="AQ155" s="27">
        <f t="shared" si="593"/>
        <v>898</v>
      </c>
      <c r="AR155" s="27">
        <f t="shared" si="593"/>
        <v>681</v>
      </c>
      <c r="AS155" s="27">
        <f t="shared" si="593"/>
        <v>795</v>
      </c>
      <c r="AT155" s="27">
        <f t="shared" si="593"/>
        <v>924</v>
      </c>
      <c r="AU155" s="27">
        <f t="shared" si="593"/>
        <v>1011</v>
      </c>
      <c r="AV155" s="27">
        <f t="shared" ref="AV155" si="594">AV166+AV167-AV135</f>
        <v>958</v>
      </c>
      <c r="AW155" s="181"/>
      <c r="AX155" s="181"/>
      <c r="AY155" s="181"/>
      <c r="AZ155" s="181"/>
      <c r="BA155" s="181"/>
      <c r="BB155" s="181"/>
      <c r="BC155" s="181"/>
      <c r="BD155" s="181"/>
      <c r="BE155" s="181"/>
      <c r="BF155" s="181"/>
      <c r="BG155" s="181"/>
      <c r="BH155" s="181"/>
      <c r="BI155" s="181"/>
      <c r="BJ155" s="181"/>
      <c r="BK155" s="181"/>
      <c r="BL155" s="181"/>
      <c r="BM155" s="181"/>
      <c r="BN155" s="181"/>
      <c r="BO155" s="182"/>
      <c r="BP155" s="68"/>
      <c r="BQ155" s="68"/>
      <c r="BR155" s="68"/>
      <c r="BS155" s="68"/>
      <c r="BT155" s="161"/>
      <c r="BU155" s="161"/>
      <c r="BV155" s="161"/>
      <c r="BW155" s="161"/>
      <c r="BX155" s="161"/>
      <c r="BY155" s="49"/>
      <c r="BZ155" s="49">
        <f t="shared" ref="BZ155" si="595">SUM(AM155:AP155)</f>
        <v>2923</v>
      </c>
      <c r="CA155" s="49">
        <f t="shared" ref="CA155" si="596">SUM(AQ155:AT155)</f>
        <v>3298</v>
      </c>
      <c r="CB155" s="49">
        <f t="shared" ref="CB155" si="597">SUM(AU155:AX155)</f>
        <v>1969</v>
      </c>
      <c r="CC155" s="49"/>
      <c r="CD155" s="49"/>
      <c r="CE155" s="49"/>
      <c r="CF155" s="49"/>
      <c r="CG155" s="31"/>
      <c r="CH155" s="31"/>
      <c r="CI155" s="31"/>
    </row>
    <row r="156" spans="1:87" s="37" customFormat="1" ht="12.75" customHeight="1" outlineLevel="1">
      <c r="A156" s="73" t="s">
        <v>0</v>
      </c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 t="s">
        <v>17</v>
      </c>
      <c r="AK156" s="34" t="s">
        <v>17</v>
      </c>
      <c r="AL156" s="34" t="s">
        <v>17</v>
      </c>
      <c r="AM156" s="34" t="s">
        <v>17</v>
      </c>
      <c r="AN156" s="34">
        <f t="shared" ref="AN156" si="598">AN155/AM155-1</f>
        <v>-0.21304926764314247</v>
      </c>
      <c r="AO156" s="34">
        <f t="shared" ref="AO156" si="599">AO155/AN155-1</f>
        <v>0.24365482233502544</v>
      </c>
      <c r="AP156" s="34">
        <f t="shared" ref="AP156" si="600">AP155/AO155-1</f>
        <v>0.15102040816326534</v>
      </c>
      <c r="AQ156" s="34">
        <f t="shared" ref="AQ156" si="601">AQ155/AP155-1</f>
        <v>6.1465721040189214E-2</v>
      </c>
      <c r="AR156" s="34">
        <f t="shared" ref="AR156" si="602">AR155/AQ155-1</f>
        <v>-0.24164810690423166</v>
      </c>
      <c r="AS156" s="34">
        <f t="shared" ref="AS156" si="603">AS155/AR155-1</f>
        <v>0.16740088105726869</v>
      </c>
      <c r="AT156" s="34">
        <f t="shared" ref="AT156" si="604">AT155/AS155-1</f>
        <v>0.16226415094339619</v>
      </c>
      <c r="AU156" s="34">
        <f t="shared" ref="AU156:AV156" si="605">AU155/AT155-1</f>
        <v>9.4155844155844104E-2</v>
      </c>
      <c r="AV156" s="34">
        <f t="shared" si="605"/>
        <v>-5.2423343224530128E-2</v>
      </c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40"/>
      <c r="BP156" s="35"/>
      <c r="BQ156" s="35"/>
      <c r="BR156" s="35"/>
      <c r="BS156" s="35"/>
      <c r="BT156" s="35"/>
      <c r="BU156" s="35"/>
      <c r="BV156" s="35"/>
      <c r="BW156" s="35"/>
      <c r="BX156" s="35"/>
      <c r="BY156" s="35"/>
      <c r="BZ156" s="35" t="s">
        <v>17</v>
      </c>
      <c r="CA156" s="35" t="s">
        <v>17</v>
      </c>
      <c r="CB156" s="35" t="s">
        <v>17</v>
      </c>
      <c r="CC156" s="35"/>
      <c r="CD156" s="35"/>
      <c r="CE156" s="35"/>
      <c r="CF156" s="35"/>
      <c r="CG156" s="36"/>
      <c r="CH156" s="36"/>
      <c r="CI156" s="36"/>
    </row>
    <row r="157" spans="1:87" s="37" customFormat="1" ht="12.75" customHeight="1" outlineLevel="1">
      <c r="A157" s="73" t="s">
        <v>1</v>
      </c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 t="s">
        <v>17</v>
      </c>
      <c r="AK157" s="34" t="s">
        <v>17</v>
      </c>
      <c r="AL157" s="34" t="s">
        <v>17</v>
      </c>
      <c r="AM157" s="34">
        <f t="shared" ref="AM157" si="606">AM155/AI155-1</f>
        <v>0.18641390205371255</v>
      </c>
      <c r="AN157" s="34">
        <f t="shared" ref="AN157" si="607">AN155/AJ155-1</f>
        <v>0.38084112149532712</v>
      </c>
      <c r="AO157" s="34">
        <f t="shared" ref="AO157" si="608">AO155/AK155-1</f>
        <v>0.38418079096045199</v>
      </c>
      <c r="AP157" s="34">
        <f t="shared" ref="AP157" si="609">AP155/AL155-1</f>
        <v>0.14170040485829949</v>
      </c>
      <c r="AQ157" s="34">
        <f t="shared" ref="AQ157:AV157" si="610">AQ155/AM155-1</f>
        <v>0.19573901464713717</v>
      </c>
      <c r="AR157" s="34">
        <f t="shared" si="610"/>
        <v>0.15228426395939088</v>
      </c>
      <c r="AS157" s="34">
        <f t="shared" si="610"/>
        <v>8.163265306122458E-2</v>
      </c>
      <c r="AT157" s="34">
        <f t="shared" si="610"/>
        <v>9.219858156028371E-2</v>
      </c>
      <c r="AU157" s="34">
        <f t="shared" si="610"/>
        <v>0.12583518930957682</v>
      </c>
      <c r="AV157" s="34">
        <f t="shared" si="610"/>
        <v>0.40675477239353897</v>
      </c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40"/>
      <c r="BP157" s="35"/>
      <c r="BQ157" s="35"/>
      <c r="BR157" s="35"/>
      <c r="BS157" s="35"/>
      <c r="BT157" s="35"/>
      <c r="BU157" s="35"/>
      <c r="BV157" s="35"/>
      <c r="BW157" s="35"/>
      <c r="BX157" s="35"/>
      <c r="BY157" s="35"/>
      <c r="BZ157" s="35" t="s">
        <v>17</v>
      </c>
      <c r="CA157" s="35">
        <f t="shared" ref="CA157" si="611">CA155/BZ155-1</f>
        <v>0.1282928498118372</v>
      </c>
      <c r="CB157" s="35">
        <f t="shared" ref="CB157" si="612">CB155/CA155-1</f>
        <v>-0.40297149787750153</v>
      </c>
      <c r="CC157" s="35"/>
      <c r="CD157" s="35"/>
      <c r="CE157" s="35"/>
      <c r="CF157" s="35"/>
      <c r="CG157" s="36"/>
      <c r="CH157" s="36"/>
      <c r="CI157" s="36"/>
    </row>
    <row r="158" spans="1:87" s="84" customFormat="1" ht="12.75" customHeight="1" outlineLevel="1">
      <c r="A158" s="74" t="s">
        <v>413</v>
      </c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81">
        <f t="shared" ref="AI158" si="613">AI155/AI150</f>
        <v>0.73094688221709003</v>
      </c>
      <c r="AJ158" s="81">
        <f t="shared" ref="AJ158:AL158" si="614">AJ155/AJ150</f>
        <v>0.66049382716049387</v>
      </c>
      <c r="AK158" s="81">
        <f t="shared" si="614"/>
        <v>0.7457865168539326</v>
      </c>
      <c r="AL158" s="81">
        <f t="shared" si="614"/>
        <v>0.79591836734693877</v>
      </c>
      <c r="AM158" s="81">
        <f t="shared" ref="AM158:AT158" si="615">AM155/AM150</f>
        <v>0.79303062302006333</v>
      </c>
      <c r="AN158" s="81">
        <f t="shared" si="615"/>
        <v>0.76953125</v>
      </c>
      <c r="AO158" s="81">
        <f t="shared" si="615"/>
        <v>0.81305309734513276</v>
      </c>
      <c r="AP158" s="81">
        <f t="shared" si="615"/>
        <v>0.8205625606207565</v>
      </c>
      <c r="AQ158" s="81">
        <f t="shared" si="615"/>
        <v>0.8163636363636364</v>
      </c>
      <c r="AR158" s="81">
        <f t="shared" si="615"/>
        <v>0.78365937859608747</v>
      </c>
      <c r="AS158" s="81">
        <f t="shared" si="615"/>
        <v>0.83596214511041012</v>
      </c>
      <c r="AT158" s="81">
        <f t="shared" si="615"/>
        <v>0.84306569343065696</v>
      </c>
      <c r="AU158" s="81">
        <f>AU155/AU150</f>
        <v>0.82262001627339298</v>
      </c>
      <c r="AV158" s="81">
        <f>AV155/AV150</f>
        <v>0.79239040529363114</v>
      </c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40"/>
      <c r="BP158" s="35"/>
      <c r="BQ158" s="35"/>
      <c r="BR158" s="35"/>
      <c r="BS158" s="35"/>
      <c r="BT158" s="35"/>
      <c r="BU158" s="35"/>
      <c r="BV158" s="35"/>
      <c r="BW158" s="35"/>
      <c r="BX158" s="35"/>
      <c r="BY158" s="35"/>
      <c r="BZ158" s="35"/>
      <c r="CA158" s="35"/>
      <c r="CB158" s="35"/>
      <c r="CC158" s="35"/>
      <c r="CD158" s="35"/>
      <c r="CE158" s="35"/>
      <c r="CF158" s="35"/>
      <c r="CG158" s="82"/>
      <c r="CH158" s="83"/>
      <c r="CI158" s="83"/>
    </row>
    <row r="159" spans="1:87" s="32" customFormat="1" ht="12.75" customHeight="1" outlineLevel="1">
      <c r="A159" s="162"/>
      <c r="B159" s="180"/>
      <c r="C159" s="180"/>
      <c r="D159" s="180"/>
      <c r="E159" s="180"/>
      <c r="F159" s="180"/>
      <c r="G159" s="180"/>
      <c r="H159" s="180"/>
      <c r="I159" s="180"/>
      <c r="J159" s="180"/>
      <c r="K159" s="180"/>
      <c r="L159" s="180"/>
      <c r="M159" s="180"/>
      <c r="N159" s="180"/>
      <c r="O159" s="180"/>
      <c r="P159" s="180"/>
      <c r="Q159" s="180"/>
      <c r="R159" s="180"/>
      <c r="S159" s="180"/>
      <c r="T159" s="180"/>
      <c r="U159" s="180"/>
      <c r="V159" s="180"/>
      <c r="W159" s="180"/>
      <c r="X159" s="180"/>
      <c r="Y159" s="180"/>
      <c r="Z159" s="180"/>
      <c r="AA159" s="180"/>
      <c r="AB159" s="180"/>
      <c r="AC159" s="180"/>
      <c r="AD159" s="180"/>
      <c r="AE159" s="180"/>
      <c r="AF159" s="180"/>
      <c r="AG159" s="180"/>
      <c r="AH159" s="180"/>
      <c r="AI159" s="180"/>
      <c r="AJ159" s="180"/>
      <c r="AK159" s="180"/>
      <c r="AL159" s="180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181"/>
      <c r="AX159" s="181"/>
      <c r="AY159" s="181"/>
      <c r="AZ159" s="181"/>
      <c r="BA159" s="181"/>
      <c r="BB159" s="181"/>
      <c r="BC159" s="181"/>
      <c r="BD159" s="181"/>
      <c r="BE159" s="181"/>
      <c r="BF159" s="181"/>
      <c r="BG159" s="181"/>
      <c r="BH159" s="181"/>
      <c r="BI159" s="181"/>
      <c r="BJ159" s="181"/>
      <c r="BK159" s="181"/>
      <c r="BL159" s="181"/>
      <c r="BM159" s="181"/>
      <c r="BN159" s="181"/>
      <c r="BO159" s="182"/>
      <c r="BP159" s="68"/>
      <c r="BQ159" s="68"/>
      <c r="BR159" s="68"/>
      <c r="BS159" s="68"/>
      <c r="BT159" s="161"/>
      <c r="BU159" s="161"/>
      <c r="BV159" s="161"/>
      <c r="BW159" s="161"/>
      <c r="BX159" s="161"/>
      <c r="BY159" s="161"/>
      <c r="BZ159" s="161"/>
      <c r="CA159" s="68"/>
      <c r="CB159" s="68"/>
      <c r="CC159" s="68"/>
      <c r="CD159" s="68"/>
      <c r="CE159" s="68"/>
      <c r="CF159" s="68"/>
      <c r="CG159" s="31"/>
      <c r="CH159" s="31"/>
      <c r="CI159" s="31"/>
    </row>
    <row r="160" spans="1:87" s="32" customFormat="1" ht="12.75" customHeight="1" outlineLevel="1">
      <c r="A160" s="162" t="s">
        <v>251</v>
      </c>
      <c r="B160" s="180"/>
      <c r="C160" s="180"/>
      <c r="D160" s="180"/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0"/>
      <c r="P160" s="180"/>
      <c r="Q160" s="180"/>
      <c r="R160" s="180"/>
      <c r="S160" s="180"/>
      <c r="T160" s="180"/>
      <c r="U160" s="180"/>
      <c r="V160" s="180"/>
      <c r="W160" s="180"/>
      <c r="X160" s="180"/>
      <c r="Y160" s="180"/>
      <c r="Z160" s="180"/>
      <c r="AA160" s="180"/>
      <c r="AB160" s="180"/>
      <c r="AC160" s="180"/>
      <c r="AD160" s="180"/>
      <c r="AE160" s="27">
        <f t="shared" ref="AE160:AL160" si="616">AE168</f>
        <v>171</v>
      </c>
      <c r="AF160" s="27">
        <f t="shared" si="616"/>
        <v>162</v>
      </c>
      <c r="AG160" s="27">
        <f t="shared" si="616"/>
        <v>166</v>
      </c>
      <c r="AH160" s="27">
        <f t="shared" si="616"/>
        <v>173</v>
      </c>
      <c r="AI160" s="27">
        <f t="shared" si="616"/>
        <v>233</v>
      </c>
      <c r="AJ160" s="27">
        <f t="shared" si="616"/>
        <v>220</v>
      </c>
      <c r="AK160" s="27">
        <f t="shared" si="616"/>
        <v>181</v>
      </c>
      <c r="AL160" s="27">
        <f t="shared" si="616"/>
        <v>190</v>
      </c>
      <c r="AM160" s="27">
        <f t="shared" ref="AM160:AT160" si="617">AM168</f>
        <v>196</v>
      </c>
      <c r="AN160" s="27">
        <f t="shared" si="617"/>
        <v>177</v>
      </c>
      <c r="AO160" s="27">
        <f t="shared" si="617"/>
        <v>169</v>
      </c>
      <c r="AP160" s="27">
        <f t="shared" si="617"/>
        <v>185</v>
      </c>
      <c r="AQ160" s="27">
        <f t="shared" si="617"/>
        <v>202</v>
      </c>
      <c r="AR160" s="27">
        <f t="shared" si="617"/>
        <v>188</v>
      </c>
      <c r="AS160" s="27">
        <f t="shared" si="617"/>
        <v>156</v>
      </c>
      <c r="AT160" s="27">
        <f t="shared" si="617"/>
        <v>172</v>
      </c>
      <c r="AU160" s="27">
        <f>AU168</f>
        <v>218</v>
      </c>
      <c r="AV160" s="27">
        <f>AV168</f>
        <v>251</v>
      </c>
      <c r="AW160" s="181"/>
      <c r="AX160" s="181"/>
      <c r="AY160" s="181"/>
      <c r="AZ160" s="181"/>
      <c r="BA160" s="181"/>
      <c r="BB160" s="181"/>
      <c r="BC160" s="181"/>
      <c r="BD160" s="181"/>
      <c r="BE160" s="181"/>
      <c r="BF160" s="181"/>
      <c r="BG160" s="181"/>
      <c r="BH160" s="181"/>
      <c r="BI160" s="181"/>
      <c r="BJ160" s="181"/>
      <c r="BK160" s="181"/>
      <c r="BL160" s="181"/>
      <c r="BM160" s="181"/>
      <c r="BN160" s="181"/>
      <c r="BO160" s="182"/>
      <c r="BP160" s="68"/>
      <c r="BQ160" s="68"/>
      <c r="BR160" s="68"/>
      <c r="BS160" s="68"/>
      <c r="BT160" s="161"/>
      <c r="BU160" s="161"/>
      <c r="BV160" s="161"/>
      <c r="BW160" s="161"/>
      <c r="BX160" s="161"/>
      <c r="BY160" s="161"/>
      <c r="BZ160" s="49">
        <f t="shared" ref="BZ160" si="618">SUM(AM160:AP160)</f>
        <v>727</v>
      </c>
      <c r="CA160" s="49">
        <f t="shared" ref="CA160" si="619">SUM(AQ160:AT160)</f>
        <v>718</v>
      </c>
      <c r="CB160" s="49">
        <f t="shared" ref="CB160" si="620">SUM(AU160:AX160)</f>
        <v>469</v>
      </c>
      <c r="CC160" s="49"/>
      <c r="CD160" s="49"/>
      <c r="CE160" s="49"/>
      <c r="CF160" s="49"/>
      <c r="CG160" s="31"/>
      <c r="CH160" s="31"/>
      <c r="CI160" s="31"/>
    </row>
    <row r="161" spans="1:87" s="37" customFormat="1" ht="12.75" customHeight="1" outlineLevel="1">
      <c r="A161" s="73" t="s">
        <v>0</v>
      </c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 t="s">
        <v>17</v>
      </c>
      <c r="AF161" s="34" t="s">
        <v>17</v>
      </c>
      <c r="AG161" s="34" t="s">
        <v>17</v>
      </c>
      <c r="AH161" s="34" t="s">
        <v>17</v>
      </c>
      <c r="AI161" s="34" t="s">
        <v>17</v>
      </c>
      <c r="AJ161" s="34" t="s">
        <v>17</v>
      </c>
      <c r="AK161" s="34" t="s">
        <v>17</v>
      </c>
      <c r="AL161" s="34" t="s">
        <v>17</v>
      </c>
      <c r="AM161" s="34" t="s">
        <v>17</v>
      </c>
      <c r="AN161" s="34">
        <f t="shared" ref="AN161" si="621">AN160/AM160-1</f>
        <v>-9.6938775510204134E-2</v>
      </c>
      <c r="AO161" s="34">
        <f t="shared" ref="AO161" si="622">AO160/AN160-1</f>
        <v>-4.5197740112994378E-2</v>
      </c>
      <c r="AP161" s="34">
        <f t="shared" ref="AP161" si="623">AP160/AO160-1</f>
        <v>9.4674556213017791E-2</v>
      </c>
      <c r="AQ161" s="34">
        <f t="shared" ref="AQ161" si="624">AQ160/AP160-1</f>
        <v>9.1891891891891841E-2</v>
      </c>
      <c r="AR161" s="34">
        <f t="shared" ref="AR161" si="625">AR160/AQ160-1</f>
        <v>-6.9306930693069257E-2</v>
      </c>
      <c r="AS161" s="34">
        <f t="shared" ref="AS161" si="626">AS160/AR160-1</f>
        <v>-0.17021276595744683</v>
      </c>
      <c r="AT161" s="34">
        <f t="shared" ref="AT161" si="627">AT160/AS160-1</f>
        <v>0.10256410256410264</v>
      </c>
      <c r="AU161" s="34">
        <f t="shared" ref="AU161:AV161" si="628">AU160/AT160-1</f>
        <v>0.26744186046511631</v>
      </c>
      <c r="AV161" s="34">
        <f t="shared" si="628"/>
        <v>0.15137614678899092</v>
      </c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40"/>
      <c r="BP161" s="35"/>
      <c r="BQ161" s="35"/>
      <c r="BR161" s="35"/>
      <c r="BS161" s="35"/>
      <c r="BT161" s="35"/>
      <c r="BU161" s="35"/>
      <c r="BV161" s="35"/>
      <c r="BW161" s="35"/>
      <c r="BX161" s="35"/>
      <c r="BY161" s="35"/>
      <c r="BZ161" s="35" t="s">
        <v>17</v>
      </c>
      <c r="CA161" s="35" t="s">
        <v>17</v>
      </c>
      <c r="CB161" s="35" t="s">
        <v>17</v>
      </c>
      <c r="CC161" s="35"/>
      <c r="CD161" s="35"/>
      <c r="CE161" s="35"/>
      <c r="CF161" s="35"/>
      <c r="CG161" s="36"/>
      <c r="CH161" s="36"/>
      <c r="CI161" s="36"/>
    </row>
    <row r="162" spans="1:87" s="37" customFormat="1" ht="12.75" customHeight="1" outlineLevel="1">
      <c r="A162" s="73" t="s">
        <v>1</v>
      </c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 t="s">
        <v>17</v>
      </c>
      <c r="AF162" s="34" t="s">
        <v>17</v>
      </c>
      <c r="AG162" s="34" t="s">
        <v>17</v>
      </c>
      <c r="AH162" s="34" t="s">
        <v>17</v>
      </c>
      <c r="AI162" s="34" t="s">
        <v>17</v>
      </c>
      <c r="AJ162" s="34" t="s">
        <v>17</v>
      </c>
      <c r="AK162" s="34" t="s">
        <v>17</v>
      </c>
      <c r="AL162" s="34" t="s">
        <v>17</v>
      </c>
      <c r="AM162" s="34" t="s">
        <v>17</v>
      </c>
      <c r="AN162" s="34" t="s">
        <v>17</v>
      </c>
      <c r="AO162" s="34" t="s">
        <v>17</v>
      </c>
      <c r="AP162" s="34" t="s">
        <v>17</v>
      </c>
      <c r="AQ162" s="34">
        <f t="shared" ref="AQ162:AV162" si="629">AQ160/AM160-1</f>
        <v>3.0612244897959107E-2</v>
      </c>
      <c r="AR162" s="34">
        <f t="shared" si="629"/>
        <v>6.2146892655367214E-2</v>
      </c>
      <c r="AS162" s="34">
        <f t="shared" si="629"/>
        <v>-7.6923076923076872E-2</v>
      </c>
      <c r="AT162" s="34">
        <f t="shared" si="629"/>
        <v>-7.0270270270270219E-2</v>
      </c>
      <c r="AU162" s="34">
        <f t="shared" si="629"/>
        <v>7.9207920792079278E-2</v>
      </c>
      <c r="AV162" s="34">
        <f t="shared" si="629"/>
        <v>0.33510638297872331</v>
      </c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40"/>
      <c r="BP162" s="35"/>
      <c r="BQ162" s="35"/>
      <c r="BR162" s="35"/>
      <c r="BS162" s="35"/>
      <c r="BT162" s="35"/>
      <c r="BU162" s="35"/>
      <c r="BV162" s="35"/>
      <c r="BW162" s="35"/>
      <c r="BX162" s="35"/>
      <c r="BY162" s="35"/>
      <c r="BZ162" s="35" t="s">
        <v>17</v>
      </c>
      <c r="CA162" s="35">
        <f t="shared" ref="CA162" si="630">CA160/BZ160-1</f>
        <v>-1.2379642365887178E-2</v>
      </c>
      <c r="CB162" s="35">
        <f t="shared" ref="CB162" si="631">CB160/CA160-1</f>
        <v>-0.34679665738161558</v>
      </c>
      <c r="CC162" s="35"/>
      <c r="CD162" s="35"/>
      <c r="CE162" s="35"/>
      <c r="CF162" s="35"/>
      <c r="CG162" s="36"/>
      <c r="CH162" s="36"/>
      <c r="CI162" s="36"/>
    </row>
    <row r="163" spans="1:87" s="84" customFormat="1" ht="12.75" customHeight="1" outlineLevel="1">
      <c r="A163" s="74" t="s">
        <v>413</v>
      </c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81" t="e">
        <f t="shared" ref="AE163:AL163" si="632">AE160/AE150</f>
        <v>#DIV/0!</v>
      </c>
      <c r="AF163" s="81" t="e">
        <f t="shared" si="632"/>
        <v>#DIV/0!</v>
      </c>
      <c r="AG163" s="81" t="e">
        <f t="shared" si="632"/>
        <v>#DIV/0!</v>
      </c>
      <c r="AH163" s="81" t="e">
        <f t="shared" si="632"/>
        <v>#DIV/0!</v>
      </c>
      <c r="AI163" s="81">
        <f t="shared" si="632"/>
        <v>0.26905311778290991</v>
      </c>
      <c r="AJ163" s="81">
        <f t="shared" si="632"/>
        <v>0.33950617283950618</v>
      </c>
      <c r="AK163" s="81">
        <f t="shared" si="632"/>
        <v>0.2542134831460674</v>
      </c>
      <c r="AL163" s="81">
        <f t="shared" si="632"/>
        <v>0.20408163265306123</v>
      </c>
      <c r="AM163" s="81">
        <f>AM160/AM150</f>
        <v>0.20696937697993664</v>
      </c>
      <c r="AN163" s="81">
        <f t="shared" ref="AN163:AU163" si="633">AN160/AN150</f>
        <v>0.23046875</v>
      </c>
      <c r="AO163" s="81">
        <f t="shared" si="633"/>
        <v>0.18694690265486727</v>
      </c>
      <c r="AP163" s="81">
        <f t="shared" si="633"/>
        <v>0.17943743937924345</v>
      </c>
      <c r="AQ163" s="81">
        <f t="shared" si="633"/>
        <v>0.18363636363636363</v>
      </c>
      <c r="AR163" s="81">
        <f t="shared" si="633"/>
        <v>0.21634062140391255</v>
      </c>
      <c r="AS163" s="81">
        <f t="shared" si="633"/>
        <v>0.16403785488958991</v>
      </c>
      <c r="AT163" s="81">
        <f t="shared" si="633"/>
        <v>0.15693430656934307</v>
      </c>
      <c r="AU163" s="81">
        <f t="shared" si="633"/>
        <v>0.17737998372660699</v>
      </c>
      <c r="AV163" s="81">
        <f t="shared" ref="AV163" si="634">AV160/AV150</f>
        <v>0.20760959470636889</v>
      </c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40"/>
      <c r="BP163" s="35"/>
      <c r="BQ163" s="35"/>
      <c r="BR163" s="35"/>
      <c r="BS163" s="35"/>
      <c r="BT163" s="35"/>
      <c r="BU163" s="35"/>
      <c r="BV163" s="35"/>
      <c r="BW163" s="35"/>
      <c r="BX163" s="35"/>
      <c r="BY163" s="35"/>
      <c r="BZ163" s="35"/>
      <c r="CA163" s="35"/>
      <c r="CB163" s="35"/>
      <c r="CC163" s="35"/>
      <c r="CD163" s="35"/>
      <c r="CE163" s="35"/>
      <c r="CF163" s="35"/>
      <c r="CG163" s="82"/>
      <c r="CH163" s="83"/>
      <c r="CI163" s="83"/>
    </row>
    <row r="164" spans="1:87" s="32" customFormat="1" ht="12.75" customHeight="1">
      <c r="A164" s="42"/>
      <c r="B164" s="180"/>
      <c r="C164" s="180"/>
      <c r="D164" s="180"/>
      <c r="E164" s="180"/>
      <c r="F164" s="180"/>
      <c r="G164" s="180"/>
      <c r="H164" s="180"/>
      <c r="I164" s="180"/>
      <c r="J164" s="180"/>
      <c r="K164" s="180"/>
      <c r="L164" s="180"/>
      <c r="M164" s="180"/>
      <c r="N164" s="180"/>
      <c r="O164" s="180"/>
      <c r="P164" s="180"/>
      <c r="Q164" s="180"/>
      <c r="R164" s="180"/>
      <c r="S164" s="180"/>
      <c r="T164" s="180"/>
      <c r="U164" s="180"/>
      <c r="V164" s="180"/>
      <c r="W164" s="180"/>
      <c r="X164" s="180"/>
      <c r="Y164" s="180"/>
      <c r="Z164" s="180"/>
      <c r="AA164" s="180"/>
      <c r="AB164" s="180"/>
      <c r="AC164" s="180"/>
      <c r="AD164" s="180"/>
      <c r="AE164" s="180"/>
      <c r="AF164" s="180"/>
      <c r="AG164" s="180"/>
      <c r="AH164" s="180"/>
      <c r="AI164" s="180"/>
      <c r="AJ164" s="180"/>
      <c r="AK164" s="180"/>
      <c r="AL164" s="180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181"/>
      <c r="AX164" s="181"/>
      <c r="AY164" s="181"/>
      <c r="AZ164" s="181"/>
      <c r="BA164" s="181"/>
      <c r="BB164" s="181"/>
      <c r="BC164" s="181"/>
      <c r="BD164" s="181"/>
      <c r="BE164" s="181"/>
      <c r="BF164" s="181"/>
      <c r="BG164" s="181"/>
      <c r="BH164" s="181"/>
      <c r="BI164" s="181"/>
      <c r="BJ164" s="181"/>
      <c r="BK164" s="181"/>
      <c r="BL164" s="181"/>
      <c r="BM164" s="181"/>
      <c r="BN164" s="181"/>
      <c r="BO164" s="182"/>
      <c r="BP164" s="68"/>
      <c r="BQ164" s="68"/>
      <c r="BR164" s="68"/>
      <c r="BS164" s="68"/>
      <c r="BT164" s="161"/>
      <c r="BU164" s="161"/>
      <c r="BV164" s="161"/>
      <c r="BW164" s="161"/>
      <c r="BX164" s="161"/>
      <c r="BY164" s="161"/>
      <c r="BZ164" s="161"/>
      <c r="CA164" s="68"/>
      <c r="CB164" s="68"/>
      <c r="CC164" s="68"/>
      <c r="CD164" s="68"/>
      <c r="CE164" s="68"/>
      <c r="CF164" s="68"/>
      <c r="CG164" s="31"/>
      <c r="CH164" s="31"/>
      <c r="CI164" s="31"/>
    </row>
    <row r="165" spans="1:87" s="37" customFormat="1" ht="12.75" customHeight="1">
      <c r="A165" s="38" t="s">
        <v>412</v>
      </c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40"/>
      <c r="BP165" s="35"/>
      <c r="BQ165" s="35"/>
      <c r="BR165" s="35"/>
      <c r="BS165" s="35"/>
      <c r="BT165" s="35"/>
      <c r="BU165" s="35"/>
      <c r="BV165" s="35"/>
      <c r="BW165" s="35"/>
      <c r="BX165" s="35"/>
      <c r="BY165" s="35"/>
      <c r="BZ165" s="35"/>
      <c r="CA165" s="35"/>
      <c r="CB165" s="35"/>
      <c r="CC165" s="35"/>
      <c r="CD165" s="35"/>
      <c r="CE165" s="35"/>
      <c r="CF165" s="35"/>
      <c r="CG165" s="36"/>
      <c r="CH165" s="36"/>
      <c r="CI165" s="36"/>
    </row>
    <row r="166" spans="1:87" s="50" customFormat="1" ht="12.75" customHeight="1" outlineLevel="1">
      <c r="A166" s="42" t="s">
        <v>249</v>
      </c>
      <c r="B166" s="44"/>
      <c r="C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>
        <v>1034</v>
      </c>
      <c r="AF166" s="44">
        <v>595</v>
      </c>
      <c r="AG166" s="44">
        <v>810</v>
      </c>
      <c r="AH166" s="44">
        <v>1196</v>
      </c>
      <c r="AI166" s="44">
        <v>705</v>
      </c>
      <c r="AJ166" s="44">
        <v>917</v>
      </c>
      <c r="AK166" s="44">
        <v>885</v>
      </c>
      <c r="AL166" s="44">
        <v>826</v>
      </c>
      <c r="AM166" s="44">
        <v>760</v>
      </c>
      <c r="AN166" s="44">
        <v>923</v>
      </c>
      <c r="AO166" s="44">
        <v>1163</v>
      </c>
      <c r="AP166" s="44">
        <v>928</v>
      </c>
      <c r="AQ166" s="44">
        <v>932</v>
      </c>
      <c r="AR166" s="44">
        <v>714</v>
      </c>
      <c r="AS166" s="44">
        <v>1191</v>
      </c>
      <c r="AT166" s="44">
        <v>879</v>
      </c>
      <c r="AU166" s="44">
        <v>972</v>
      </c>
      <c r="AV166" s="44">
        <v>1198</v>
      </c>
      <c r="AW166" s="45"/>
      <c r="AX166" s="45"/>
      <c r="AY166" s="45"/>
      <c r="AZ166" s="45"/>
      <c r="BA166" s="45"/>
      <c r="BB166" s="45"/>
      <c r="BC166" s="45"/>
      <c r="BD166" s="45"/>
      <c r="BE166" s="45"/>
      <c r="BF166" s="45"/>
      <c r="BG166" s="45"/>
      <c r="BH166" s="45"/>
      <c r="BI166" s="45"/>
      <c r="BJ166" s="45"/>
      <c r="BK166" s="45"/>
      <c r="BL166" s="45"/>
      <c r="BM166" s="45"/>
      <c r="BN166" s="45"/>
      <c r="BO166" s="45"/>
      <c r="BP166" s="44"/>
      <c r="BQ166" s="161"/>
      <c r="BR166" s="161"/>
      <c r="BS166" s="161"/>
      <c r="BT166" s="161"/>
      <c r="BU166" s="161"/>
      <c r="BV166" s="161"/>
      <c r="BW166" s="161"/>
      <c r="BX166" s="161"/>
      <c r="BY166" s="161"/>
      <c r="BZ166" s="49">
        <f t="shared" ref="BZ166:BZ168" si="635">SUM(AM166:AP166)</f>
        <v>3774</v>
      </c>
      <c r="CA166" s="49">
        <f t="shared" ref="CA166:CA168" si="636">SUM(AQ166:AT166)</f>
        <v>3716</v>
      </c>
      <c r="CB166" s="49">
        <f t="shared" ref="CB166:CB168" si="637">SUM(AU166:AX166)</f>
        <v>2170</v>
      </c>
      <c r="CC166" s="49"/>
      <c r="CD166" s="49"/>
      <c r="CE166" s="49"/>
      <c r="CF166" s="49"/>
      <c r="CG166" s="43"/>
      <c r="CH166" s="43"/>
      <c r="CI166" s="43"/>
    </row>
    <row r="167" spans="1:87" s="50" customFormat="1" ht="12.75" customHeight="1" outlineLevel="1">
      <c r="A167" s="42" t="s">
        <v>250</v>
      </c>
      <c r="B167" s="44"/>
      <c r="C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>
        <v>244</v>
      </c>
      <c r="AF167" s="44">
        <v>202</v>
      </c>
      <c r="AG167" s="44">
        <v>184</v>
      </c>
      <c r="AH167" s="44">
        <v>213</v>
      </c>
      <c r="AI167" s="44">
        <v>199</v>
      </c>
      <c r="AJ167" s="44">
        <v>149</v>
      </c>
      <c r="AK167" s="44">
        <v>223</v>
      </c>
      <c r="AL167" s="44">
        <v>222</v>
      </c>
      <c r="AM167" s="44">
        <v>253</v>
      </c>
      <c r="AN167" s="44">
        <v>248</v>
      </c>
      <c r="AO167" s="44">
        <v>261</v>
      </c>
      <c r="AP167" s="44">
        <v>274</v>
      </c>
      <c r="AQ167" s="44">
        <v>325</v>
      </c>
      <c r="AR167" s="44">
        <v>249</v>
      </c>
      <c r="AS167" s="44">
        <v>326</v>
      </c>
      <c r="AT167" s="44">
        <v>295</v>
      </c>
      <c r="AU167" s="44">
        <v>361</v>
      </c>
      <c r="AV167" s="44">
        <v>377</v>
      </c>
      <c r="AW167" s="45"/>
      <c r="AX167" s="45"/>
      <c r="AY167" s="45"/>
      <c r="AZ167" s="45"/>
      <c r="BA167" s="45"/>
      <c r="BB167" s="45"/>
      <c r="BC167" s="45"/>
      <c r="BD167" s="45"/>
      <c r="BE167" s="45"/>
      <c r="BF167" s="45"/>
      <c r="BG167" s="45"/>
      <c r="BH167" s="45"/>
      <c r="BI167" s="45"/>
      <c r="BJ167" s="45"/>
      <c r="BK167" s="45"/>
      <c r="BL167" s="45"/>
      <c r="BM167" s="45"/>
      <c r="BN167" s="45"/>
      <c r="BO167" s="45"/>
      <c r="BP167" s="44"/>
      <c r="BQ167" s="161"/>
      <c r="BR167" s="161"/>
      <c r="BS167" s="161"/>
      <c r="BT167" s="161"/>
      <c r="BU167" s="161"/>
      <c r="BV167" s="161"/>
      <c r="BW167" s="161"/>
      <c r="BX167" s="161"/>
      <c r="BY167" s="161"/>
      <c r="BZ167" s="49">
        <f t="shared" si="635"/>
        <v>1036</v>
      </c>
      <c r="CA167" s="49">
        <f t="shared" si="636"/>
        <v>1195</v>
      </c>
      <c r="CB167" s="49">
        <f t="shared" si="637"/>
        <v>738</v>
      </c>
      <c r="CC167" s="49"/>
      <c r="CD167" s="49"/>
      <c r="CE167" s="49"/>
      <c r="CF167" s="49"/>
      <c r="CG167" s="43"/>
      <c r="CH167" s="43"/>
      <c r="CI167" s="43"/>
    </row>
    <row r="168" spans="1:87" s="50" customFormat="1" ht="12.75" customHeight="1" outlineLevel="1">
      <c r="A168" s="42" t="s">
        <v>251</v>
      </c>
      <c r="B168" s="44"/>
      <c r="C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>
        <v>171</v>
      </c>
      <c r="AF168" s="44">
        <v>162</v>
      </c>
      <c r="AG168" s="44">
        <v>166</v>
      </c>
      <c r="AH168" s="44">
        <v>173</v>
      </c>
      <c r="AI168" s="44">
        <v>233</v>
      </c>
      <c r="AJ168" s="44">
        <v>220</v>
      </c>
      <c r="AK168" s="44">
        <v>181</v>
      </c>
      <c r="AL168" s="44">
        <v>190</v>
      </c>
      <c r="AM168" s="44">
        <v>196</v>
      </c>
      <c r="AN168" s="44">
        <v>177</v>
      </c>
      <c r="AO168" s="44">
        <v>169</v>
      </c>
      <c r="AP168" s="44">
        <v>185</v>
      </c>
      <c r="AQ168" s="44">
        <v>202</v>
      </c>
      <c r="AR168" s="44">
        <v>188</v>
      </c>
      <c r="AS168" s="44">
        <v>156</v>
      </c>
      <c r="AT168" s="44">
        <v>172</v>
      </c>
      <c r="AU168" s="44">
        <v>218</v>
      </c>
      <c r="AV168" s="44">
        <v>251</v>
      </c>
      <c r="AW168" s="45"/>
      <c r="AX168" s="45"/>
      <c r="AY168" s="45"/>
      <c r="AZ168" s="45"/>
      <c r="BA168" s="45"/>
      <c r="BB168" s="45"/>
      <c r="BC168" s="45"/>
      <c r="BD168" s="45"/>
      <c r="BE168" s="45"/>
      <c r="BF168" s="45"/>
      <c r="BG168" s="45"/>
      <c r="BH168" s="45"/>
      <c r="BI168" s="45"/>
      <c r="BJ168" s="45"/>
      <c r="BK168" s="45"/>
      <c r="BL168" s="45"/>
      <c r="BM168" s="45"/>
      <c r="BN168" s="45"/>
      <c r="BO168" s="45"/>
      <c r="BP168" s="44"/>
      <c r="BQ168" s="161"/>
      <c r="BR168" s="161"/>
      <c r="BS168" s="161"/>
      <c r="BT168" s="161"/>
      <c r="BU168" s="161"/>
      <c r="BV168" s="161"/>
      <c r="BW168" s="161"/>
      <c r="BX168" s="161"/>
      <c r="BY168" s="161"/>
      <c r="BZ168" s="49">
        <f t="shared" si="635"/>
        <v>727</v>
      </c>
      <c r="CA168" s="49">
        <f t="shared" si="636"/>
        <v>718</v>
      </c>
      <c r="CB168" s="49">
        <f t="shared" si="637"/>
        <v>469</v>
      </c>
      <c r="CC168" s="49"/>
      <c r="CD168" s="49"/>
      <c r="CE168" s="49"/>
      <c r="CF168" s="49"/>
      <c r="CG168" s="43"/>
      <c r="CH168" s="43"/>
      <c r="CI168" s="43"/>
    </row>
    <row r="169" spans="1:87" s="50" customFormat="1" ht="12.75" customHeight="1">
      <c r="A169" s="42"/>
      <c r="B169" s="44"/>
      <c r="C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  <c r="AV169" s="45"/>
      <c r="AW169" s="45"/>
      <c r="AX169" s="45"/>
      <c r="AY169" s="45"/>
      <c r="AZ169" s="45"/>
      <c r="BA169" s="45"/>
      <c r="BB169" s="45"/>
      <c r="BC169" s="45"/>
      <c r="BD169" s="45"/>
      <c r="BE169" s="45"/>
      <c r="BF169" s="45"/>
      <c r="BG169" s="45"/>
      <c r="BH169" s="45"/>
      <c r="BI169" s="45"/>
      <c r="BJ169" s="45"/>
      <c r="BK169" s="45"/>
      <c r="BL169" s="45"/>
      <c r="BM169" s="45"/>
      <c r="BN169" s="45"/>
      <c r="BO169" s="45"/>
      <c r="BP169" s="44"/>
      <c r="BQ169" s="161"/>
      <c r="BR169" s="161"/>
      <c r="BS169" s="161"/>
      <c r="BT169" s="161"/>
      <c r="BU169" s="161"/>
      <c r="BV169" s="161"/>
      <c r="BW169" s="161"/>
      <c r="BX169" s="161"/>
      <c r="BY169" s="161"/>
      <c r="BZ169" s="49"/>
      <c r="CA169" s="49"/>
      <c r="CB169" s="49"/>
      <c r="CC169" s="49"/>
      <c r="CD169" s="49"/>
      <c r="CE169" s="49"/>
      <c r="CF169" s="49"/>
      <c r="CG169" s="43"/>
      <c r="CH169" s="43"/>
      <c r="CI169" s="43"/>
    </row>
    <row r="170" spans="1:87">
      <c r="A170" s="11" t="s">
        <v>218</v>
      </c>
    </row>
    <row r="171" spans="1:87" s="106" customFormat="1" ht="12.75" customHeight="1">
      <c r="A171" s="183" t="s">
        <v>252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  <c r="N171" s="101"/>
      <c r="O171" s="101"/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  <c r="Z171" s="101"/>
      <c r="AA171" s="101"/>
      <c r="AB171" s="101"/>
      <c r="AC171" s="101"/>
      <c r="AD171" s="101"/>
      <c r="AE171" s="101"/>
      <c r="AF171" s="101"/>
      <c r="AG171" s="101"/>
      <c r="AH171" s="101"/>
      <c r="AI171" s="101"/>
      <c r="AJ171" s="101"/>
      <c r="AK171" s="101"/>
      <c r="AL171" s="101"/>
      <c r="AM171" s="101"/>
      <c r="AN171" s="101"/>
      <c r="AO171" s="136"/>
      <c r="AP171" s="136"/>
      <c r="AQ171" s="136"/>
      <c r="AR171" s="137"/>
      <c r="AS171" s="137"/>
      <c r="AT171" s="101"/>
      <c r="AU171" s="101"/>
      <c r="AV171" s="101"/>
      <c r="AW171" s="101"/>
      <c r="AX171" s="101"/>
      <c r="AY171" s="101"/>
      <c r="AZ171" s="101"/>
      <c r="BA171" s="101"/>
      <c r="BB171" s="101"/>
      <c r="BC171" s="101"/>
      <c r="BD171" s="101"/>
      <c r="BE171" s="101"/>
      <c r="BF171" s="101"/>
      <c r="BG171" s="101"/>
      <c r="BH171" s="101"/>
      <c r="BI171" s="101"/>
      <c r="BJ171" s="101"/>
      <c r="BK171" s="101"/>
      <c r="BL171" s="101"/>
      <c r="BM171" s="101"/>
      <c r="BN171" s="101"/>
      <c r="BO171" s="101"/>
      <c r="BP171" s="101"/>
      <c r="BQ171" s="101"/>
      <c r="BR171" s="101"/>
      <c r="BS171" s="101"/>
      <c r="BT171" s="101"/>
      <c r="BU171" s="101"/>
      <c r="BV171" s="101"/>
      <c r="BW171" s="101"/>
      <c r="BX171" s="105">
        <v>1180</v>
      </c>
      <c r="BY171" s="105">
        <v>1369</v>
      </c>
      <c r="BZ171" s="105">
        <v>1491</v>
      </c>
      <c r="CA171" s="105">
        <v>1623</v>
      </c>
      <c r="CG171" s="105"/>
      <c r="CH171" s="101"/>
      <c r="CI171" s="101"/>
    </row>
    <row r="172" spans="1:87" s="24" customFormat="1" ht="12.75" customHeight="1">
      <c r="A172" s="184" t="s">
        <v>447</v>
      </c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  <c r="AA172" s="184"/>
      <c r="AB172" s="184"/>
      <c r="AC172" s="184"/>
      <c r="AD172" s="184"/>
      <c r="AE172" s="184"/>
      <c r="AF172" s="184"/>
      <c r="AG172" s="184"/>
      <c r="AH172" s="184"/>
      <c r="AI172" s="184"/>
      <c r="AJ172" s="184"/>
      <c r="AK172" s="184"/>
      <c r="AL172" s="184"/>
      <c r="AM172" s="184"/>
      <c r="AN172" s="184"/>
      <c r="AO172" s="184"/>
      <c r="AP172" s="184"/>
      <c r="AQ172" s="184"/>
      <c r="AR172" s="184"/>
      <c r="AS172" s="184"/>
      <c r="AT172" s="184"/>
      <c r="AU172" s="184"/>
      <c r="AV172" s="184"/>
      <c r="AW172" s="184"/>
      <c r="AX172" s="184"/>
      <c r="AY172" s="184"/>
      <c r="AZ172" s="184"/>
      <c r="BA172" s="184"/>
      <c r="BB172" s="184"/>
      <c r="BC172" s="184"/>
      <c r="BD172" s="184"/>
      <c r="BE172" s="184"/>
      <c r="BF172" s="184"/>
      <c r="BG172" s="184"/>
      <c r="BH172" s="184"/>
      <c r="BI172" s="184"/>
      <c r="BJ172" s="184"/>
      <c r="BK172" s="184"/>
      <c r="BL172" s="184"/>
      <c r="BM172" s="184"/>
      <c r="BN172" s="184"/>
      <c r="BO172" s="184"/>
      <c r="BP172" s="184"/>
      <c r="BQ172" s="184"/>
      <c r="BR172" s="184"/>
      <c r="BS172" s="184"/>
      <c r="BT172" s="184"/>
      <c r="BU172" s="184"/>
      <c r="BV172" s="184"/>
      <c r="BW172" s="184"/>
      <c r="BX172" s="184"/>
      <c r="BY172" s="184"/>
      <c r="BZ172" s="184"/>
      <c r="CA172" s="184"/>
      <c r="CB172" s="184"/>
      <c r="CC172" s="184"/>
      <c r="CD172" s="184"/>
      <c r="CE172" s="184"/>
      <c r="CF172" s="184"/>
    </row>
    <row r="173" spans="1:87" s="37" customFormat="1" ht="12.75" customHeight="1">
      <c r="A173" s="185" t="s">
        <v>449</v>
      </c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70"/>
      <c r="AN173" s="70"/>
      <c r="AO173" s="70"/>
      <c r="AP173" s="70"/>
      <c r="AQ173" s="70"/>
      <c r="AR173" s="70"/>
      <c r="AS173" s="70"/>
      <c r="AT173" s="70"/>
      <c r="AU173" s="70"/>
      <c r="AV173" s="70"/>
      <c r="AW173" s="70"/>
      <c r="AX173" s="70"/>
      <c r="AY173" s="70"/>
      <c r="AZ173" s="70"/>
      <c r="BA173" s="70"/>
      <c r="BB173" s="70"/>
      <c r="BC173" s="70"/>
      <c r="BD173" s="70"/>
      <c r="BE173" s="70"/>
      <c r="BF173" s="70"/>
      <c r="BG173" s="70"/>
      <c r="BH173" s="70"/>
      <c r="BI173" s="70"/>
      <c r="BJ173" s="70"/>
      <c r="BK173" s="70"/>
      <c r="BL173" s="70"/>
      <c r="BM173" s="70"/>
      <c r="BN173" s="70"/>
      <c r="BO173" s="71"/>
      <c r="BP173" s="35"/>
      <c r="BQ173" s="35"/>
      <c r="BR173" s="35"/>
      <c r="BS173" s="35"/>
      <c r="BT173" s="35"/>
      <c r="BU173" s="35"/>
      <c r="BV173" s="35"/>
      <c r="BW173" s="35"/>
      <c r="BX173" s="35"/>
      <c r="BY173" s="35"/>
      <c r="BZ173" s="35"/>
      <c r="CA173" s="35"/>
      <c r="CB173" s="35"/>
      <c r="CC173" s="35"/>
      <c r="CD173" s="35"/>
      <c r="CE173" s="35"/>
      <c r="CF173" s="35"/>
      <c r="CG173" s="36"/>
      <c r="CH173" s="36"/>
      <c r="CI173" s="36"/>
    </row>
    <row r="174" spans="1:87" s="50" customFormat="1" ht="12.75" customHeight="1">
      <c r="A174" s="42" t="s">
        <v>121</v>
      </c>
      <c r="B174" s="44">
        <v>-298</v>
      </c>
      <c r="C174" s="44">
        <v>-222</v>
      </c>
      <c r="D174" s="44">
        <v>-363</v>
      </c>
      <c r="E174" s="44">
        <v>-586</v>
      </c>
      <c r="F174" s="44">
        <v>-328</v>
      </c>
      <c r="G174" s="26">
        <v>-240</v>
      </c>
      <c r="H174" s="26">
        <v>-432</v>
      </c>
      <c r="I174" s="26">
        <v>-552</v>
      </c>
      <c r="J174" s="26">
        <v>-374</v>
      </c>
      <c r="K174" s="26">
        <v>-205</v>
      </c>
      <c r="L174" s="26">
        <v>-445</v>
      </c>
      <c r="M174" s="26">
        <v>-429</v>
      </c>
      <c r="N174" s="26">
        <v>-309</v>
      </c>
      <c r="O174" s="26">
        <v>-194</v>
      </c>
      <c r="P174" s="26">
        <v>-413</v>
      </c>
      <c r="Q174" s="26">
        <v>-517</v>
      </c>
      <c r="R174" s="26">
        <v>-223</v>
      </c>
      <c r="S174" s="26">
        <v>-367</v>
      </c>
      <c r="T174" s="26">
        <v>-427</v>
      </c>
      <c r="U174" s="26">
        <v>-401</v>
      </c>
      <c r="V174" s="26">
        <v>-234</v>
      </c>
      <c r="W174" s="26">
        <v>-173</v>
      </c>
      <c r="X174" s="26">
        <v>-409</v>
      </c>
      <c r="Y174" s="26">
        <v>-546</v>
      </c>
      <c r="Z174" s="26">
        <v>-226</v>
      </c>
      <c r="AA174" s="26">
        <v>-179</v>
      </c>
      <c r="AB174" s="26">
        <v>-401</v>
      </c>
      <c r="AC174" s="26">
        <v>-516</v>
      </c>
      <c r="AD174" s="26">
        <v>-202</v>
      </c>
      <c r="AE174" s="26">
        <v>-154</v>
      </c>
      <c r="AF174" s="26">
        <v>-389</v>
      </c>
      <c r="AG174" s="26">
        <v>-501</v>
      </c>
      <c r="AH174" s="26">
        <v>-233</v>
      </c>
      <c r="AI174" s="26">
        <v>-215</v>
      </c>
      <c r="AJ174" s="26">
        <v>-418</v>
      </c>
      <c r="AK174" s="26">
        <v>-413</v>
      </c>
      <c r="AL174" s="26">
        <v>-276</v>
      </c>
      <c r="AM174" s="26">
        <v>-187</v>
      </c>
      <c r="AN174" s="26">
        <v>-405</v>
      </c>
      <c r="AO174" s="26">
        <v>-508</v>
      </c>
      <c r="AP174" s="26">
        <v>-269</v>
      </c>
      <c r="AQ174" s="26">
        <v>-288</v>
      </c>
      <c r="AR174" s="26">
        <v>-286</v>
      </c>
      <c r="AS174" s="26">
        <v>-601</v>
      </c>
      <c r="AT174" s="26">
        <v>-319</v>
      </c>
      <c r="AU174" s="26">
        <v>-315</v>
      </c>
      <c r="AV174" s="26">
        <v>-494</v>
      </c>
      <c r="AW174" s="186"/>
      <c r="AX174" s="186"/>
      <c r="AY174" s="186"/>
      <c r="AZ174" s="186"/>
      <c r="BA174" s="186"/>
      <c r="BB174" s="186"/>
      <c r="BC174" s="186"/>
      <c r="BD174" s="186"/>
      <c r="BE174" s="186"/>
      <c r="BF174" s="186"/>
      <c r="BG174" s="186"/>
      <c r="BH174" s="186"/>
      <c r="BI174" s="186"/>
      <c r="BJ174" s="186"/>
      <c r="BK174" s="186"/>
      <c r="BL174" s="186"/>
      <c r="BM174" s="186"/>
      <c r="BN174" s="186"/>
      <c r="BO174" s="186"/>
      <c r="BP174" s="186"/>
      <c r="BQ174" s="186"/>
      <c r="BR174" s="186"/>
      <c r="BS174" s="186"/>
      <c r="BT174" s="186"/>
      <c r="BU174" s="186"/>
      <c r="BV174" s="186"/>
      <c r="BW174" s="49">
        <f>SUM(AA174:AD174)</f>
        <v>-1298</v>
      </c>
      <c r="BX174" s="49">
        <f>SUM(AE174:AH174)</f>
        <v>-1277</v>
      </c>
      <c r="BY174" s="49">
        <f>SUM(AI174:AL174)</f>
        <v>-1322</v>
      </c>
      <c r="BZ174" s="49">
        <f>SUM(AM174:AP174)</f>
        <v>-1369</v>
      </c>
      <c r="CA174" s="49"/>
      <c r="CB174" s="49"/>
      <c r="CC174" s="49"/>
      <c r="CD174" s="49"/>
      <c r="CE174" s="49"/>
      <c r="CF174" s="49"/>
      <c r="CG174" s="43"/>
      <c r="CH174" s="43"/>
      <c r="CI174" s="43"/>
    </row>
    <row r="175" spans="1:87" s="50" customFormat="1" ht="12.75" customHeight="1">
      <c r="A175" s="42" t="s">
        <v>110</v>
      </c>
      <c r="B175" s="26">
        <v>-171</v>
      </c>
      <c r="C175" s="26">
        <v>-127</v>
      </c>
      <c r="D175" s="26">
        <v>-173</v>
      </c>
      <c r="E175" s="26">
        <v>-253</v>
      </c>
      <c r="F175" s="26">
        <v>-194</v>
      </c>
      <c r="G175" s="26">
        <v>-140</v>
      </c>
      <c r="H175" s="26">
        <v>-222</v>
      </c>
      <c r="I175" s="26">
        <v>-269</v>
      </c>
      <c r="J175" s="26">
        <v>-229</v>
      </c>
      <c r="K175" s="26">
        <v>-151</v>
      </c>
      <c r="L175" s="26">
        <v>-212</v>
      </c>
      <c r="M175" s="26">
        <v>-214</v>
      </c>
      <c r="N175" s="26">
        <v>-198</v>
      </c>
      <c r="O175" s="26">
        <v>-147</v>
      </c>
      <c r="P175" s="26">
        <v>-164</v>
      </c>
      <c r="Q175" s="26">
        <v>-214</v>
      </c>
      <c r="R175" s="26">
        <v>-155</v>
      </c>
      <c r="S175" s="26">
        <v>-130</v>
      </c>
      <c r="T175" s="26">
        <v>-183</v>
      </c>
      <c r="U175" s="26">
        <v>-169</v>
      </c>
      <c r="V175" s="26">
        <v>-165</v>
      </c>
      <c r="W175" s="26">
        <v>-123</v>
      </c>
      <c r="X175" s="26">
        <v>-156</v>
      </c>
      <c r="Y175" s="26">
        <v>-190</v>
      </c>
      <c r="Z175" s="26">
        <v>-153</v>
      </c>
      <c r="AA175" s="26">
        <v>-128</v>
      </c>
      <c r="AB175" s="26">
        <v>-143</v>
      </c>
      <c r="AC175" s="26">
        <v>-240</v>
      </c>
      <c r="AD175" s="26">
        <v>-162</v>
      </c>
      <c r="AE175" s="26">
        <v>-121</v>
      </c>
      <c r="AF175" s="26">
        <v>-160</v>
      </c>
      <c r="AG175" s="26">
        <v>-230</v>
      </c>
      <c r="AH175" s="26">
        <v>-130</v>
      </c>
      <c r="AI175" s="26">
        <v>-140</v>
      </c>
      <c r="AJ175" s="26">
        <v>-146</v>
      </c>
      <c r="AK175" s="26">
        <v>-187</v>
      </c>
      <c r="AL175" s="26">
        <v>-229</v>
      </c>
      <c r="AM175" s="26">
        <v>-110</v>
      </c>
      <c r="AN175" s="26">
        <v>-152</v>
      </c>
      <c r="AO175" s="26">
        <v>-202</v>
      </c>
      <c r="AP175" s="26">
        <v>-167</v>
      </c>
      <c r="AQ175" s="26">
        <v>-121</v>
      </c>
      <c r="AR175" s="26">
        <v>-156</v>
      </c>
      <c r="AS175" s="26">
        <v>-216</v>
      </c>
      <c r="AT175" s="26">
        <v>-196</v>
      </c>
      <c r="AU175" s="26">
        <v>-190</v>
      </c>
      <c r="AV175" s="26">
        <v>-233</v>
      </c>
      <c r="AW175" s="187">
        <f t="shared" ref="AW175:BN175" si="638">AW212+AW261</f>
        <v>-310.50768031250004</v>
      </c>
      <c r="AX175" s="187">
        <f t="shared" si="638"/>
        <v>-233.99841699319737</v>
      </c>
      <c r="AY175" s="187">
        <f t="shared" si="638"/>
        <v>-207.52547421582079</v>
      </c>
      <c r="AZ175" s="187">
        <f t="shared" si="638"/>
        <v>-235.78605830869219</v>
      </c>
      <c r="BA175" s="187">
        <f t="shared" si="638"/>
        <v>-338.14748002979172</v>
      </c>
      <c r="BB175" s="187">
        <f t="shared" si="638"/>
        <v>-223.46793971909193</v>
      </c>
      <c r="BC175" s="187">
        <f t="shared" si="638"/>
        <v>-196.75010131268823</v>
      </c>
      <c r="BD175" s="187">
        <f t="shared" si="638"/>
        <v>-229.53704993639661</v>
      </c>
      <c r="BE175" s="187">
        <f t="shared" si="638"/>
        <v>-325.83234522326433</v>
      </c>
      <c r="BF175" s="187">
        <f t="shared" si="638"/>
        <v>-220.64635487624855</v>
      </c>
      <c r="BG175" s="187">
        <f t="shared" si="638"/>
        <v>-198.75982492623879</v>
      </c>
      <c r="BH175" s="187">
        <f t="shared" si="638"/>
        <v>-275.56739293312722</v>
      </c>
      <c r="BI175" s="187">
        <f t="shared" si="638"/>
        <v>-352.12013306968203</v>
      </c>
      <c r="BJ175" s="187">
        <f t="shared" si="638"/>
        <v>-226.19901040449267</v>
      </c>
      <c r="BK175" s="187">
        <f t="shared" si="638"/>
        <v>-202.96475310408781</v>
      </c>
      <c r="BL175" s="187">
        <f t="shared" si="638"/>
        <v>-246.3605657805183</v>
      </c>
      <c r="BM175" s="187">
        <f t="shared" si="638"/>
        <v>-362.97852904835673</v>
      </c>
      <c r="BN175" s="187">
        <f t="shared" si="638"/>
        <v>-226.97265902609274</v>
      </c>
      <c r="BO175" s="49"/>
      <c r="BP175" s="29">
        <v>-730</v>
      </c>
      <c r="BQ175" s="49">
        <f t="shared" ref="BQ175:BQ180" si="639">SUM(C175:F175)</f>
        <v>-747</v>
      </c>
      <c r="BR175" s="49">
        <f t="shared" ref="BR175:BR180" si="640">SUM(G175:J175)</f>
        <v>-860</v>
      </c>
      <c r="BS175" s="49">
        <f t="shared" ref="BS175:BS180" si="641">SUM(K175:N175)</f>
        <v>-775</v>
      </c>
      <c r="BT175" s="49">
        <f t="shared" ref="BT175:BT180" si="642">SUM(O175:R175)</f>
        <v>-680</v>
      </c>
      <c r="BU175" s="49">
        <f t="shared" ref="BU175:BU180" si="643">SUM(S175:V175)</f>
        <v>-647</v>
      </c>
      <c r="BV175" s="49">
        <f t="shared" ref="BV175:BV180" si="644">SUM(W175:Z175)</f>
        <v>-622</v>
      </c>
      <c r="BW175" s="49">
        <f t="shared" ref="BW175:BW180" si="645">SUM(AA175:AD175)</f>
        <v>-673</v>
      </c>
      <c r="BX175" s="49">
        <f t="shared" ref="BX175:BX180" si="646">SUM(AE175:AH175)</f>
        <v>-641</v>
      </c>
      <c r="BY175" s="49">
        <f t="shared" ref="BY175:BY180" si="647">SUM(AI175:AL175)</f>
        <v>-702</v>
      </c>
      <c r="BZ175" s="49">
        <f t="shared" ref="BZ175:BZ180" si="648">SUM(AM175:AP175)</f>
        <v>-631</v>
      </c>
      <c r="CA175" s="49">
        <f t="shared" ref="CA175:CA180" si="649">SUM(AQ175:AT175)</f>
        <v>-689</v>
      </c>
      <c r="CB175" s="49">
        <f t="shared" ref="CB175:CB180" si="650">SUM(AU175:AX175)</f>
        <v>-967.50609730569738</v>
      </c>
      <c r="CC175" s="49">
        <f t="shared" ref="CC175:CC180" si="651">SUM(AY175:BB175)</f>
        <v>-1004.9269522733966</v>
      </c>
      <c r="CD175" s="49">
        <f t="shared" ref="CD175:CD180" si="652">SUM(BC175:BF175)</f>
        <v>-972.76585134859772</v>
      </c>
      <c r="CE175" s="49">
        <f t="shared" ref="CE175:CE180" si="653">SUM(BG175:BJ175)</f>
        <v>-1052.6463613335407</v>
      </c>
      <c r="CF175" s="49">
        <f t="shared" ref="CF175:CF180" si="654">SUM(BK175:BN175)</f>
        <v>-1039.2765069590555</v>
      </c>
      <c r="CG175" s="43"/>
      <c r="CH175" s="43"/>
      <c r="CI175" s="43"/>
    </row>
    <row r="176" spans="1:87" s="50" customFormat="1" ht="12.75" customHeight="1">
      <c r="A176" s="42" t="s">
        <v>115</v>
      </c>
      <c r="B176" s="26">
        <v>-79</v>
      </c>
      <c r="C176" s="26">
        <v>-74</v>
      </c>
      <c r="D176" s="26">
        <v>-77</v>
      </c>
      <c r="E176" s="26">
        <v>-75</v>
      </c>
      <c r="F176" s="26">
        <v>-75</v>
      </c>
      <c r="G176" s="26">
        <v>-74</v>
      </c>
      <c r="H176" s="26">
        <v>-88</v>
      </c>
      <c r="I176" s="26">
        <v>-98</v>
      </c>
      <c r="J176" s="26">
        <v>-118</v>
      </c>
      <c r="K176" s="26">
        <v>-88</v>
      </c>
      <c r="L176" s="26">
        <v>-99</v>
      </c>
      <c r="M176" s="26">
        <v>-68</v>
      </c>
      <c r="N176" s="26">
        <v>-96</v>
      </c>
      <c r="O176" s="26">
        <v>-85</v>
      </c>
      <c r="P176" s="26">
        <v>-129</v>
      </c>
      <c r="Q176" s="26">
        <v>-91</v>
      </c>
      <c r="R176" s="26">
        <v>-105</v>
      </c>
      <c r="S176" s="26">
        <v>-88</v>
      </c>
      <c r="T176" s="26">
        <v>-92</v>
      </c>
      <c r="U176" s="26">
        <v>-107</v>
      </c>
      <c r="V176" s="26">
        <v>-99</v>
      </c>
      <c r="W176" s="26">
        <v>-98</v>
      </c>
      <c r="X176" s="26">
        <v>-101</v>
      </c>
      <c r="Y176" s="26">
        <v>-97</v>
      </c>
      <c r="Z176" s="26">
        <v>-110</v>
      </c>
      <c r="AA176" s="26">
        <v>-108</v>
      </c>
      <c r="AB176" s="26">
        <v>-111</v>
      </c>
      <c r="AC176" s="26">
        <v>-110</v>
      </c>
      <c r="AD176" s="26">
        <v>-110</v>
      </c>
      <c r="AE176" s="26">
        <v>-105</v>
      </c>
      <c r="AF176" s="26">
        <v>-118</v>
      </c>
      <c r="AG176" s="26">
        <v>-120</v>
      </c>
      <c r="AH176" s="26">
        <v>-126</v>
      </c>
      <c r="AI176" s="26">
        <v>-114</v>
      </c>
      <c r="AJ176" s="26">
        <v>-117</v>
      </c>
      <c r="AK176" s="26">
        <v>-106</v>
      </c>
      <c r="AL176" s="26">
        <v>-123</v>
      </c>
      <c r="AM176" s="26">
        <v>-110</v>
      </c>
      <c r="AN176" s="26">
        <v>-128</v>
      </c>
      <c r="AO176" s="26">
        <v>-126</v>
      </c>
      <c r="AP176" s="26">
        <v>-142</v>
      </c>
      <c r="AQ176" s="26">
        <v>-136</v>
      </c>
      <c r="AR176" s="26">
        <v>-133</v>
      </c>
      <c r="AS176" s="26">
        <v>-149</v>
      </c>
      <c r="AT176" s="26">
        <v>-174</v>
      </c>
      <c r="AU176" s="26">
        <v>-169</v>
      </c>
      <c r="AV176" s="26">
        <v>-176</v>
      </c>
      <c r="AW176" s="187">
        <f t="shared" ref="AW176:BN176" si="655">AW213+AW263+AW269</f>
        <v>-253.2603</v>
      </c>
      <c r="AX176" s="187">
        <f t="shared" si="655"/>
        <v>-207.65733192533557</v>
      </c>
      <c r="AY176" s="187">
        <f>AY213+AY263+AY269</f>
        <v>-182.76376660623356</v>
      </c>
      <c r="AZ176" s="187">
        <f t="shared" si="655"/>
        <v>-173.31820396333947</v>
      </c>
      <c r="BA176" s="187">
        <f t="shared" si="655"/>
        <v>-275.80423180000003</v>
      </c>
      <c r="BB176" s="187">
        <f t="shared" si="655"/>
        <v>-198.31226522471476</v>
      </c>
      <c r="BC176" s="187">
        <f t="shared" si="655"/>
        <v>-174.95299852307795</v>
      </c>
      <c r="BD176" s="187">
        <f t="shared" si="655"/>
        <v>-180.74515519813713</v>
      </c>
      <c r="BE176" s="187">
        <f t="shared" si="655"/>
        <v>-267.38008725866223</v>
      </c>
      <c r="BF176" s="187">
        <f t="shared" si="655"/>
        <v>-198.03770116100134</v>
      </c>
      <c r="BG176" s="187">
        <f t="shared" si="655"/>
        <v>-174.80148342263109</v>
      </c>
      <c r="BH176" s="187">
        <f t="shared" si="655"/>
        <v>-213.65281893344354</v>
      </c>
      <c r="BI176" s="187">
        <f t="shared" si="655"/>
        <v>-279.32027879701241</v>
      </c>
      <c r="BJ176" s="187">
        <f t="shared" si="655"/>
        <v>-206.69326946729171</v>
      </c>
      <c r="BK176" s="187">
        <f t="shared" si="655"/>
        <v>-181.45030047825819</v>
      </c>
      <c r="BL176" s="187">
        <f t="shared" si="655"/>
        <v>-187.90595570642094</v>
      </c>
      <c r="BM176" s="187">
        <f t="shared" si="655"/>
        <v>-278.00498235752872</v>
      </c>
      <c r="BN176" s="187">
        <f t="shared" si="655"/>
        <v>-211.44946280782335</v>
      </c>
      <c r="BO176" s="49"/>
      <c r="BP176" s="29">
        <v>-320</v>
      </c>
      <c r="BQ176" s="49">
        <f t="shared" si="639"/>
        <v>-301</v>
      </c>
      <c r="BR176" s="49">
        <f t="shared" si="640"/>
        <v>-378</v>
      </c>
      <c r="BS176" s="49">
        <f t="shared" si="641"/>
        <v>-351</v>
      </c>
      <c r="BT176" s="49">
        <f t="shared" si="642"/>
        <v>-410</v>
      </c>
      <c r="BU176" s="49">
        <f t="shared" si="643"/>
        <v>-386</v>
      </c>
      <c r="BV176" s="49">
        <f t="shared" si="644"/>
        <v>-406</v>
      </c>
      <c r="BW176" s="49">
        <f t="shared" si="645"/>
        <v>-439</v>
      </c>
      <c r="BX176" s="49">
        <f t="shared" si="646"/>
        <v>-469</v>
      </c>
      <c r="BY176" s="49">
        <f t="shared" si="647"/>
        <v>-460</v>
      </c>
      <c r="BZ176" s="49">
        <f t="shared" si="648"/>
        <v>-506</v>
      </c>
      <c r="CA176" s="49">
        <f t="shared" si="649"/>
        <v>-592</v>
      </c>
      <c r="CB176" s="49">
        <f t="shared" si="650"/>
        <v>-805.91763192533563</v>
      </c>
      <c r="CC176" s="49">
        <f t="shared" si="651"/>
        <v>-830.19846759428788</v>
      </c>
      <c r="CD176" s="49">
        <f t="shared" si="652"/>
        <v>-821.1159421408787</v>
      </c>
      <c r="CE176" s="49">
        <f t="shared" si="653"/>
        <v>-874.46785062037884</v>
      </c>
      <c r="CF176" s="49">
        <f t="shared" si="654"/>
        <v>-858.8107013500312</v>
      </c>
      <c r="CG176" s="43"/>
      <c r="CH176" s="43"/>
      <c r="CI176" s="43"/>
    </row>
    <row r="177" spans="1:87" s="50" customFormat="1" ht="12.75" customHeight="1">
      <c r="A177" s="42" t="s">
        <v>111</v>
      </c>
      <c r="B177" s="26">
        <v>-311</v>
      </c>
      <c r="C177" s="26">
        <v>-275</v>
      </c>
      <c r="D177" s="26">
        <v>-277</v>
      </c>
      <c r="E177" s="26">
        <v>-273</v>
      </c>
      <c r="F177" s="26">
        <v>-328</v>
      </c>
      <c r="G177" s="26">
        <v>-285</v>
      </c>
      <c r="H177" s="26">
        <v>-318</v>
      </c>
      <c r="I177" s="26">
        <v>-325</v>
      </c>
      <c r="J177" s="26">
        <v>-274</v>
      </c>
      <c r="K177" s="26">
        <v>-282</v>
      </c>
      <c r="L177" s="26">
        <v>-314</v>
      </c>
      <c r="M177" s="26">
        <v>-286</v>
      </c>
      <c r="N177" s="26">
        <v>-287</v>
      </c>
      <c r="O177" s="26">
        <v>-278</v>
      </c>
      <c r="P177" s="26">
        <v>-283</v>
      </c>
      <c r="Q177" s="26">
        <v>-275</v>
      </c>
      <c r="R177" s="26">
        <v>-289</v>
      </c>
      <c r="S177" s="26">
        <v>-265</v>
      </c>
      <c r="T177" s="26">
        <v>-261</v>
      </c>
      <c r="U177" s="26">
        <v>-283</v>
      </c>
      <c r="V177" s="26">
        <v>-285</v>
      </c>
      <c r="W177" s="26">
        <v>-296</v>
      </c>
      <c r="X177" s="26">
        <v>-265</v>
      </c>
      <c r="Y177" s="26">
        <v>-266</v>
      </c>
      <c r="Z177" s="26">
        <v>-282</v>
      </c>
      <c r="AA177" s="26">
        <v>-294</v>
      </c>
      <c r="AB177" s="26">
        <v>-291</v>
      </c>
      <c r="AC177" s="26">
        <v>-285</v>
      </c>
      <c r="AD177" s="26">
        <v>-335</v>
      </c>
      <c r="AE177" s="26">
        <v>-325</v>
      </c>
      <c r="AF177" s="26">
        <v>-331</v>
      </c>
      <c r="AG177" s="26">
        <v>-329</v>
      </c>
      <c r="AH177" s="26">
        <v>-335</v>
      </c>
      <c r="AI177" s="26">
        <v>-362</v>
      </c>
      <c r="AJ177" s="26">
        <v>-339</v>
      </c>
      <c r="AK177" s="26">
        <v>-334</v>
      </c>
      <c r="AL177" s="26">
        <v>-398</v>
      </c>
      <c r="AM177" s="26">
        <v>-381</v>
      </c>
      <c r="AN177" s="26">
        <v>-387</v>
      </c>
      <c r="AO177" s="26">
        <v>-389</v>
      </c>
      <c r="AP177" s="26">
        <v>-402</v>
      </c>
      <c r="AQ177" s="26">
        <v>-438</v>
      </c>
      <c r="AR177" s="26">
        <v>-421</v>
      </c>
      <c r="AS177" s="26">
        <v>-451</v>
      </c>
      <c r="AT177" s="26">
        <v>-468</v>
      </c>
      <c r="AU177" s="26">
        <v>-515</v>
      </c>
      <c r="AV177" s="26">
        <v>-553</v>
      </c>
      <c r="AW177" s="187">
        <f t="shared" ref="AW177:BN177" si="656">AW214+AW265</f>
        <v>-493.85758500000003</v>
      </c>
      <c r="AX177" s="187">
        <f t="shared" si="656"/>
        <v>-629.24569203967246</v>
      </c>
      <c r="AY177" s="187">
        <f t="shared" si="656"/>
        <v>-548.11944393120268</v>
      </c>
      <c r="AZ177" s="187">
        <f t="shared" si="656"/>
        <v>-620.96721804802542</v>
      </c>
      <c r="BA177" s="187">
        <f t="shared" si="656"/>
        <v>-588.23871313593759</v>
      </c>
      <c r="BB177" s="187">
        <f t="shared" si="656"/>
        <v>-621.64982162062961</v>
      </c>
      <c r="BC177" s="187">
        <f t="shared" si="656"/>
        <v>-542.79830393177201</v>
      </c>
      <c r="BD177" s="187">
        <f t="shared" si="656"/>
        <v>-647.5766170689509</v>
      </c>
      <c r="BE177" s="187">
        <f t="shared" si="656"/>
        <v>-608.28969851345664</v>
      </c>
      <c r="BF177" s="187">
        <f t="shared" si="656"/>
        <v>-644.35614047139825</v>
      </c>
      <c r="BG177" s="187">
        <f t="shared" si="656"/>
        <v>-562.3978131116379</v>
      </c>
      <c r="BH177" s="187">
        <f t="shared" si="656"/>
        <v>-784.85069840929054</v>
      </c>
      <c r="BI177" s="187">
        <f t="shared" si="656"/>
        <v>-657.36582854814117</v>
      </c>
      <c r="BJ177" s="187">
        <f t="shared" si="656"/>
        <v>-685.87147472523725</v>
      </c>
      <c r="BK177" s="187">
        <f t="shared" si="656"/>
        <v>-589.94431003164846</v>
      </c>
      <c r="BL177" s="187">
        <f t="shared" si="656"/>
        <v>-708.55404955678648</v>
      </c>
      <c r="BM177" s="187">
        <f t="shared" si="656"/>
        <v>-677.63714449647625</v>
      </c>
      <c r="BN177" s="187">
        <f t="shared" si="656"/>
        <v>-716.11743423749851</v>
      </c>
      <c r="BO177" s="49"/>
      <c r="BP177" s="29">
        <v>-1229</v>
      </c>
      <c r="BQ177" s="49">
        <f t="shared" si="639"/>
        <v>-1153</v>
      </c>
      <c r="BR177" s="49">
        <f t="shared" si="640"/>
        <v>-1202</v>
      </c>
      <c r="BS177" s="49">
        <f t="shared" si="641"/>
        <v>-1169</v>
      </c>
      <c r="BT177" s="49">
        <f t="shared" si="642"/>
        <v>-1125</v>
      </c>
      <c r="BU177" s="49">
        <f t="shared" si="643"/>
        <v>-1094</v>
      </c>
      <c r="BV177" s="49">
        <f t="shared" si="644"/>
        <v>-1109</v>
      </c>
      <c r="BW177" s="49">
        <f t="shared" si="645"/>
        <v>-1205</v>
      </c>
      <c r="BX177" s="49">
        <f t="shared" si="646"/>
        <v>-1320</v>
      </c>
      <c r="BY177" s="49">
        <f t="shared" si="647"/>
        <v>-1433</v>
      </c>
      <c r="BZ177" s="49">
        <f t="shared" si="648"/>
        <v>-1559</v>
      </c>
      <c r="CA177" s="49">
        <f t="shared" si="649"/>
        <v>-1778</v>
      </c>
      <c r="CB177" s="49">
        <f t="shared" si="650"/>
        <v>-2191.1032770396723</v>
      </c>
      <c r="CC177" s="49">
        <f t="shared" si="651"/>
        <v>-2378.9751967357952</v>
      </c>
      <c r="CD177" s="49">
        <f t="shared" si="652"/>
        <v>-2443.0207599855776</v>
      </c>
      <c r="CE177" s="49">
        <f t="shared" si="653"/>
        <v>-2690.4858147943069</v>
      </c>
      <c r="CF177" s="49">
        <f t="shared" si="654"/>
        <v>-2692.2529383224096</v>
      </c>
      <c r="CG177" s="43"/>
      <c r="CH177" s="43"/>
      <c r="CI177" s="43"/>
    </row>
    <row r="178" spans="1:87" s="50" customFormat="1" ht="12.75" customHeight="1">
      <c r="A178" s="42" t="s">
        <v>112</v>
      </c>
      <c r="B178" s="26">
        <v>-2</v>
      </c>
      <c r="C178" s="26">
        <v>-2</v>
      </c>
      <c r="D178" s="26">
        <v>28</v>
      </c>
      <c r="E178" s="26">
        <v>-1</v>
      </c>
      <c r="F178" s="26">
        <v>-8</v>
      </c>
      <c r="G178" s="26">
        <v>-2</v>
      </c>
      <c r="H178" s="26">
        <v>-17</v>
      </c>
      <c r="I178" s="26">
        <v>11</v>
      </c>
      <c r="J178" s="26">
        <v>-3</v>
      </c>
      <c r="K178" s="26">
        <v>20</v>
      </c>
      <c r="L178" s="26">
        <v>0</v>
      </c>
      <c r="M178" s="26">
        <v>45</v>
      </c>
      <c r="N178" s="26">
        <v>-1</v>
      </c>
      <c r="O178" s="26">
        <v>-7</v>
      </c>
      <c r="P178" s="26">
        <v>44</v>
      </c>
      <c r="Q178" s="26">
        <v>0</v>
      </c>
      <c r="R178" s="26">
        <v>-2</v>
      </c>
      <c r="S178" s="26">
        <v>1</v>
      </c>
      <c r="T178" s="26">
        <v>1</v>
      </c>
      <c r="U178" s="26">
        <v>0</v>
      </c>
      <c r="V178" s="26">
        <v>1</v>
      </c>
      <c r="W178" s="26">
        <v>0</v>
      </c>
      <c r="X178" s="26">
        <v>0</v>
      </c>
      <c r="Y178" s="26">
        <v>0</v>
      </c>
      <c r="Z178" s="26">
        <v>0</v>
      </c>
      <c r="AA178" s="26">
        <v>0</v>
      </c>
      <c r="AB178" s="26">
        <v>0</v>
      </c>
      <c r="AC178" s="26">
        <v>0</v>
      </c>
      <c r="AD178" s="26">
        <v>0</v>
      </c>
      <c r="AE178" s="26">
        <v>0</v>
      </c>
      <c r="AF178" s="26">
        <v>0</v>
      </c>
      <c r="AG178" s="26">
        <v>0</v>
      </c>
      <c r="AH178" s="26">
        <v>0</v>
      </c>
      <c r="AI178" s="26">
        <v>0</v>
      </c>
      <c r="AJ178" s="26">
        <v>-2</v>
      </c>
      <c r="AK178" s="26">
        <v>-1</v>
      </c>
      <c r="AL178" s="26">
        <v>-11</v>
      </c>
      <c r="AM178" s="26">
        <v>-1</v>
      </c>
      <c r="AN178" s="26">
        <v>-2</v>
      </c>
      <c r="AO178" s="26">
        <v>-2</v>
      </c>
      <c r="AP178" s="26">
        <v>0</v>
      </c>
      <c r="AQ178" s="26">
        <v>0</v>
      </c>
      <c r="AR178" s="26">
        <v>0</v>
      </c>
      <c r="AS178" s="26">
        <v>0</v>
      </c>
      <c r="AT178" s="26">
        <v>0</v>
      </c>
      <c r="AU178" s="26">
        <v>0</v>
      </c>
      <c r="AV178" s="26">
        <v>0</v>
      </c>
      <c r="AW178" s="187">
        <f>AW277</f>
        <v>0</v>
      </c>
      <c r="AX178" s="187">
        <f>AX277</f>
        <v>0</v>
      </c>
      <c r="AY178" s="187">
        <f t="shared" ref="AY178:BF178" si="657">AY277</f>
        <v>0</v>
      </c>
      <c r="AZ178" s="187">
        <f t="shared" si="657"/>
        <v>0</v>
      </c>
      <c r="BA178" s="187">
        <f t="shared" si="657"/>
        <v>0</v>
      </c>
      <c r="BB178" s="187">
        <f t="shared" si="657"/>
        <v>0</v>
      </c>
      <c r="BC178" s="187">
        <f t="shared" si="657"/>
        <v>0</v>
      </c>
      <c r="BD178" s="187">
        <f t="shared" si="657"/>
        <v>0</v>
      </c>
      <c r="BE178" s="187">
        <f t="shared" si="657"/>
        <v>0</v>
      </c>
      <c r="BF178" s="187">
        <f t="shared" si="657"/>
        <v>0</v>
      </c>
      <c r="BG178" s="187">
        <f t="shared" ref="BG178:BN178" si="658">BG277</f>
        <v>0</v>
      </c>
      <c r="BH178" s="187">
        <f t="shared" si="658"/>
        <v>0</v>
      </c>
      <c r="BI178" s="187">
        <f t="shared" si="658"/>
        <v>0</v>
      </c>
      <c r="BJ178" s="187">
        <f t="shared" si="658"/>
        <v>0</v>
      </c>
      <c r="BK178" s="187">
        <f t="shared" si="658"/>
        <v>0</v>
      </c>
      <c r="BL178" s="187">
        <f t="shared" si="658"/>
        <v>0</v>
      </c>
      <c r="BM178" s="187">
        <f t="shared" si="658"/>
        <v>0</v>
      </c>
      <c r="BN178" s="187">
        <f t="shared" si="658"/>
        <v>0</v>
      </c>
      <c r="BO178" s="49"/>
      <c r="BP178" s="29">
        <v>-2</v>
      </c>
      <c r="BQ178" s="49">
        <f t="shared" si="639"/>
        <v>17</v>
      </c>
      <c r="BR178" s="49">
        <f t="shared" si="640"/>
        <v>-11</v>
      </c>
      <c r="BS178" s="49">
        <f t="shared" si="641"/>
        <v>64</v>
      </c>
      <c r="BT178" s="49">
        <f t="shared" si="642"/>
        <v>35</v>
      </c>
      <c r="BU178" s="49">
        <f t="shared" si="643"/>
        <v>3</v>
      </c>
      <c r="BV178" s="49">
        <f t="shared" si="644"/>
        <v>0</v>
      </c>
      <c r="BW178" s="49">
        <f t="shared" si="645"/>
        <v>0</v>
      </c>
      <c r="BX178" s="49">
        <f t="shared" si="646"/>
        <v>0</v>
      </c>
      <c r="BY178" s="49">
        <f t="shared" si="647"/>
        <v>-14</v>
      </c>
      <c r="BZ178" s="49">
        <f t="shared" si="648"/>
        <v>-5</v>
      </c>
      <c r="CA178" s="49">
        <f t="shared" si="649"/>
        <v>0</v>
      </c>
      <c r="CB178" s="49">
        <f t="shared" si="650"/>
        <v>0</v>
      </c>
      <c r="CC178" s="49">
        <f t="shared" si="651"/>
        <v>0</v>
      </c>
      <c r="CD178" s="49">
        <f t="shared" si="652"/>
        <v>0</v>
      </c>
      <c r="CE178" s="49">
        <f t="shared" si="653"/>
        <v>0</v>
      </c>
      <c r="CF178" s="49">
        <f t="shared" si="654"/>
        <v>0</v>
      </c>
      <c r="CG178" s="43"/>
      <c r="CH178" s="43"/>
      <c r="CI178" s="43"/>
    </row>
    <row r="179" spans="1:87" s="50" customFormat="1" ht="12.75" customHeight="1">
      <c r="A179" s="42" t="s">
        <v>113</v>
      </c>
      <c r="B179" s="26">
        <v>-15</v>
      </c>
      <c r="C179" s="26">
        <v>-15</v>
      </c>
      <c r="D179" s="26">
        <v>-15</v>
      </c>
      <c r="E179" s="26">
        <v>-14</v>
      </c>
      <c r="F179" s="26">
        <v>-13</v>
      </c>
      <c r="G179" s="26">
        <v>-13</v>
      </c>
      <c r="H179" s="26">
        <v>-13</v>
      </c>
      <c r="I179" s="26">
        <v>-11</v>
      </c>
      <c r="J179" s="26">
        <v>-6</v>
      </c>
      <c r="K179" s="26">
        <v>-7</v>
      </c>
      <c r="L179" s="26">
        <v>-7</v>
      </c>
      <c r="M179" s="26">
        <v>-7</v>
      </c>
      <c r="N179" s="26">
        <v>-9</v>
      </c>
      <c r="O179" s="26">
        <v>-4</v>
      </c>
      <c r="P179" s="26">
        <v>-4</v>
      </c>
      <c r="Q179" s="26">
        <v>-4</v>
      </c>
      <c r="R179" s="26">
        <v>-4</v>
      </c>
      <c r="S179" s="26">
        <v>-3</v>
      </c>
      <c r="T179" s="26">
        <v>-4</v>
      </c>
      <c r="U179" s="26">
        <v>-4</v>
      </c>
      <c r="V179" s="26">
        <v>-3</v>
      </c>
      <c r="W179" s="26">
        <v>-1</v>
      </c>
      <c r="X179" s="26">
        <v>-3</v>
      </c>
      <c r="Y179" s="26">
        <v>-2</v>
      </c>
      <c r="Z179" s="26">
        <v>-1</v>
      </c>
      <c r="AA179" s="26">
        <v>-2</v>
      </c>
      <c r="AB179" s="26">
        <v>-1</v>
      </c>
      <c r="AC179" s="26">
        <v>-2</v>
      </c>
      <c r="AD179" s="26">
        <v>-1</v>
      </c>
      <c r="AE179" s="26">
        <v>-1</v>
      </c>
      <c r="AF179" s="26">
        <v>-2</v>
      </c>
      <c r="AG179" s="26">
        <v>-1</v>
      </c>
      <c r="AH179" s="26">
        <v>-5</v>
      </c>
      <c r="AI179" s="26">
        <v>-6</v>
      </c>
      <c r="AJ179" s="26">
        <v>-6</v>
      </c>
      <c r="AK179" s="26">
        <v>-6</v>
      </c>
      <c r="AL179" s="26">
        <v>-5</v>
      </c>
      <c r="AM179" s="26">
        <v>-5</v>
      </c>
      <c r="AN179" s="26">
        <v>-6</v>
      </c>
      <c r="AO179" s="26">
        <v>-5</v>
      </c>
      <c r="AP179" s="26">
        <v>-6</v>
      </c>
      <c r="AQ179" s="26">
        <v>-5</v>
      </c>
      <c r="AR179" s="26">
        <v>-6</v>
      </c>
      <c r="AS179" s="26">
        <v>-5</v>
      </c>
      <c r="AT179" s="26">
        <v>-14</v>
      </c>
      <c r="AU179" s="26">
        <v>-40</v>
      </c>
      <c r="AV179" s="26">
        <v>-30</v>
      </c>
      <c r="AW179" s="187">
        <f>AW275</f>
        <v>-35.64356435643564</v>
      </c>
      <c r="AX179" s="187">
        <f>AX275</f>
        <v>-34.467209097147332</v>
      </c>
      <c r="AY179" s="187">
        <f t="shared" ref="AY179:BF179" si="659">AY275</f>
        <v>-33.329677443776134</v>
      </c>
      <c r="AZ179" s="187">
        <f t="shared" si="659"/>
        <v>-32.22968808919606</v>
      </c>
      <c r="BA179" s="187">
        <f t="shared" si="659"/>
        <v>-31.166002013645034</v>
      </c>
      <c r="BB179" s="187">
        <f t="shared" si="659"/>
        <v>-30.137421089102293</v>
      </c>
      <c r="BC179" s="187">
        <f t="shared" si="659"/>
        <v>-29.14278672972598</v>
      </c>
      <c r="BD179" s="187">
        <f t="shared" si="659"/>
        <v>-28.180978586830733</v>
      </c>
      <c r="BE179" s="187">
        <f t="shared" si="659"/>
        <v>-27.250913286935326</v>
      </c>
      <c r="BF179" s="187">
        <f t="shared" si="659"/>
        <v>-26.351543211458914</v>
      </c>
      <c r="BG179" s="187">
        <f t="shared" ref="BG179:BN179" si="660">BG275</f>
        <v>-25.481855316691295</v>
      </c>
      <c r="BH179" s="187">
        <f t="shared" si="660"/>
        <v>-24.640869992708083</v>
      </c>
      <c r="BI179" s="187">
        <f t="shared" si="660"/>
        <v>-23.82763995994544</v>
      </c>
      <c r="BJ179" s="187">
        <f t="shared" si="660"/>
        <v>-23.041249202191466</v>
      </c>
      <c r="BK179" s="187">
        <f t="shared" si="660"/>
        <v>-22.280811934792407</v>
      </c>
      <c r="BL179" s="187">
        <f t="shared" si="660"/>
        <v>-21.54547160691147</v>
      </c>
      <c r="BM179" s="187">
        <f t="shared" si="660"/>
        <v>-20.83439993671637</v>
      </c>
      <c r="BN179" s="187">
        <f t="shared" si="660"/>
        <v>-20.1467959784089</v>
      </c>
      <c r="BO179" s="49"/>
      <c r="BP179" s="29">
        <v>-53</v>
      </c>
      <c r="BQ179" s="49">
        <f t="shared" si="639"/>
        <v>-57</v>
      </c>
      <c r="BR179" s="49">
        <f t="shared" si="640"/>
        <v>-43</v>
      </c>
      <c r="BS179" s="49">
        <f t="shared" si="641"/>
        <v>-30</v>
      </c>
      <c r="BT179" s="49">
        <f t="shared" si="642"/>
        <v>-16</v>
      </c>
      <c r="BU179" s="49">
        <f t="shared" si="643"/>
        <v>-14</v>
      </c>
      <c r="BV179" s="49">
        <f t="shared" si="644"/>
        <v>-7</v>
      </c>
      <c r="BW179" s="49">
        <f t="shared" si="645"/>
        <v>-6</v>
      </c>
      <c r="BX179" s="49">
        <f t="shared" si="646"/>
        <v>-9</v>
      </c>
      <c r="BY179" s="49">
        <f t="shared" si="647"/>
        <v>-23</v>
      </c>
      <c r="BZ179" s="49">
        <f t="shared" si="648"/>
        <v>-22</v>
      </c>
      <c r="CA179" s="49">
        <f t="shared" si="649"/>
        <v>-30</v>
      </c>
      <c r="CB179" s="49">
        <f t="shared" si="650"/>
        <v>-140.11077345358296</v>
      </c>
      <c r="CC179" s="49">
        <f t="shared" si="651"/>
        <v>-126.86278863571953</v>
      </c>
      <c r="CD179" s="49">
        <f t="shared" si="652"/>
        <v>-110.92622181495096</v>
      </c>
      <c r="CE179" s="49">
        <f t="shared" si="653"/>
        <v>-96.99161447153628</v>
      </c>
      <c r="CF179" s="49">
        <f t="shared" si="654"/>
        <v>-84.807479456829142</v>
      </c>
      <c r="CG179" s="43"/>
      <c r="CH179" s="43"/>
      <c r="CI179" s="43"/>
    </row>
    <row r="180" spans="1:87" s="50" customFormat="1" ht="12.75" customHeight="1">
      <c r="A180" s="42" t="s">
        <v>114</v>
      </c>
      <c r="B180" s="26">
        <v>-20</v>
      </c>
      <c r="C180" s="26">
        <v>-2</v>
      </c>
      <c r="D180" s="26">
        <v>-6</v>
      </c>
      <c r="E180" s="26">
        <v>-154</v>
      </c>
      <c r="F180" s="26">
        <v>1</v>
      </c>
      <c r="G180" s="26">
        <v>-18</v>
      </c>
      <c r="H180" s="26">
        <v>1</v>
      </c>
      <c r="I180" s="26">
        <v>0</v>
      </c>
      <c r="J180" s="26">
        <v>1</v>
      </c>
      <c r="K180" s="26">
        <v>-27</v>
      </c>
      <c r="L180" s="26">
        <v>2</v>
      </c>
      <c r="M180" s="26">
        <v>-2</v>
      </c>
      <c r="N180" s="26">
        <v>0</v>
      </c>
      <c r="O180" s="26">
        <v>-1</v>
      </c>
      <c r="P180" s="26">
        <v>2</v>
      </c>
      <c r="Q180" s="26">
        <v>1</v>
      </c>
      <c r="R180" s="26">
        <v>-1</v>
      </c>
      <c r="S180" s="26">
        <v>0</v>
      </c>
      <c r="T180" s="26">
        <v>0</v>
      </c>
      <c r="U180" s="26">
        <v>0</v>
      </c>
      <c r="V180" s="26">
        <v>0</v>
      </c>
      <c r="W180" s="26">
        <v>0</v>
      </c>
      <c r="X180" s="26">
        <v>0</v>
      </c>
      <c r="Y180" s="26">
        <v>0</v>
      </c>
      <c r="Z180" s="26">
        <v>0</v>
      </c>
      <c r="AA180" s="26">
        <v>0</v>
      </c>
      <c r="AB180" s="26">
        <v>0</v>
      </c>
      <c r="AC180" s="26">
        <v>0</v>
      </c>
      <c r="AD180" s="26">
        <v>0</v>
      </c>
      <c r="AE180" s="26">
        <v>0</v>
      </c>
      <c r="AF180" s="26">
        <v>0</v>
      </c>
      <c r="AG180" s="26">
        <v>0</v>
      </c>
      <c r="AH180" s="26">
        <v>0</v>
      </c>
      <c r="AI180" s="26">
        <v>0</v>
      </c>
      <c r="AJ180" s="26">
        <v>0</v>
      </c>
      <c r="AK180" s="26">
        <v>0</v>
      </c>
      <c r="AL180" s="26">
        <v>0</v>
      </c>
      <c r="AM180" s="26">
        <v>0</v>
      </c>
      <c r="AN180" s="26">
        <v>0</v>
      </c>
      <c r="AO180" s="26">
        <v>0</v>
      </c>
      <c r="AP180" s="26">
        <v>0</v>
      </c>
      <c r="AQ180" s="26">
        <v>0</v>
      </c>
      <c r="AR180" s="26">
        <v>0</v>
      </c>
      <c r="AS180" s="26">
        <v>0</v>
      </c>
      <c r="AT180" s="26">
        <v>0</v>
      </c>
      <c r="AU180" s="26">
        <v>0</v>
      </c>
      <c r="AV180" s="26">
        <v>0</v>
      </c>
      <c r="AW180" s="187">
        <f t="shared" ref="AW180:BN180" si="661">AW$279</f>
        <v>0</v>
      </c>
      <c r="AX180" s="187">
        <f t="shared" si="661"/>
        <v>0</v>
      </c>
      <c r="AY180" s="187">
        <f t="shared" si="661"/>
        <v>0</v>
      </c>
      <c r="AZ180" s="187">
        <f t="shared" si="661"/>
        <v>0</v>
      </c>
      <c r="BA180" s="187">
        <f t="shared" si="661"/>
        <v>0</v>
      </c>
      <c r="BB180" s="187">
        <f t="shared" si="661"/>
        <v>0</v>
      </c>
      <c r="BC180" s="187">
        <f t="shared" si="661"/>
        <v>0</v>
      </c>
      <c r="BD180" s="187">
        <f t="shared" si="661"/>
        <v>0</v>
      </c>
      <c r="BE180" s="187">
        <f t="shared" si="661"/>
        <v>0</v>
      </c>
      <c r="BF180" s="187">
        <f t="shared" si="661"/>
        <v>0</v>
      </c>
      <c r="BG180" s="187">
        <f t="shared" si="661"/>
        <v>0</v>
      </c>
      <c r="BH180" s="187">
        <f t="shared" si="661"/>
        <v>0</v>
      </c>
      <c r="BI180" s="187">
        <f t="shared" si="661"/>
        <v>0</v>
      </c>
      <c r="BJ180" s="187">
        <f t="shared" si="661"/>
        <v>0</v>
      </c>
      <c r="BK180" s="187">
        <f t="shared" si="661"/>
        <v>0</v>
      </c>
      <c r="BL180" s="187">
        <f t="shared" si="661"/>
        <v>0</v>
      </c>
      <c r="BM180" s="187">
        <f t="shared" si="661"/>
        <v>0</v>
      </c>
      <c r="BN180" s="187">
        <f t="shared" si="661"/>
        <v>0</v>
      </c>
      <c r="BO180" s="49"/>
      <c r="BP180" s="29">
        <v>-140</v>
      </c>
      <c r="BQ180" s="49">
        <f t="shared" si="639"/>
        <v>-161</v>
      </c>
      <c r="BR180" s="49">
        <f t="shared" si="640"/>
        <v>-16</v>
      </c>
      <c r="BS180" s="49">
        <f t="shared" si="641"/>
        <v>-27</v>
      </c>
      <c r="BT180" s="49">
        <f t="shared" si="642"/>
        <v>1</v>
      </c>
      <c r="BU180" s="49">
        <f t="shared" si="643"/>
        <v>0</v>
      </c>
      <c r="BV180" s="49">
        <f t="shared" si="644"/>
        <v>0</v>
      </c>
      <c r="BW180" s="49">
        <f t="shared" si="645"/>
        <v>0</v>
      </c>
      <c r="BX180" s="49">
        <f t="shared" si="646"/>
        <v>0</v>
      </c>
      <c r="BY180" s="49">
        <f t="shared" si="647"/>
        <v>0</v>
      </c>
      <c r="BZ180" s="49">
        <f t="shared" si="648"/>
        <v>0</v>
      </c>
      <c r="CA180" s="49">
        <f t="shared" si="649"/>
        <v>0</v>
      </c>
      <c r="CB180" s="49">
        <f t="shared" si="650"/>
        <v>0</v>
      </c>
      <c r="CC180" s="49">
        <f t="shared" si="651"/>
        <v>0</v>
      </c>
      <c r="CD180" s="49">
        <f t="shared" si="652"/>
        <v>0</v>
      </c>
      <c r="CE180" s="49">
        <f t="shared" si="653"/>
        <v>0</v>
      </c>
      <c r="CF180" s="49">
        <f t="shared" si="654"/>
        <v>0</v>
      </c>
      <c r="CG180" s="43"/>
      <c r="CH180" s="43"/>
      <c r="CI180" s="43"/>
    </row>
    <row r="181" spans="1:87" s="50" customFormat="1" ht="12.75" customHeight="1">
      <c r="A181" s="42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187"/>
      <c r="AW181" s="187"/>
      <c r="AX181" s="187"/>
      <c r="AY181" s="187"/>
      <c r="AZ181" s="187"/>
      <c r="BA181" s="187"/>
      <c r="BB181" s="187"/>
      <c r="BC181" s="187"/>
      <c r="BD181" s="187"/>
      <c r="BE181" s="187"/>
      <c r="BF181" s="187"/>
      <c r="BG181" s="187"/>
      <c r="BH181" s="187"/>
      <c r="BI181" s="187"/>
      <c r="BJ181" s="187"/>
      <c r="BK181" s="187"/>
      <c r="BL181" s="187"/>
      <c r="BM181" s="187"/>
      <c r="BN181" s="187"/>
      <c r="BO181" s="49"/>
      <c r="BP181" s="29"/>
      <c r="BQ181" s="49"/>
      <c r="BR181" s="49"/>
      <c r="BS181" s="49"/>
      <c r="BT181" s="49"/>
      <c r="BU181" s="49"/>
      <c r="BV181" s="49"/>
      <c r="BW181" s="49"/>
      <c r="BX181" s="49"/>
      <c r="BY181" s="49"/>
      <c r="BZ181" s="49"/>
      <c r="CA181" s="49"/>
      <c r="CB181" s="49"/>
      <c r="CC181" s="49"/>
      <c r="CD181" s="49"/>
      <c r="CE181" s="49"/>
      <c r="CF181" s="49"/>
      <c r="CG181" s="43"/>
      <c r="CH181" s="43"/>
      <c r="CI181" s="43"/>
    </row>
    <row r="182" spans="1:87" ht="12.75" customHeight="1">
      <c r="A182" s="38" t="s">
        <v>478</v>
      </c>
      <c r="B182" s="188"/>
      <c r="C182" s="189"/>
      <c r="D182" s="188"/>
      <c r="E182" s="188"/>
      <c r="F182" s="188"/>
      <c r="G182" s="188"/>
      <c r="H182" s="188"/>
      <c r="I182" s="188"/>
      <c r="J182" s="190"/>
      <c r="K182" s="190"/>
      <c r="L182" s="190"/>
      <c r="M182" s="190"/>
      <c r="N182" s="190"/>
      <c r="O182" s="190"/>
      <c r="P182" s="190"/>
      <c r="Q182" s="190"/>
      <c r="R182" s="190"/>
      <c r="S182" s="190"/>
      <c r="T182" s="190"/>
      <c r="U182" s="191"/>
      <c r="V182" s="191"/>
      <c r="W182" s="191"/>
      <c r="X182" s="191"/>
      <c r="Y182" s="191"/>
      <c r="Z182" s="191"/>
      <c r="AA182" s="191"/>
      <c r="AB182" s="191"/>
      <c r="AC182" s="191"/>
      <c r="AD182" s="191"/>
      <c r="AE182" s="191"/>
      <c r="AF182" s="191"/>
      <c r="AG182" s="191"/>
      <c r="AH182" s="191"/>
      <c r="AI182" s="191"/>
      <c r="AJ182" s="191"/>
      <c r="AK182" s="191"/>
      <c r="AL182" s="191"/>
      <c r="AM182" s="191"/>
      <c r="AN182" s="191"/>
      <c r="AO182" s="191"/>
      <c r="AP182" s="191"/>
      <c r="AQ182" s="191"/>
      <c r="AR182" s="191"/>
      <c r="AS182" s="191"/>
      <c r="AT182" s="191"/>
      <c r="AU182" s="191"/>
      <c r="AV182" s="191"/>
      <c r="AW182" s="191"/>
      <c r="AX182" s="191"/>
      <c r="AY182" s="191"/>
      <c r="AZ182" s="191"/>
      <c r="BA182" s="191"/>
      <c r="BB182" s="191"/>
      <c r="BC182" s="191"/>
      <c r="BD182" s="191"/>
      <c r="BE182" s="191"/>
      <c r="BF182" s="191"/>
      <c r="BG182" s="191"/>
      <c r="BH182" s="191"/>
      <c r="BI182" s="191"/>
      <c r="BJ182" s="191"/>
      <c r="BK182" s="191"/>
      <c r="BL182" s="191"/>
      <c r="BM182" s="191"/>
      <c r="BN182" s="191"/>
      <c r="BO182" s="191"/>
      <c r="BP182" s="191"/>
      <c r="BQ182" s="191"/>
      <c r="BR182" s="191"/>
      <c r="BS182" s="191"/>
      <c r="BT182" s="191"/>
      <c r="BU182" s="191"/>
      <c r="BV182" s="191"/>
      <c r="BW182" s="191"/>
      <c r="BX182" s="191"/>
      <c r="BY182" s="191"/>
      <c r="BZ182" s="191"/>
      <c r="CA182" s="191"/>
      <c r="CB182" s="191"/>
      <c r="CC182" s="191"/>
      <c r="CD182" s="191"/>
      <c r="CE182" s="191"/>
      <c r="CF182" s="191"/>
    </row>
    <row r="183" spans="1:87" s="50" customFormat="1" ht="12.75" customHeight="1">
      <c r="A183" s="42" t="s">
        <v>85</v>
      </c>
      <c r="B183" s="44">
        <v>-298</v>
      </c>
      <c r="C183" s="44">
        <v>-222</v>
      </c>
      <c r="D183" s="44">
        <v>-363</v>
      </c>
      <c r="E183" s="44">
        <v>-586</v>
      </c>
      <c r="F183" s="44">
        <v>-328</v>
      </c>
      <c r="G183" s="161">
        <f t="shared" ref="G183:AU183" si="662">G174</f>
        <v>-240</v>
      </c>
      <c r="H183" s="161">
        <f t="shared" si="662"/>
        <v>-432</v>
      </c>
      <c r="I183" s="161">
        <f t="shared" si="662"/>
        <v>-552</v>
      </c>
      <c r="J183" s="161">
        <f t="shared" si="662"/>
        <v>-374</v>
      </c>
      <c r="K183" s="161">
        <f t="shared" si="662"/>
        <v>-205</v>
      </c>
      <c r="L183" s="161">
        <f t="shared" si="662"/>
        <v>-445</v>
      </c>
      <c r="M183" s="161">
        <f t="shared" si="662"/>
        <v>-429</v>
      </c>
      <c r="N183" s="161">
        <f t="shared" si="662"/>
        <v>-309</v>
      </c>
      <c r="O183" s="161">
        <f t="shared" si="662"/>
        <v>-194</v>
      </c>
      <c r="P183" s="161">
        <f t="shared" si="662"/>
        <v>-413</v>
      </c>
      <c r="Q183" s="161">
        <f t="shared" si="662"/>
        <v>-517</v>
      </c>
      <c r="R183" s="161">
        <f t="shared" si="662"/>
        <v>-223</v>
      </c>
      <c r="S183" s="161">
        <f t="shared" si="662"/>
        <v>-367</v>
      </c>
      <c r="T183" s="161">
        <f t="shared" si="662"/>
        <v>-427</v>
      </c>
      <c r="U183" s="161">
        <f t="shared" si="662"/>
        <v>-401</v>
      </c>
      <c r="V183" s="161">
        <f t="shared" si="662"/>
        <v>-234</v>
      </c>
      <c r="W183" s="161">
        <f t="shared" si="662"/>
        <v>-173</v>
      </c>
      <c r="X183" s="161">
        <f t="shared" si="662"/>
        <v>-409</v>
      </c>
      <c r="Y183" s="161">
        <f t="shared" si="662"/>
        <v>-546</v>
      </c>
      <c r="Z183" s="161">
        <f t="shared" si="662"/>
        <v>-226</v>
      </c>
      <c r="AA183" s="161">
        <f t="shared" si="662"/>
        <v>-179</v>
      </c>
      <c r="AB183" s="161">
        <f t="shared" si="662"/>
        <v>-401</v>
      </c>
      <c r="AC183" s="161">
        <f t="shared" si="662"/>
        <v>-516</v>
      </c>
      <c r="AD183" s="161">
        <f t="shared" si="662"/>
        <v>-202</v>
      </c>
      <c r="AE183" s="161">
        <f t="shared" si="662"/>
        <v>-154</v>
      </c>
      <c r="AF183" s="161">
        <f t="shared" si="662"/>
        <v>-389</v>
      </c>
      <c r="AG183" s="161">
        <f t="shared" si="662"/>
        <v>-501</v>
      </c>
      <c r="AH183" s="161">
        <f t="shared" si="662"/>
        <v>-233</v>
      </c>
      <c r="AI183" s="161">
        <f t="shared" si="662"/>
        <v>-215</v>
      </c>
      <c r="AJ183" s="161">
        <f t="shared" si="662"/>
        <v>-418</v>
      </c>
      <c r="AK183" s="161">
        <f t="shared" si="662"/>
        <v>-413</v>
      </c>
      <c r="AL183" s="161">
        <f t="shared" si="662"/>
        <v>-276</v>
      </c>
      <c r="AM183" s="161">
        <f t="shared" si="662"/>
        <v>-187</v>
      </c>
      <c r="AN183" s="161">
        <f t="shared" si="662"/>
        <v>-405</v>
      </c>
      <c r="AO183" s="161">
        <f t="shared" si="662"/>
        <v>-508</v>
      </c>
      <c r="AP183" s="161">
        <f t="shared" si="662"/>
        <v>-269</v>
      </c>
      <c r="AQ183" s="161">
        <f t="shared" si="662"/>
        <v>-288</v>
      </c>
      <c r="AR183" s="161">
        <f t="shared" si="662"/>
        <v>-286</v>
      </c>
      <c r="AS183" s="161">
        <f t="shared" si="662"/>
        <v>-601</v>
      </c>
      <c r="AT183" s="161">
        <f t="shared" si="662"/>
        <v>-319</v>
      </c>
      <c r="AU183" s="161">
        <f t="shared" si="662"/>
        <v>-315</v>
      </c>
      <c r="AV183" s="161">
        <f t="shared" ref="AV183" si="663">AV174</f>
        <v>-494</v>
      </c>
      <c r="AW183" s="161">
        <f t="shared" ref="AW183:BN183" si="664">AW211+AW273+AW259</f>
        <v>-627.78655614583352</v>
      </c>
      <c r="AX183" s="161">
        <f t="shared" si="664"/>
        <v>-406.70491518120792</v>
      </c>
      <c r="AY183" s="161">
        <f>AY211+AY273+AY259</f>
        <v>-357.99347083276865</v>
      </c>
      <c r="AZ183" s="161">
        <f t="shared" si="664"/>
        <v>-534.43830525907401</v>
      </c>
      <c r="BA183" s="161">
        <f t="shared" si="664"/>
        <v>-682.01454608189431</v>
      </c>
      <c r="BB183" s="161">
        <f>BB211+BB273+BB259</f>
        <v>-368.8308615225472</v>
      </c>
      <c r="BC183" s="161">
        <f t="shared" si="664"/>
        <v>-337.60854990899134</v>
      </c>
      <c r="BD183" s="161">
        <f t="shared" si="664"/>
        <v>-522.66767138802106</v>
      </c>
      <c r="BE183" s="161">
        <f t="shared" si="664"/>
        <v>-660.49268966085208</v>
      </c>
      <c r="BF183" s="161">
        <f t="shared" si="664"/>
        <v>-385.11015500941619</v>
      </c>
      <c r="BG183" s="161">
        <f t="shared" si="664"/>
        <v>-354.15631895338953</v>
      </c>
      <c r="BH183" s="161">
        <f t="shared" si="664"/>
        <v>-637.10385839588832</v>
      </c>
      <c r="BI183" s="161">
        <f t="shared" si="664"/>
        <v>-710.52122673805991</v>
      </c>
      <c r="BJ183" s="161">
        <f t="shared" si="664"/>
        <v>-411.45494284364651</v>
      </c>
      <c r="BK183" s="161">
        <f t="shared" si="664"/>
        <v>-377.10579925031323</v>
      </c>
      <c r="BL183" s="161">
        <f t="shared" si="664"/>
        <v>-579.67395024591065</v>
      </c>
      <c r="BM183" s="161">
        <f t="shared" si="664"/>
        <v>-730.7518166466001</v>
      </c>
      <c r="BN183" s="161">
        <f t="shared" si="664"/>
        <v>-432.26505675102004</v>
      </c>
      <c r="BO183" s="161"/>
      <c r="BP183" s="29">
        <v>-1866</v>
      </c>
      <c r="BQ183" s="49">
        <f>SUM(C183:F183)</f>
        <v>-1499</v>
      </c>
      <c r="BR183" s="49">
        <f>SUM(G183:J183)</f>
        <v>-1598</v>
      </c>
      <c r="BS183" s="49">
        <f>SUM(K183:N183)</f>
        <v>-1388</v>
      </c>
      <c r="BT183" s="49">
        <f>SUM(O183:R183)</f>
        <v>-1347</v>
      </c>
      <c r="BU183" s="49">
        <f>SUM(S183:V183)</f>
        <v>-1429</v>
      </c>
      <c r="BV183" s="49">
        <f>SUM(W183:Z183)</f>
        <v>-1354</v>
      </c>
      <c r="BW183" s="49">
        <f>SUM(AA183:AD183)</f>
        <v>-1298</v>
      </c>
      <c r="BX183" s="49">
        <f>SUM(AE183:AH183)</f>
        <v>-1277</v>
      </c>
      <c r="BY183" s="49">
        <f>SUM(AI183:AL183)</f>
        <v>-1322</v>
      </c>
      <c r="BZ183" s="49">
        <f>SUM(AM183:AP183)</f>
        <v>-1369</v>
      </c>
      <c r="CA183" s="49">
        <f>SUM(AQ183:AT183)</f>
        <v>-1494</v>
      </c>
      <c r="CB183" s="49">
        <f>SUM(AU183:AX183)</f>
        <v>-1843.4914713270414</v>
      </c>
      <c r="CC183" s="49">
        <f>SUM(AY183:BB183)</f>
        <v>-1943.2771836962841</v>
      </c>
      <c r="CD183" s="49">
        <f>SUM(BC183:BF183)</f>
        <v>-1905.8790659672809</v>
      </c>
      <c r="CE183" s="49">
        <f>SUM(BG183:BJ183)</f>
        <v>-2113.2363469309844</v>
      </c>
      <c r="CF183" s="49">
        <f>SUM(BK183:BN183)</f>
        <v>-2119.796622893844</v>
      </c>
      <c r="CG183" s="43"/>
      <c r="CH183" s="43"/>
      <c r="CI183" s="43"/>
    </row>
    <row r="184" spans="1:87" ht="12.75" customHeight="1">
      <c r="A184" s="69" t="s">
        <v>0</v>
      </c>
      <c r="B184" s="34" t="s">
        <v>17</v>
      </c>
      <c r="C184" s="34">
        <f>IF(AND(B183&lt;0,C183&gt;0),"n/a",C183/B183-1)</f>
        <v>-0.25503355704697983</v>
      </c>
      <c r="D184" s="34">
        <f>IF(AND(C183&lt;0,D183&gt;0),"n/a",D183/C183-1)</f>
        <v>0.63513513513513509</v>
      </c>
      <c r="E184" s="34">
        <f>IF(AND(D183&lt;0,E183&gt;0),"n/a",E183/D183-1)</f>
        <v>0.61432506887052352</v>
      </c>
      <c r="F184" s="34">
        <f>IF(AND(E183&lt;0,F183&gt;0),"n/a",F183/E183-1)</f>
        <v>-0.44027303754266212</v>
      </c>
      <c r="G184" s="34">
        <f t="shared" ref="G184:AV184" si="665">IF(AND(F183&lt;0,G183&gt;0),"n/a",G183/F183-1)</f>
        <v>-0.26829268292682928</v>
      </c>
      <c r="H184" s="34">
        <f t="shared" si="665"/>
        <v>0.8</v>
      </c>
      <c r="I184" s="34">
        <f t="shared" si="665"/>
        <v>0.27777777777777768</v>
      </c>
      <c r="J184" s="34">
        <f t="shared" si="665"/>
        <v>-0.32246376811594202</v>
      </c>
      <c r="K184" s="34">
        <f t="shared" si="665"/>
        <v>-0.45187165775401072</v>
      </c>
      <c r="L184" s="34">
        <f t="shared" si="665"/>
        <v>1.1707317073170733</v>
      </c>
      <c r="M184" s="34">
        <f t="shared" si="665"/>
        <v>-3.5955056179775235E-2</v>
      </c>
      <c r="N184" s="34">
        <f t="shared" si="665"/>
        <v>-0.27972027972027969</v>
      </c>
      <c r="O184" s="34">
        <f t="shared" si="665"/>
        <v>-0.37216828478964403</v>
      </c>
      <c r="P184" s="34">
        <f t="shared" si="665"/>
        <v>1.1288659793814433</v>
      </c>
      <c r="Q184" s="34">
        <f t="shared" si="665"/>
        <v>0.25181598062953992</v>
      </c>
      <c r="R184" s="34">
        <f t="shared" si="665"/>
        <v>-0.56866537717601551</v>
      </c>
      <c r="S184" s="34">
        <f t="shared" si="665"/>
        <v>0.64573991031390143</v>
      </c>
      <c r="T184" s="34">
        <f t="shared" si="665"/>
        <v>0.1634877384196185</v>
      </c>
      <c r="U184" s="34">
        <f t="shared" si="665"/>
        <v>-6.0889929742388715E-2</v>
      </c>
      <c r="V184" s="34">
        <f t="shared" si="665"/>
        <v>-0.41645885286783046</v>
      </c>
      <c r="W184" s="34">
        <f t="shared" si="665"/>
        <v>-0.26068376068376065</v>
      </c>
      <c r="X184" s="34">
        <f t="shared" si="665"/>
        <v>1.3641618497109826</v>
      </c>
      <c r="Y184" s="34">
        <f t="shared" si="665"/>
        <v>0.33496332518337413</v>
      </c>
      <c r="Z184" s="34">
        <f t="shared" si="665"/>
        <v>-0.58608058608058611</v>
      </c>
      <c r="AA184" s="34">
        <f t="shared" si="665"/>
        <v>-0.20796460176991149</v>
      </c>
      <c r="AB184" s="34">
        <f t="shared" si="665"/>
        <v>1.2402234636871508</v>
      </c>
      <c r="AC184" s="34">
        <f t="shared" si="665"/>
        <v>0.28678304239401498</v>
      </c>
      <c r="AD184" s="34">
        <f t="shared" si="665"/>
        <v>-0.60852713178294571</v>
      </c>
      <c r="AE184" s="34">
        <f t="shared" si="665"/>
        <v>-0.23762376237623761</v>
      </c>
      <c r="AF184" s="34">
        <f t="shared" si="665"/>
        <v>1.5259740259740258</v>
      </c>
      <c r="AG184" s="34">
        <f t="shared" si="665"/>
        <v>0.28791773778920304</v>
      </c>
      <c r="AH184" s="34">
        <f t="shared" si="665"/>
        <v>-0.53493013972055881</v>
      </c>
      <c r="AI184" s="34">
        <f t="shared" si="665"/>
        <v>-7.7253218884120178E-2</v>
      </c>
      <c r="AJ184" s="34">
        <f t="shared" si="665"/>
        <v>0.94418604651162785</v>
      </c>
      <c r="AK184" s="34">
        <f t="shared" si="665"/>
        <v>-1.1961722488038284E-2</v>
      </c>
      <c r="AL184" s="34">
        <f t="shared" si="665"/>
        <v>-0.33171912832929784</v>
      </c>
      <c r="AM184" s="34">
        <f t="shared" si="665"/>
        <v>-0.32246376811594202</v>
      </c>
      <c r="AN184" s="34">
        <f t="shared" si="665"/>
        <v>1.1657754010695189</v>
      </c>
      <c r="AO184" s="34">
        <f t="shared" si="665"/>
        <v>0.2543209876543211</v>
      </c>
      <c r="AP184" s="34">
        <f t="shared" si="665"/>
        <v>-0.47047244094488194</v>
      </c>
      <c r="AQ184" s="34">
        <f t="shared" si="665"/>
        <v>7.0631970260222943E-2</v>
      </c>
      <c r="AR184" s="34">
        <f t="shared" si="665"/>
        <v>-6.9444444444444198E-3</v>
      </c>
      <c r="AS184" s="34">
        <f t="shared" si="665"/>
        <v>1.1013986013986012</v>
      </c>
      <c r="AT184" s="34">
        <f t="shared" si="665"/>
        <v>-0.46921797004991683</v>
      </c>
      <c r="AU184" s="34">
        <f t="shared" si="665"/>
        <v>-1.2539184952978011E-2</v>
      </c>
      <c r="AV184" s="34">
        <f t="shared" si="665"/>
        <v>0.56825396825396823</v>
      </c>
      <c r="AW184" s="34">
        <f>IF(AND(AV183&lt;0,AW183&gt;0),"n/a",AW183/AV183-1)</f>
        <v>0.2708229881494606</v>
      </c>
      <c r="AX184" s="34">
        <f>IF(AND(AW183&lt;0,AX183&gt;0),"n/a",AX183/AW183-1)</f>
        <v>-0.35216052143886434</v>
      </c>
      <c r="AY184" s="34">
        <f t="shared" ref="AY184:BF184" si="666">IF(AND(AX183&lt;0,AY183&gt;0),"n/a",AY183/AX183-1)</f>
        <v>-0.11977097529479286</v>
      </c>
      <c r="AZ184" s="34">
        <f t="shared" si="666"/>
        <v>0.49287165493788843</v>
      </c>
      <c r="BA184" s="34">
        <f t="shared" si="666"/>
        <v>0.27613335228896307</v>
      </c>
      <c r="BB184" s="34">
        <f t="shared" si="666"/>
        <v>-0.45920381956448908</v>
      </c>
      <c r="BC184" s="34">
        <f t="shared" si="666"/>
        <v>-8.4652112582632166E-2</v>
      </c>
      <c r="BD184" s="34">
        <f t="shared" si="666"/>
        <v>0.54814702272473803</v>
      </c>
      <c r="BE184" s="34">
        <f t="shared" si="666"/>
        <v>0.26369531887598163</v>
      </c>
      <c r="BF184" s="34">
        <f t="shared" si="666"/>
        <v>-0.41693502284308182</v>
      </c>
      <c r="BG184" s="34">
        <f t="shared" ref="BG184:BN184" si="667">IF(AND(BF183&lt;0,BG183&gt;0),"n/a",BG183/BF183-1)</f>
        <v>-8.0376577073824063E-2</v>
      </c>
      <c r="BH184" s="34">
        <f t="shared" si="667"/>
        <v>0.7989340421164064</v>
      </c>
      <c r="BI184" s="34">
        <f t="shared" si="667"/>
        <v>0.11523610691516328</v>
      </c>
      <c r="BJ184" s="34">
        <f t="shared" si="667"/>
        <v>-0.42091111797940262</v>
      </c>
      <c r="BK184" s="34">
        <f t="shared" si="667"/>
        <v>-8.3482150818117717E-2</v>
      </c>
      <c r="BL184" s="34">
        <f t="shared" si="667"/>
        <v>0.53716530320749012</v>
      </c>
      <c r="BM184" s="34">
        <f t="shared" si="667"/>
        <v>0.26062559191524626</v>
      </c>
      <c r="BN184" s="34">
        <f t="shared" si="667"/>
        <v>-0.40846529984054991</v>
      </c>
      <c r="BO184" s="35"/>
      <c r="BP184" s="35" t="s">
        <v>17</v>
      </c>
      <c r="BQ184" s="35" t="s">
        <v>17</v>
      </c>
      <c r="BR184" s="35" t="s">
        <v>17</v>
      </c>
      <c r="BS184" s="35" t="s">
        <v>17</v>
      </c>
      <c r="BT184" s="35" t="s">
        <v>17</v>
      </c>
      <c r="BU184" s="35" t="s">
        <v>17</v>
      </c>
      <c r="BV184" s="35" t="s">
        <v>17</v>
      </c>
      <c r="BW184" s="35" t="s">
        <v>17</v>
      </c>
      <c r="BX184" s="35" t="s">
        <v>17</v>
      </c>
      <c r="BY184" s="35" t="s">
        <v>17</v>
      </c>
      <c r="BZ184" s="35" t="s">
        <v>17</v>
      </c>
      <c r="CA184" s="35" t="s">
        <v>17</v>
      </c>
      <c r="CB184" s="35" t="s">
        <v>17</v>
      </c>
      <c r="CC184" s="35" t="s">
        <v>17</v>
      </c>
      <c r="CD184" s="35" t="s">
        <v>17</v>
      </c>
      <c r="CE184" s="35" t="s">
        <v>17</v>
      </c>
      <c r="CF184" s="35" t="s">
        <v>17</v>
      </c>
    </row>
    <row r="185" spans="1:87" ht="12.75" customHeight="1">
      <c r="A185" s="69" t="s">
        <v>1</v>
      </c>
      <c r="B185" s="34" t="s">
        <v>17</v>
      </c>
      <c r="C185" s="34" t="s">
        <v>17</v>
      </c>
      <c r="D185" s="34" t="s">
        <v>17</v>
      </c>
      <c r="E185" s="34" t="s">
        <v>17</v>
      </c>
      <c r="F185" s="34">
        <f>IF(AND(B183&lt;0,F183&gt;0),"n/a",F183/B183-1)</f>
        <v>0.10067114093959728</v>
      </c>
      <c r="G185" s="34">
        <f t="shared" ref="G185:AV185" si="668">IF(AND(C183&lt;0,G183&gt;0),"n/a",G183/C183-1)</f>
        <v>8.1081081081081141E-2</v>
      </c>
      <c r="H185" s="34">
        <f t="shared" si="668"/>
        <v>0.19008264462809921</v>
      </c>
      <c r="I185" s="34">
        <f t="shared" si="668"/>
        <v>-5.8020477815699634E-2</v>
      </c>
      <c r="J185" s="34">
        <f t="shared" si="668"/>
        <v>0.14024390243902429</v>
      </c>
      <c r="K185" s="34">
        <f t="shared" si="668"/>
        <v>-0.14583333333333337</v>
      </c>
      <c r="L185" s="34">
        <f t="shared" si="668"/>
        <v>3.009259259259256E-2</v>
      </c>
      <c r="M185" s="34">
        <f t="shared" si="668"/>
        <v>-0.22282608695652173</v>
      </c>
      <c r="N185" s="34">
        <f t="shared" si="668"/>
        <v>-0.1737967914438503</v>
      </c>
      <c r="O185" s="34">
        <f t="shared" si="668"/>
        <v>-5.3658536585365901E-2</v>
      </c>
      <c r="P185" s="34">
        <f t="shared" si="668"/>
        <v>-7.1910112359550582E-2</v>
      </c>
      <c r="Q185" s="34">
        <f t="shared" si="668"/>
        <v>0.20512820512820507</v>
      </c>
      <c r="R185" s="34">
        <f t="shared" si="668"/>
        <v>-0.27831715210355989</v>
      </c>
      <c r="S185" s="34">
        <f t="shared" si="668"/>
        <v>0.89175257731958757</v>
      </c>
      <c r="T185" s="34">
        <f t="shared" si="668"/>
        <v>3.3898305084745672E-2</v>
      </c>
      <c r="U185" s="34">
        <f t="shared" si="668"/>
        <v>-0.22437137330754353</v>
      </c>
      <c r="V185" s="34">
        <f t="shared" si="668"/>
        <v>4.9327354260089606E-2</v>
      </c>
      <c r="W185" s="34">
        <f t="shared" si="668"/>
        <v>-0.52861035422343328</v>
      </c>
      <c r="X185" s="34">
        <f t="shared" si="668"/>
        <v>-4.2154566744730726E-2</v>
      </c>
      <c r="Y185" s="34">
        <f t="shared" si="668"/>
        <v>0.36159600997506236</v>
      </c>
      <c r="Z185" s="34">
        <f t="shared" si="668"/>
        <v>-3.4188034188034178E-2</v>
      </c>
      <c r="AA185" s="34">
        <f t="shared" si="668"/>
        <v>3.4682080924855585E-2</v>
      </c>
      <c r="AB185" s="34">
        <f t="shared" si="668"/>
        <v>-1.9559902200488977E-2</v>
      </c>
      <c r="AC185" s="34">
        <f t="shared" si="668"/>
        <v>-5.4945054945054972E-2</v>
      </c>
      <c r="AD185" s="34">
        <f t="shared" si="668"/>
        <v>-0.10619469026548678</v>
      </c>
      <c r="AE185" s="34">
        <f t="shared" si="668"/>
        <v>-0.13966480446927376</v>
      </c>
      <c r="AF185" s="34">
        <f t="shared" si="668"/>
        <v>-2.9925187032418976E-2</v>
      </c>
      <c r="AG185" s="34">
        <f t="shared" si="668"/>
        <v>-2.9069767441860517E-2</v>
      </c>
      <c r="AH185" s="34">
        <f t="shared" si="668"/>
        <v>0.15346534653465338</v>
      </c>
      <c r="AI185" s="34">
        <f t="shared" si="668"/>
        <v>0.39610389610389607</v>
      </c>
      <c r="AJ185" s="34">
        <f t="shared" si="668"/>
        <v>7.455012853470433E-2</v>
      </c>
      <c r="AK185" s="34">
        <f t="shared" si="668"/>
        <v>-0.17564870259481036</v>
      </c>
      <c r="AL185" s="34">
        <f t="shared" si="668"/>
        <v>0.18454935622317592</v>
      </c>
      <c r="AM185" s="34">
        <f t="shared" si="668"/>
        <v>-0.13023255813953494</v>
      </c>
      <c r="AN185" s="34">
        <f t="shared" si="668"/>
        <v>-3.1100478468899517E-2</v>
      </c>
      <c r="AO185" s="34">
        <f t="shared" si="668"/>
        <v>0.23002421307506049</v>
      </c>
      <c r="AP185" s="34">
        <f t="shared" si="668"/>
        <v>-2.5362318840579712E-2</v>
      </c>
      <c r="AQ185" s="34">
        <f t="shared" si="668"/>
        <v>0.54010695187165769</v>
      </c>
      <c r="AR185" s="34">
        <f t="shared" si="668"/>
        <v>-0.29382716049382718</v>
      </c>
      <c r="AS185" s="34">
        <f t="shared" si="668"/>
        <v>0.18307086614173218</v>
      </c>
      <c r="AT185" s="34">
        <f t="shared" si="668"/>
        <v>0.18587360594795532</v>
      </c>
      <c r="AU185" s="34">
        <f t="shared" si="668"/>
        <v>9.375E-2</v>
      </c>
      <c r="AV185" s="34">
        <f t="shared" si="668"/>
        <v>0.72727272727272729</v>
      </c>
      <c r="AW185" s="34">
        <f>IF(AND(AS183&lt;0,AW183&gt;0),"n/a",AW183/AS183-1)</f>
        <v>4.4569976948142243E-2</v>
      </c>
      <c r="AX185" s="34">
        <f>IF(AND(AT183&lt;0,AX183&gt;0),"n/a",AX183/AT183-1)</f>
        <v>0.27493703818560467</v>
      </c>
      <c r="AY185" s="34">
        <f t="shared" ref="AY185:BF185" si="669">IF(AND(AU183&lt;0,AY183&gt;0),"n/a",AY183/AU183-1)</f>
        <v>0.13648720899291633</v>
      </c>
      <c r="AZ185" s="34">
        <f t="shared" si="669"/>
        <v>8.1858917528489838E-2</v>
      </c>
      <c r="BA185" s="34">
        <f t="shared" si="669"/>
        <v>8.6379661057067514E-2</v>
      </c>
      <c r="BB185" s="34">
        <f t="shared" si="669"/>
        <v>-9.312416015868874E-2</v>
      </c>
      <c r="BC185" s="34">
        <f t="shared" si="669"/>
        <v>-5.6942158404056031E-2</v>
      </c>
      <c r="BD185" s="34">
        <f t="shared" si="669"/>
        <v>-2.2024308054316988E-2</v>
      </c>
      <c r="BE185" s="34">
        <f t="shared" si="669"/>
        <v>-3.1556301173755297E-2</v>
      </c>
      <c r="BF185" s="34">
        <f t="shared" si="669"/>
        <v>4.4137557848785924E-2</v>
      </c>
      <c r="BG185" s="34">
        <f t="shared" ref="BG185:BN185" si="670">IF(AND(BC183&lt;0,BG183&gt;0),"n/a",BG183/BC183-1)</f>
        <v>4.9014662243770157E-2</v>
      </c>
      <c r="BH185" s="34">
        <f t="shared" si="670"/>
        <v>0.21894636548682089</v>
      </c>
      <c r="BI185" s="34">
        <f t="shared" si="670"/>
        <v>7.5744270694193983E-2</v>
      </c>
      <c r="BJ185" s="34">
        <f t="shared" si="670"/>
        <v>6.8408447535189376E-2</v>
      </c>
      <c r="BK185" s="34">
        <f t="shared" si="670"/>
        <v>6.4800425881837986E-2</v>
      </c>
      <c r="BL185" s="34">
        <f t="shared" si="670"/>
        <v>-9.0142144633334587E-2</v>
      </c>
      <c r="BM185" s="34">
        <f t="shared" si="670"/>
        <v>2.8472886026807531E-2</v>
      </c>
      <c r="BN185" s="34">
        <f t="shared" si="670"/>
        <v>5.0576896132419114E-2</v>
      </c>
      <c r="BO185" s="35"/>
      <c r="BP185" s="35" t="s">
        <v>17</v>
      </c>
      <c r="BQ185" s="35">
        <f>IF(AND(BP183&lt;0,BQ183&gt;0),"n/a",BQ183/BP183-1)</f>
        <v>-0.19667738478027863</v>
      </c>
      <c r="BR185" s="35">
        <f t="shared" ref="BR185:CF185" si="671">IF(AND(BQ183&lt;0,BR183&gt;0),"n/a",BR183/BQ183-1)</f>
        <v>6.6044029352901878E-2</v>
      </c>
      <c r="BS185" s="35">
        <f t="shared" si="671"/>
        <v>-0.13141426783479349</v>
      </c>
      <c r="BT185" s="35">
        <f t="shared" si="671"/>
        <v>-2.9538904899135465E-2</v>
      </c>
      <c r="BU185" s="35">
        <f t="shared" si="671"/>
        <v>6.0876020786933882E-2</v>
      </c>
      <c r="BV185" s="35">
        <f t="shared" si="671"/>
        <v>-5.2484254723582979E-2</v>
      </c>
      <c r="BW185" s="35">
        <f t="shared" si="671"/>
        <v>-4.1358936484490405E-2</v>
      </c>
      <c r="BX185" s="35">
        <f t="shared" si="671"/>
        <v>-1.6178736517719616E-2</v>
      </c>
      <c r="BY185" s="35">
        <f t="shared" si="671"/>
        <v>3.5238841033672585E-2</v>
      </c>
      <c r="BZ185" s="35">
        <f t="shared" si="671"/>
        <v>3.5552193645990826E-2</v>
      </c>
      <c r="CA185" s="35">
        <f t="shared" si="671"/>
        <v>9.1307523739956098E-2</v>
      </c>
      <c r="CB185" s="35">
        <f t="shared" si="671"/>
        <v>0.23393003435544935</v>
      </c>
      <c r="CC185" s="35">
        <f t="shared" si="671"/>
        <v>5.4128654198444259E-2</v>
      </c>
      <c r="CD185" s="35">
        <f t="shared" si="671"/>
        <v>-1.9244870491336052E-2</v>
      </c>
      <c r="CE185" s="35">
        <f t="shared" si="671"/>
        <v>0.10879876098458774</v>
      </c>
      <c r="CF185" s="35">
        <f t="shared" si="671"/>
        <v>3.1043739960212591E-3</v>
      </c>
    </row>
    <row r="186" spans="1:87" ht="12.75" customHeight="1">
      <c r="A186" s="69" t="s">
        <v>479</v>
      </c>
      <c r="B186" s="34">
        <f t="shared" ref="B186:L186" si="672">B183/B$128</f>
        <v>-0.30439223697650664</v>
      </c>
      <c r="C186" s="34">
        <f t="shared" si="672"/>
        <v>-0.2723926380368098</v>
      </c>
      <c r="D186" s="34">
        <f t="shared" si="672"/>
        <v>-0.57527733755942945</v>
      </c>
      <c r="E186" s="34">
        <f t="shared" si="672"/>
        <v>-0.55650522317188988</v>
      </c>
      <c r="F186" s="34">
        <f t="shared" si="672"/>
        <v>-0.30091743119266057</v>
      </c>
      <c r="G186" s="34">
        <f t="shared" si="672"/>
        <v>-0.24024024024024024</v>
      </c>
      <c r="H186" s="34">
        <f t="shared" si="672"/>
        <v>-0.60419580419580421</v>
      </c>
      <c r="I186" s="34">
        <f t="shared" si="672"/>
        <v>-0.52026390197926486</v>
      </c>
      <c r="J186" s="34">
        <f t="shared" si="672"/>
        <v>-0.27339181286549707</v>
      </c>
      <c r="K186" s="34">
        <f t="shared" si="672"/>
        <v>-0.21465968586387435</v>
      </c>
      <c r="L186" s="34">
        <f t="shared" si="672"/>
        <v>-0.62587904360056257</v>
      </c>
      <c r="M186" s="34">
        <f t="shared" ref="M186:R186" si="673">M183/M$128</f>
        <v>-0.46529284164859003</v>
      </c>
      <c r="N186" s="34">
        <f t="shared" si="673"/>
        <v>-0.25558312655086851</v>
      </c>
      <c r="O186" s="34">
        <f t="shared" si="673"/>
        <v>-0.20442571127502634</v>
      </c>
      <c r="P186" s="34">
        <f t="shared" si="673"/>
        <v>-0.5942446043165468</v>
      </c>
      <c r="Q186" s="34">
        <f t="shared" si="673"/>
        <v>-0.63985148514851486</v>
      </c>
      <c r="R186" s="34">
        <f t="shared" si="673"/>
        <v>-0.19857524487978628</v>
      </c>
      <c r="S186" s="34">
        <f t="shared" ref="S186:X186" si="674">S183/S$128</f>
        <v>-0.30230642504118616</v>
      </c>
      <c r="T186" s="34">
        <f t="shared" si="674"/>
        <v>-0.43131313131313131</v>
      </c>
      <c r="U186" s="34">
        <f t="shared" si="674"/>
        <v>-0.35612788632326819</v>
      </c>
      <c r="V186" s="34">
        <f t="shared" si="674"/>
        <v>-0.19746835443037974</v>
      </c>
      <c r="W186" s="34">
        <f t="shared" si="674"/>
        <v>-0.14380714879467996</v>
      </c>
      <c r="X186" s="34">
        <f t="shared" si="674"/>
        <v>-0.501840490797546</v>
      </c>
      <c r="Y186" s="34">
        <f t="shared" ref="Y186:AF186" si="675">Y183/Y$128</f>
        <v>-0.51028037383177571</v>
      </c>
      <c r="Z186" s="34">
        <f t="shared" si="675"/>
        <v>-0.172782874617737</v>
      </c>
      <c r="AA186" s="34">
        <f t="shared" si="675"/>
        <v>-0.14083398898505115</v>
      </c>
      <c r="AB186" s="34">
        <f t="shared" si="675"/>
        <v>-0.44654788418708241</v>
      </c>
      <c r="AC186" s="34">
        <f t="shared" si="675"/>
        <v>-0.44908616187989558</v>
      </c>
      <c r="AD186" s="34">
        <f t="shared" si="675"/>
        <v>-0.13228552717747216</v>
      </c>
      <c r="AE186" s="34">
        <f t="shared" si="675"/>
        <v>-0.10628019323671498</v>
      </c>
      <c r="AF186" s="34">
        <f t="shared" si="675"/>
        <v>-0.40563086548488009</v>
      </c>
      <c r="AG186" s="34">
        <f t="shared" ref="AG186:AP186" si="676">AG183/AG$128</f>
        <v>-0.43189655172413793</v>
      </c>
      <c r="AH186" s="34">
        <f t="shared" si="676"/>
        <v>-0.1472819216182048</v>
      </c>
      <c r="AI186" s="34">
        <f t="shared" si="676"/>
        <v>-0.18909410729991205</v>
      </c>
      <c r="AJ186" s="34">
        <f t="shared" si="676"/>
        <v>-0.32503888024883359</v>
      </c>
      <c r="AK186" s="34">
        <f t="shared" si="676"/>
        <v>-0.32040341349883633</v>
      </c>
      <c r="AL186" s="34">
        <f t="shared" si="676"/>
        <v>-0.22294022617124395</v>
      </c>
      <c r="AM186" s="34">
        <f t="shared" si="676"/>
        <v>-0.15467328370554176</v>
      </c>
      <c r="AN186" s="34">
        <f t="shared" si="676"/>
        <v>-0.30044510385756679</v>
      </c>
      <c r="AO186" s="34">
        <f t="shared" si="676"/>
        <v>-0.31889516635279347</v>
      </c>
      <c r="AP186" s="34">
        <f t="shared" si="676"/>
        <v>-0.19394376351838499</v>
      </c>
      <c r="AQ186" s="34">
        <f t="shared" ref="AQ186:AX186" si="677">AQ183/AQ$128</f>
        <v>-0.19739547635366689</v>
      </c>
      <c r="AR186" s="34">
        <f t="shared" si="677"/>
        <v>-0.24847958297132927</v>
      </c>
      <c r="AS186" s="34">
        <f t="shared" si="677"/>
        <v>-0.35923490735206215</v>
      </c>
      <c r="AT186" s="34">
        <f>AT183/AT$128</f>
        <v>-0.23699851411589895</v>
      </c>
      <c r="AU186" s="34">
        <f>AU183/AU$128</f>
        <v>-0.20309477756286268</v>
      </c>
      <c r="AV186" s="34">
        <f>AV183/AV$128</f>
        <v>-0.27053669222343923</v>
      </c>
      <c r="AW186" s="34">
        <f t="shared" si="677"/>
        <v>-0.3602882489071404</v>
      </c>
      <c r="AX186" s="34">
        <f t="shared" si="677"/>
        <v>-0.22523631521259041</v>
      </c>
      <c r="AY186" s="34">
        <f t="shared" ref="AY186:BF186" si="678">AY183/AY$128</f>
        <v>-0.17271164707862821</v>
      </c>
      <c r="AZ186" s="34">
        <f t="shared" si="678"/>
        <v>-0.25028431357951908</v>
      </c>
      <c r="BA186" s="34">
        <f t="shared" si="678"/>
        <v>-0.34577467866901102</v>
      </c>
      <c r="BB186" s="34">
        <f t="shared" si="678"/>
        <v>-0.19456297663091918</v>
      </c>
      <c r="BC186" s="34">
        <f t="shared" si="678"/>
        <v>-0.15925886615031215</v>
      </c>
      <c r="BD186" s="34">
        <f t="shared" si="678"/>
        <v>-0.23735131649795918</v>
      </c>
      <c r="BE186" s="34">
        <f t="shared" si="678"/>
        <v>-0.32031899705442063</v>
      </c>
      <c r="BF186" s="34">
        <f t="shared" si="678"/>
        <v>-0.19416501217811816</v>
      </c>
      <c r="BG186" s="34">
        <f t="shared" ref="BG186:BN186" si="679">BG183/BG$128</f>
        <v>-0.16063349181457856</v>
      </c>
      <c r="BH186" s="34">
        <f t="shared" si="679"/>
        <v>-0.25303156119662124</v>
      </c>
      <c r="BI186" s="34">
        <f t="shared" si="679"/>
        <v>-0.30969218896345457</v>
      </c>
      <c r="BJ186" s="34">
        <f t="shared" si="679"/>
        <v>-0.18995218188628479</v>
      </c>
      <c r="BK186" s="34">
        <f t="shared" si="679"/>
        <v>-0.15958542287556723</v>
      </c>
      <c r="BL186" s="34">
        <f t="shared" si="679"/>
        <v>-0.23704998460668175</v>
      </c>
      <c r="BM186" s="34">
        <f t="shared" si="679"/>
        <v>-0.31138256171411605</v>
      </c>
      <c r="BN186" s="34">
        <f t="shared" si="679"/>
        <v>-0.19308982654698473</v>
      </c>
      <c r="BO186" s="35"/>
      <c r="BP186" s="35">
        <f t="shared" ref="BP186:BW186" si="680">BP183/BP$128</f>
        <v>-0.51067323481116589</v>
      </c>
      <c r="BQ186" s="35">
        <f t="shared" si="680"/>
        <v>-0.41766508776818057</v>
      </c>
      <c r="BR186" s="35">
        <f t="shared" si="680"/>
        <v>-0.3857108375573256</v>
      </c>
      <c r="BS186" s="35">
        <f t="shared" si="680"/>
        <v>-0.36555175138267054</v>
      </c>
      <c r="BT186" s="35">
        <f t="shared" si="680"/>
        <v>-0.3767832167832168</v>
      </c>
      <c r="BU186" s="35">
        <f t="shared" si="680"/>
        <v>-0.31650055370985603</v>
      </c>
      <c r="BV186" s="35">
        <f t="shared" si="680"/>
        <v>-0.30800727934485894</v>
      </c>
      <c r="BW186" s="35">
        <f t="shared" si="680"/>
        <v>-0.2679050567595459</v>
      </c>
      <c r="BX186" s="35">
        <f t="shared" ref="BX186:CC186" si="681">BX183/BX$128</f>
        <v>-0.24796116504854368</v>
      </c>
      <c r="BY186" s="35">
        <f t="shared" si="681"/>
        <v>-0.26707070707070707</v>
      </c>
      <c r="BZ186" s="35">
        <f t="shared" si="681"/>
        <v>-0.24724580097525736</v>
      </c>
      <c r="CA186" s="35">
        <f t="shared" si="681"/>
        <v>-0.2654112631017943</v>
      </c>
      <c r="CB186" s="35">
        <f t="shared" si="681"/>
        <v>-0.26620287725624986</v>
      </c>
      <c r="CC186" s="35">
        <f t="shared" si="681"/>
        <v>-0.24061717625579343</v>
      </c>
      <c r="CD186" s="35">
        <f>CD183/CD$128</f>
        <v>-0.22777547841999721</v>
      </c>
      <c r="CE186" s="35">
        <f>CE183/CE$128</f>
        <v>-0.2301245786772369</v>
      </c>
      <c r="CF186" s="35">
        <f>CF183/CF$128</f>
        <v>-0.22565741453891622</v>
      </c>
    </row>
    <row r="187" spans="1:87" ht="12.75" customHeight="1">
      <c r="A187" s="192"/>
      <c r="B187" s="193"/>
      <c r="C187" s="193"/>
      <c r="D187" s="193"/>
      <c r="E187" s="193"/>
      <c r="F187" s="193"/>
      <c r="G187" s="193"/>
      <c r="H187" s="193"/>
      <c r="I187" s="193"/>
      <c r="J187" s="193"/>
      <c r="K187" s="193"/>
      <c r="L187" s="193"/>
      <c r="M187" s="193"/>
      <c r="N187" s="193"/>
      <c r="O187" s="193"/>
      <c r="P187" s="193"/>
      <c r="Q187" s="193"/>
      <c r="R187" s="193"/>
      <c r="S187" s="193"/>
      <c r="T187" s="193"/>
      <c r="U187" s="193"/>
      <c r="V187" s="193"/>
      <c r="W187" s="193"/>
      <c r="X187" s="193"/>
      <c r="Y187" s="193"/>
      <c r="Z187" s="193"/>
      <c r="AA187" s="193"/>
      <c r="AB187" s="193"/>
      <c r="AC187" s="193"/>
      <c r="AD187" s="193"/>
      <c r="AE187" s="193"/>
      <c r="AF187" s="193"/>
      <c r="AG187" s="193"/>
      <c r="AH187" s="193"/>
      <c r="AI187" s="193"/>
      <c r="AJ187" s="193"/>
      <c r="AK187" s="193"/>
      <c r="AL187" s="193"/>
      <c r="AM187" s="193"/>
      <c r="AN187" s="193"/>
      <c r="AO187" s="193"/>
      <c r="AP187" s="193"/>
      <c r="AQ187" s="193"/>
      <c r="AR187" s="193"/>
      <c r="AS187" s="193"/>
      <c r="AT187" s="193"/>
      <c r="AU187" s="193"/>
      <c r="AV187" s="193"/>
      <c r="AW187" s="193"/>
      <c r="AX187" s="193"/>
      <c r="AY187" s="193"/>
      <c r="AZ187" s="193"/>
      <c r="BA187" s="193"/>
      <c r="BB187" s="193"/>
      <c r="BC187" s="193"/>
      <c r="BD187" s="193"/>
      <c r="BE187" s="193"/>
      <c r="BF187" s="193"/>
      <c r="BG187" s="193"/>
      <c r="BH187" s="193"/>
      <c r="BI187" s="193"/>
      <c r="BJ187" s="193"/>
      <c r="BK187" s="193"/>
      <c r="BL187" s="193"/>
      <c r="BM187" s="193"/>
      <c r="BN187" s="193"/>
      <c r="BO187" s="193"/>
      <c r="BP187" s="193"/>
      <c r="BQ187" s="193"/>
      <c r="BR187" s="193"/>
      <c r="BS187" s="193"/>
      <c r="BT187" s="193"/>
      <c r="BU187" s="193"/>
      <c r="BV187" s="193"/>
      <c r="BW187" s="193"/>
      <c r="BX187" s="193"/>
      <c r="BY187" s="193"/>
      <c r="BZ187" s="193"/>
      <c r="CA187" s="193"/>
      <c r="CB187" s="193"/>
      <c r="CC187" s="193"/>
      <c r="CD187" s="193"/>
      <c r="CE187" s="193"/>
      <c r="CF187" s="193"/>
    </row>
    <row r="188" spans="1:87" s="50" customFormat="1" ht="12.75" customHeight="1">
      <c r="A188" s="194" t="s">
        <v>371</v>
      </c>
      <c r="B188" s="195">
        <f t="shared" ref="B188:AG188" si="682">B128+B183</f>
        <v>681</v>
      </c>
      <c r="C188" s="195">
        <f t="shared" si="682"/>
        <v>593</v>
      </c>
      <c r="D188" s="195">
        <f t="shared" si="682"/>
        <v>268</v>
      </c>
      <c r="E188" s="195">
        <f t="shared" si="682"/>
        <v>467</v>
      </c>
      <c r="F188" s="195">
        <f t="shared" si="682"/>
        <v>762</v>
      </c>
      <c r="G188" s="195">
        <f t="shared" si="682"/>
        <v>759</v>
      </c>
      <c r="H188" s="195">
        <f t="shared" si="682"/>
        <v>283</v>
      </c>
      <c r="I188" s="195">
        <f t="shared" si="682"/>
        <v>509</v>
      </c>
      <c r="J188" s="195">
        <f t="shared" si="682"/>
        <v>994</v>
      </c>
      <c r="K188" s="195">
        <f t="shared" si="682"/>
        <v>750</v>
      </c>
      <c r="L188" s="195">
        <f t="shared" si="682"/>
        <v>266</v>
      </c>
      <c r="M188" s="195">
        <f t="shared" si="682"/>
        <v>493</v>
      </c>
      <c r="N188" s="195">
        <f t="shared" si="682"/>
        <v>900</v>
      </c>
      <c r="O188" s="195">
        <f t="shared" si="682"/>
        <v>755</v>
      </c>
      <c r="P188" s="195">
        <f t="shared" si="682"/>
        <v>282</v>
      </c>
      <c r="Q188" s="195">
        <f t="shared" si="682"/>
        <v>291</v>
      </c>
      <c r="R188" s="195">
        <f t="shared" si="682"/>
        <v>900</v>
      </c>
      <c r="S188" s="195">
        <f t="shared" si="682"/>
        <v>847</v>
      </c>
      <c r="T188" s="195">
        <f t="shared" si="682"/>
        <v>563</v>
      </c>
      <c r="U188" s="195">
        <f t="shared" si="682"/>
        <v>725</v>
      </c>
      <c r="V188" s="195">
        <f t="shared" si="682"/>
        <v>951</v>
      </c>
      <c r="W188" s="195">
        <f t="shared" si="682"/>
        <v>1030</v>
      </c>
      <c r="X188" s="195">
        <f t="shared" si="682"/>
        <v>406</v>
      </c>
      <c r="Y188" s="195">
        <f t="shared" si="682"/>
        <v>524</v>
      </c>
      <c r="Z188" s="195">
        <f t="shared" si="682"/>
        <v>1082</v>
      </c>
      <c r="AA188" s="195">
        <f t="shared" si="682"/>
        <v>1092</v>
      </c>
      <c r="AB188" s="195">
        <f t="shared" si="682"/>
        <v>497</v>
      </c>
      <c r="AC188" s="195">
        <f t="shared" si="682"/>
        <v>633</v>
      </c>
      <c r="AD188" s="195">
        <f t="shared" si="682"/>
        <v>1325</v>
      </c>
      <c r="AE188" s="195">
        <f t="shared" si="682"/>
        <v>1295</v>
      </c>
      <c r="AF188" s="195">
        <f t="shared" si="682"/>
        <v>570</v>
      </c>
      <c r="AG188" s="195">
        <f t="shared" si="682"/>
        <v>659</v>
      </c>
      <c r="AH188" s="195">
        <f t="shared" ref="AH188:BN188" si="683">AH128+AH183</f>
        <v>1349</v>
      </c>
      <c r="AI188" s="195">
        <f t="shared" si="683"/>
        <v>922</v>
      </c>
      <c r="AJ188" s="195">
        <f t="shared" si="683"/>
        <v>868</v>
      </c>
      <c r="AK188" s="195">
        <f t="shared" si="683"/>
        <v>876</v>
      </c>
      <c r="AL188" s="195">
        <f t="shared" si="683"/>
        <v>962</v>
      </c>
      <c r="AM188" s="195">
        <f t="shared" si="683"/>
        <v>1022</v>
      </c>
      <c r="AN188" s="195">
        <f t="shared" si="683"/>
        <v>943</v>
      </c>
      <c r="AO188" s="195">
        <f t="shared" si="683"/>
        <v>1085</v>
      </c>
      <c r="AP188" s="195">
        <f t="shared" si="683"/>
        <v>1118</v>
      </c>
      <c r="AQ188" s="195">
        <f t="shared" si="683"/>
        <v>1171</v>
      </c>
      <c r="AR188" s="195">
        <f t="shared" si="683"/>
        <v>865</v>
      </c>
      <c r="AS188" s="195">
        <f t="shared" si="683"/>
        <v>1072</v>
      </c>
      <c r="AT188" s="195">
        <f t="shared" si="683"/>
        <v>1027</v>
      </c>
      <c r="AU188" s="195">
        <f t="shared" si="683"/>
        <v>1236</v>
      </c>
      <c r="AV188" s="195">
        <f t="shared" ref="AV188" si="684">AV128+AV183</f>
        <v>1332</v>
      </c>
      <c r="AW188" s="195">
        <f t="shared" si="683"/>
        <v>1114.6698188541664</v>
      </c>
      <c r="AX188" s="195">
        <f t="shared" si="683"/>
        <v>1398.9759973187922</v>
      </c>
      <c r="AY188" s="195">
        <f t="shared" si="683"/>
        <v>1714.7878203432083</v>
      </c>
      <c r="AZ188" s="195">
        <f t="shared" si="683"/>
        <v>1600.8865084123788</v>
      </c>
      <c r="BA188" s="195">
        <f t="shared" si="683"/>
        <v>1290.4102384835055</v>
      </c>
      <c r="BB188" s="195">
        <f t="shared" si="683"/>
        <v>1526.8579684351153</v>
      </c>
      <c r="BC188" s="195">
        <f t="shared" si="683"/>
        <v>1782.2643216606748</v>
      </c>
      <c r="BD188" s="195">
        <f t="shared" si="683"/>
        <v>1679.4168971739364</v>
      </c>
      <c r="BE188" s="195">
        <f t="shared" si="683"/>
        <v>1401.4914440764223</v>
      </c>
      <c r="BF188" s="195">
        <f t="shared" si="683"/>
        <v>1598.3066855907514</v>
      </c>
      <c r="BG188" s="195">
        <f t="shared" si="683"/>
        <v>1850.5913644387952</v>
      </c>
      <c r="BH188" s="195">
        <f t="shared" si="683"/>
        <v>1880.7791099695442</v>
      </c>
      <c r="BI188" s="195">
        <f t="shared" si="683"/>
        <v>1583.7608121993362</v>
      </c>
      <c r="BJ188" s="195">
        <f t="shared" si="683"/>
        <v>1754.6425389423996</v>
      </c>
      <c r="BK188" s="195">
        <f t="shared" si="683"/>
        <v>1985.9283203782202</v>
      </c>
      <c r="BL188" s="195">
        <f t="shared" si="683"/>
        <v>1865.6919552095048</v>
      </c>
      <c r="BM188" s="195">
        <f t="shared" si="683"/>
        <v>1616.0456810164574</v>
      </c>
      <c r="BN188" s="195">
        <f t="shared" si="683"/>
        <v>1806.4083341841392</v>
      </c>
      <c r="BO188" s="196"/>
      <c r="BP188" s="196">
        <f t="shared" ref="BP188:CF188" si="685">BP128+BP183</f>
        <v>1788</v>
      </c>
      <c r="BQ188" s="196">
        <f t="shared" si="685"/>
        <v>2090</v>
      </c>
      <c r="BR188" s="196">
        <f t="shared" si="685"/>
        <v>2545</v>
      </c>
      <c r="BS188" s="196">
        <f t="shared" si="685"/>
        <v>2409</v>
      </c>
      <c r="BT188" s="196">
        <f t="shared" si="685"/>
        <v>2228</v>
      </c>
      <c r="BU188" s="196">
        <f t="shared" si="685"/>
        <v>3086</v>
      </c>
      <c r="BV188" s="196">
        <f t="shared" si="685"/>
        <v>3042</v>
      </c>
      <c r="BW188" s="196">
        <f t="shared" si="685"/>
        <v>3547</v>
      </c>
      <c r="BX188" s="196">
        <f t="shared" si="685"/>
        <v>3873</v>
      </c>
      <c r="BY188" s="196">
        <f t="shared" si="685"/>
        <v>3628</v>
      </c>
      <c r="BZ188" s="196">
        <f t="shared" si="685"/>
        <v>4168</v>
      </c>
      <c r="CA188" s="196">
        <f t="shared" si="685"/>
        <v>4135</v>
      </c>
      <c r="CB188" s="196">
        <f t="shared" si="685"/>
        <v>5081.6458161729588</v>
      </c>
      <c r="CC188" s="196">
        <f t="shared" si="685"/>
        <v>6132.9425356742076</v>
      </c>
      <c r="CD188" s="196">
        <f t="shared" si="685"/>
        <v>6461.4793485017854</v>
      </c>
      <c r="CE188" s="196">
        <f t="shared" si="685"/>
        <v>7069.7738255500753</v>
      </c>
      <c r="CF188" s="196">
        <f t="shared" si="685"/>
        <v>7274.0742907883214</v>
      </c>
      <c r="CG188" s="43"/>
      <c r="CH188" s="43"/>
      <c r="CI188" s="43"/>
    </row>
    <row r="189" spans="1:87" ht="12.75" customHeight="1">
      <c r="A189" s="69" t="s">
        <v>369</v>
      </c>
      <c r="B189" s="34">
        <f t="shared" ref="B189:N189" si="686">B188/B$128</f>
        <v>0.69560776302349336</v>
      </c>
      <c r="C189" s="34">
        <f t="shared" si="686"/>
        <v>0.7276073619631902</v>
      </c>
      <c r="D189" s="34">
        <f t="shared" si="686"/>
        <v>0.4247226624405705</v>
      </c>
      <c r="E189" s="34">
        <f t="shared" si="686"/>
        <v>0.44349477682811017</v>
      </c>
      <c r="F189" s="34">
        <f t="shared" si="686"/>
        <v>0.69908256880733943</v>
      </c>
      <c r="G189" s="34">
        <f t="shared" si="686"/>
        <v>0.75975975975975973</v>
      </c>
      <c r="H189" s="34">
        <f t="shared" si="686"/>
        <v>0.39580419580419579</v>
      </c>
      <c r="I189" s="34">
        <f t="shared" si="686"/>
        <v>0.47973609802073514</v>
      </c>
      <c r="J189" s="34">
        <f t="shared" si="686"/>
        <v>0.72660818713450293</v>
      </c>
      <c r="K189" s="34">
        <f t="shared" si="686"/>
        <v>0.78534031413612571</v>
      </c>
      <c r="L189" s="34">
        <f t="shared" si="686"/>
        <v>0.37412095639943743</v>
      </c>
      <c r="M189" s="34">
        <f t="shared" si="686"/>
        <v>0.53470715835141003</v>
      </c>
      <c r="N189" s="34">
        <f t="shared" si="686"/>
        <v>0.74441687344913154</v>
      </c>
      <c r="O189" s="34">
        <f t="shared" ref="O189:T189" si="687">O188/O$128</f>
        <v>0.79557428872497371</v>
      </c>
      <c r="P189" s="34">
        <f t="shared" si="687"/>
        <v>0.40575539568345326</v>
      </c>
      <c r="Q189" s="34">
        <f t="shared" si="687"/>
        <v>0.36014851485148514</v>
      </c>
      <c r="R189" s="34">
        <f t="shared" si="687"/>
        <v>0.80142475512021372</v>
      </c>
      <c r="S189" s="34">
        <f t="shared" si="687"/>
        <v>0.69769357495881379</v>
      </c>
      <c r="T189" s="34">
        <f t="shared" si="687"/>
        <v>0.56868686868686869</v>
      </c>
      <c r="U189" s="34">
        <f t="shared" ref="U189:AG189" si="688">U188/U$128</f>
        <v>0.64387211367673181</v>
      </c>
      <c r="V189" s="34">
        <f t="shared" si="688"/>
        <v>0.8025316455696202</v>
      </c>
      <c r="W189" s="34">
        <f t="shared" si="688"/>
        <v>0.85619285120532007</v>
      </c>
      <c r="X189" s="34">
        <f t="shared" si="688"/>
        <v>0.498159509202454</v>
      </c>
      <c r="Y189" s="34">
        <f t="shared" si="688"/>
        <v>0.48971962616822429</v>
      </c>
      <c r="Z189" s="34">
        <f t="shared" si="688"/>
        <v>0.827217125382263</v>
      </c>
      <c r="AA189" s="34">
        <f t="shared" si="688"/>
        <v>0.85916601101494883</v>
      </c>
      <c r="AB189" s="34">
        <f t="shared" si="688"/>
        <v>0.55345211581291764</v>
      </c>
      <c r="AC189" s="34">
        <f t="shared" si="688"/>
        <v>0.55091383812010442</v>
      </c>
      <c r="AD189" s="34">
        <f t="shared" si="688"/>
        <v>0.86771447282252778</v>
      </c>
      <c r="AE189" s="34">
        <f t="shared" si="688"/>
        <v>0.893719806763285</v>
      </c>
      <c r="AF189" s="34">
        <f t="shared" si="688"/>
        <v>0.59436913451511997</v>
      </c>
      <c r="AG189" s="34">
        <f t="shared" si="688"/>
        <v>0.56810344827586212</v>
      </c>
      <c r="AH189" s="34">
        <f t="shared" ref="AH189:AP189" si="689">AH188/AH$128</f>
        <v>0.85271807838179514</v>
      </c>
      <c r="AI189" s="34">
        <f t="shared" si="689"/>
        <v>0.81090589270008795</v>
      </c>
      <c r="AJ189" s="34">
        <f t="shared" si="689"/>
        <v>0.67496111975116646</v>
      </c>
      <c r="AK189" s="34">
        <f t="shared" si="689"/>
        <v>0.67959658650116372</v>
      </c>
      <c r="AL189" s="34">
        <f t="shared" si="689"/>
        <v>0.77705977382875602</v>
      </c>
      <c r="AM189" s="34">
        <f t="shared" si="689"/>
        <v>0.84532671629445821</v>
      </c>
      <c r="AN189" s="34">
        <f t="shared" si="689"/>
        <v>0.69955489614243327</v>
      </c>
      <c r="AO189" s="34">
        <f t="shared" si="689"/>
        <v>0.68110483364720653</v>
      </c>
      <c r="AP189" s="34">
        <f t="shared" si="689"/>
        <v>0.80605623648161495</v>
      </c>
      <c r="AQ189" s="34">
        <f t="shared" ref="AQ189:AX189" si="690">AQ188/AQ$128</f>
        <v>0.80260452364633306</v>
      </c>
      <c r="AR189" s="34">
        <f t="shared" si="690"/>
        <v>0.75152041702867067</v>
      </c>
      <c r="AS189" s="34">
        <f t="shared" si="690"/>
        <v>0.6407650926479378</v>
      </c>
      <c r="AT189" s="34">
        <f>AT188/AT$128</f>
        <v>0.76300148588410099</v>
      </c>
      <c r="AU189" s="34">
        <f>AU188/AU$128</f>
        <v>0.79690522243713735</v>
      </c>
      <c r="AV189" s="34">
        <f>AV188/AV$128</f>
        <v>0.72946330777656077</v>
      </c>
      <c r="AW189" s="34">
        <f t="shared" si="690"/>
        <v>0.6397117510928596</v>
      </c>
      <c r="AX189" s="34">
        <f t="shared" si="690"/>
        <v>0.77476368478740953</v>
      </c>
      <c r="AY189" s="34">
        <f>AY188/AY$128</f>
        <v>0.82728835292137171</v>
      </c>
      <c r="AZ189" s="34">
        <f t="shared" ref="AZ189:BF189" si="691">AZ188/AZ$128</f>
        <v>0.74971568642048092</v>
      </c>
      <c r="BA189" s="34">
        <f t="shared" si="691"/>
        <v>0.6542253213309891</v>
      </c>
      <c r="BB189" s="34">
        <f t="shared" si="691"/>
        <v>0.80543702336908085</v>
      </c>
      <c r="BC189" s="34">
        <f t="shared" si="691"/>
        <v>0.84074113384968785</v>
      </c>
      <c r="BD189" s="34">
        <f t="shared" si="691"/>
        <v>0.76264868350204085</v>
      </c>
      <c r="BE189" s="34">
        <f t="shared" si="691"/>
        <v>0.67968100294557932</v>
      </c>
      <c r="BF189" s="34">
        <f t="shared" si="691"/>
        <v>0.80583498782188179</v>
      </c>
      <c r="BG189" s="34">
        <f t="shared" ref="BG189:BN189" si="692">BG188/BG$128</f>
        <v>0.83936650818542147</v>
      </c>
      <c r="BH189" s="34">
        <f t="shared" si="692"/>
        <v>0.74696843880337871</v>
      </c>
      <c r="BI189" s="34">
        <f t="shared" si="692"/>
        <v>0.69030781103654548</v>
      </c>
      <c r="BJ189" s="34">
        <f t="shared" si="692"/>
        <v>0.81004781811371518</v>
      </c>
      <c r="BK189" s="34">
        <f t="shared" si="692"/>
        <v>0.84041457712443268</v>
      </c>
      <c r="BL189" s="34">
        <f t="shared" si="692"/>
        <v>0.76295001539331819</v>
      </c>
      <c r="BM189" s="34">
        <f t="shared" si="692"/>
        <v>0.68861743828588395</v>
      </c>
      <c r="BN189" s="34">
        <f t="shared" si="692"/>
        <v>0.8069101734530153</v>
      </c>
      <c r="BO189" s="35"/>
      <c r="BP189" s="35">
        <f t="shared" ref="BP189:BX189" si="693">BP188/BP$128</f>
        <v>0.48932676518883417</v>
      </c>
      <c r="BQ189" s="35">
        <f t="shared" si="693"/>
        <v>0.58233491223181943</v>
      </c>
      <c r="BR189" s="35">
        <f t="shared" si="693"/>
        <v>0.6142891624426744</v>
      </c>
      <c r="BS189" s="35">
        <f t="shared" si="693"/>
        <v>0.63444824861732951</v>
      </c>
      <c r="BT189" s="35">
        <f t="shared" si="693"/>
        <v>0.6232167832167832</v>
      </c>
      <c r="BU189" s="35">
        <f t="shared" si="693"/>
        <v>0.68349944629014392</v>
      </c>
      <c r="BV189" s="35">
        <f t="shared" si="693"/>
        <v>0.69199272065514106</v>
      </c>
      <c r="BW189" s="35">
        <f t="shared" si="693"/>
        <v>0.7320949432404541</v>
      </c>
      <c r="BX189" s="35">
        <f t="shared" si="693"/>
        <v>0.75203883495145629</v>
      </c>
      <c r="BY189" s="35">
        <f t="shared" ref="BY189:CD189" si="694">BY188/BY$128</f>
        <v>0.73292929292929287</v>
      </c>
      <c r="BZ189" s="35">
        <f t="shared" si="694"/>
        <v>0.75275419902474261</v>
      </c>
      <c r="CA189" s="35">
        <f t="shared" si="694"/>
        <v>0.7345887368982057</v>
      </c>
      <c r="CB189" s="35">
        <f t="shared" si="694"/>
        <v>0.7337971227437502</v>
      </c>
      <c r="CC189" s="35">
        <f t="shared" si="694"/>
        <v>0.75938282374420663</v>
      </c>
      <c r="CD189" s="35">
        <f t="shared" si="694"/>
        <v>0.77222452158000277</v>
      </c>
      <c r="CE189" s="35">
        <f>CE188/CE$128</f>
        <v>0.7698754213227631</v>
      </c>
      <c r="CF189" s="35">
        <f>CF188/CF$128</f>
        <v>0.77434258546108381</v>
      </c>
    </row>
    <row r="190" spans="1:87" s="200" customFormat="1" ht="12.75" customHeight="1">
      <c r="A190" s="69" t="s">
        <v>89</v>
      </c>
      <c r="B190" s="34" t="s">
        <v>17</v>
      </c>
      <c r="C190" s="34" t="s">
        <v>17</v>
      </c>
      <c r="D190" s="34" t="s">
        <v>17</v>
      </c>
      <c r="E190" s="34" t="s">
        <v>17</v>
      </c>
      <c r="F190" s="197">
        <f t="shared" ref="F190:AR190" si="695">(F189-B189)*10000</f>
        <v>34.748057838460689</v>
      </c>
      <c r="G190" s="197">
        <f t="shared" si="695"/>
        <v>321.52397796569534</v>
      </c>
      <c r="H190" s="197">
        <f t="shared" si="695"/>
        <v>-289.18466636374706</v>
      </c>
      <c r="I190" s="197">
        <f t="shared" si="695"/>
        <v>362.41321192624963</v>
      </c>
      <c r="J190" s="197">
        <f t="shared" si="695"/>
        <v>275.25618327163494</v>
      </c>
      <c r="K190" s="197">
        <f t="shared" si="695"/>
        <v>255.80554376365973</v>
      </c>
      <c r="L190" s="197">
        <f t="shared" si="695"/>
        <v>-216.83239404758359</v>
      </c>
      <c r="M190" s="197">
        <f t="shared" si="695"/>
        <v>549.71060330674891</v>
      </c>
      <c r="N190" s="197">
        <f t="shared" si="695"/>
        <v>178.08686314628619</v>
      </c>
      <c r="O190" s="197">
        <f t="shared" si="695"/>
        <v>102.33974588848005</v>
      </c>
      <c r="P190" s="197">
        <f t="shared" si="695"/>
        <v>316.34439284015826</v>
      </c>
      <c r="Q190" s="197">
        <f t="shared" si="695"/>
        <v>-1745.5864349992489</v>
      </c>
      <c r="R190" s="197">
        <f t="shared" si="695"/>
        <v>570.07881671082168</v>
      </c>
      <c r="S190" s="197">
        <f t="shared" si="695"/>
        <v>-978.8071376615992</v>
      </c>
      <c r="T190" s="197">
        <f t="shared" si="695"/>
        <v>1629.3147300341543</v>
      </c>
      <c r="U190" s="197">
        <f t="shared" si="695"/>
        <v>2837.2359882524665</v>
      </c>
      <c r="V190" s="197">
        <f t="shared" si="695"/>
        <v>11.068904494064835</v>
      </c>
      <c r="W190" s="197">
        <f t="shared" si="695"/>
        <v>1584.9927624650629</v>
      </c>
      <c r="X190" s="197">
        <f t="shared" si="695"/>
        <v>-705.27359484414683</v>
      </c>
      <c r="Y190" s="197">
        <f t="shared" si="695"/>
        <v>-1541.5248750850751</v>
      </c>
      <c r="Z190" s="197">
        <f t="shared" si="695"/>
        <v>246.85479812642797</v>
      </c>
      <c r="AA190" s="197">
        <f t="shared" si="695"/>
        <v>29.731598096287559</v>
      </c>
      <c r="AB190" s="197">
        <f t="shared" si="695"/>
        <v>552.92606610463645</v>
      </c>
      <c r="AC190" s="197">
        <f t="shared" si="695"/>
        <v>611.94211951880129</v>
      </c>
      <c r="AD190" s="197">
        <f t="shared" si="695"/>
        <v>404.97347440264787</v>
      </c>
      <c r="AE190" s="197">
        <f t="shared" si="695"/>
        <v>345.53795748336171</v>
      </c>
      <c r="AF190" s="197">
        <f t="shared" si="695"/>
        <v>409.17018702202324</v>
      </c>
      <c r="AG190" s="197">
        <f t="shared" si="695"/>
        <v>171.89610155757705</v>
      </c>
      <c r="AH190" s="197">
        <f t="shared" si="695"/>
        <v>-149.96394440732641</v>
      </c>
      <c r="AI190" s="197">
        <f t="shared" si="695"/>
        <v>-828.13914063197046</v>
      </c>
      <c r="AJ190" s="197">
        <f t="shared" si="695"/>
        <v>805.91985236046492</v>
      </c>
      <c r="AK190" s="197">
        <f t="shared" si="695"/>
        <v>1114.931382253016</v>
      </c>
      <c r="AL190" s="197">
        <f t="shared" si="695"/>
        <v>-756.58304553039125</v>
      </c>
      <c r="AM190" s="197">
        <f t="shared" si="695"/>
        <v>344.20823594370262</v>
      </c>
      <c r="AN190" s="197">
        <f t="shared" si="695"/>
        <v>245.93776391266809</v>
      </c>
      <c r="AO190" s="197">
        <f t="shared" si="695"/>
        <v>15.082471460428071</v>
      </c>
      <c r="AP190" s="197">
        <f t="shared" si="695"/>
        <v>289.96462652858935</v>
      </c>
      <c r="AQ190" s="197">
        <f t="shared" si="695"/>
        <v>-427.22192648125156</v>
      </c>
      <c r="AR190" s="197">
        <f t="shared" si="695"/>
        <v>519.65520886237402</v>
      </c>
      <c r="AS190" s="197">
        <f t="shared" ref="AS190:AX190" si="696">(AS189-AO189)*10000</f>
        <v>-403.39740999268736</v>
      </c>
      <c r="AT190" s="197">
        <f t="shared" si="696"/>
        <v>-430.54750597513959</v>
      </c>
      <c r="AU190" s="197">
        <f t="shared" si="696"/>
        <v>-56.993012091957063</v>
      </c>
      <c r="AV190" s="197">
        <f t="shared" si="696"/>
        <v>-220.57109252109908</v>
      </c>
      <c r="AW190" s="197">
        <f t="shared" si="696"/>
        <v>-10.53341555078191</v>
      </c>
      <c r="AX190" s="197">
        <f t="shared" si="696"/>
        <v>117.62198903308541</v>
      </c>
      <c r="AY190" s="197">
        <f t="shared" ref="AY190:BF190" si="697">(AY189-AU189)*10000</f>
        <v>303.83130484234357</v>
      </c>
      <c r="AZ190" s="197">
        <f t="shared" si="697"/>
        <v>202.52378643920156</v>
      </c>
      <c r="BA190" s="197">
        <f t="shared" si="697"/>
        <v>145.13570238129492</v>
      </c>
      <c r="BB190" s="197">
        <f t="shared" si="697"/>
        <v>306.73338581671317</v>
      </c>
      <c r="BC190" s="197">
        <f t="shared" si="697"/>
        <v>134.52780928316145</v>
      </c>
      <c r="BD190" s="197">
        <f t="shared" si="697"/>
        <v>129.32997081559927</v>
      </c>
      <c r="BE190" s="197">
        <f t="shared" si="697"/>
        <v>254.55681614590219</v>
      </c>
      <c r="BF190" s="197">
        <f t="shared" si="697"/>
        <v>3.9796445280093629</v>
      </c>
      <c r="BG190" s="197">
        <f t="shared" ref="BG190:BN190" si="698">(BG189-BC189)*10000</f>
        <v>-13.746256642663823</v>
      </c>
      <c r="BH190" s="197">
        <f t="shared" si="698"/>
        <v>-156.80244698662139</v>
      </c>
      <c r="BI190" s="197">
        <f t="shared" si="698"/>
        <v>106.26808090966166</v>
      </c>
      <c r="BJ190" s="197">
        <f t="shared" si="698"/>
        <v>42.128302918333915</v>
      </c>
      <c r="BK190" s="197">
        <f t="shared" si="698"/>
        <v>10.480689390112152</v>
      </c>
      <c r="BL190" s="197">
        <f t="shared" si="698"/>
        <v>159.81576589939485</v>
      </c>
      <c r="BM190" s="197">
        <f t="shared" si="698"/>
        <v>-16.903727506615283</v>
      </c>
      <c r="BN190" s="197">
        <f t="shared" si="698"/>
        <v>-31.376446606998787</v>
      </c>
      <c r="BO190" s="198"/>
      <c r="BP190" s="35" t="s">
        <v>17</v>
      </c>
      <c r="BQ190" s="199">
        <f t="shared" ref="BQ190:CF190" si="699">(BQ189-BP189)*10000</f>
        <v>930.08147042985263</v>
      </c>
      <c r="BR190" s="199">
        <f t="shared" si="699"/>
        <v>319.54250210854963</v>
      </c>
      <c r="BS190" s="199">
        <f t="shared" si="699"/>
        <v>201.59086174655116</v>
      </c>
      <c r="BT190" s="199">
        <f t="shared" si="699"/>
        <v>-112.31465400546314</v>
      </c>
      <c r="BU190" s="199">
        <f t="shared" si="699"/>
        <v>602.8266307336072</v>
      </c>
      <c r="BV190" s="199">
        <f t="shared" si="699"/>
        <v>84.932743649971385</v>
      </c>
      <c r="BW190" s="199">
        <f t="shared" si="699"/>
        <v>401.02222585313041</v>
      </c>
      <c r="BX190" s="199">
        <f t="shared" si="699"/>
        <v>199.43891711002192</v>
      </c>
      <c r="BY190" s="199">
        <f t="shared" si="699"/>
        <v>-191.09542022163419</v>
      </c>
      <c r="BZ190" s="199">
        <f t="shared" si="699"/>
        <v>198.24906095449734</v>
      </c>
      <c r="CA190" s="199">
        <f t="shared" si="699"/>
        <v>-181.65462126536914</v>
      </c>
      <c r="CB190" s="199">
        <f t="shared" si="699"/>
        <v>-7.9161415445549999</v>
      </c>
      <c r="CC190" s="199">
        <f t="shared" si="699"/>
        <v>255.8570100045643</v>
      </c>
      <c r="CD190" s="199">
        <f t="shared" si="699"/>
        <v>128.4169783579614</v>
      </c>
      <c r="CE190" s="199">
        <f t="shared" si="699"/>
        <v>-23.491002572396667</v>
      </c>
      <c r="CF190" s="199">
        <f t="shared" si="699"/>
        <v>44.671641383207117</v>
      </c>
      <c r="CG190" s="77"/>
      <c r="CH190" s="77"/>
      <c r="CI190" s="77"/>
    </row>
    <row r="191" spans="1:87" ht="12.75" customHeight="1">
      <c r="A191" s="69" t="s">
        <v>0</v>
      </c>
      <c r="B191" s="34" t="s">
        <v>17</v>
      </c>
      <c r="C191" s="34">
        <f>IF(AND(B188&lt;0,C188&gt;0),"n/a",C188/B188-1)</f>
        <v>-0.12922173274596183</v>
      </c>
      <c r="D191" s="34">
        <f t="shared" ref="D191:AV191" si="700">IF(AND(C188&lt;0,D188&gt;0),"n/a",D188/C188-1)</f>
        <v>-0.54806070826306907</v>
      </c>
      <c r="E191" s="34">
        <f t="shared" si="700"/>
        <v>0.74253731343283591</v>
      </c>
      <c r="F191" s="34">
        <f t="shared" si="700"/>
        <v>0.63169164882226991</v>
      </c>
      <c r="G191" s="34">
        <f t="shared" si="700"/>
        <v>-3.937007874015741E-3</v>
      </c>
      <c r="H191" s="34">
        <f t="shared" si="700"/>
        <v>-0.627140974967062</v>
      </c>
      <c r="I191" s="34">
        <f t="shared" si="700"/>
        <v>0.79858657243816245</v>
      </c>
      <c r="J191" s="34">
        <f t="shared" si="700"/>
        <v>0.95284872298624745</v>
      </c>
      <c r="K191" s="34">
        <f t="shared" si="700"/>
        <v>-0.24547283702213285</v>
      </c>
      <c r="L191" s="34">
        <f t="shared" si="700"/>
        <v>-0.64533333333333331</v>
      </c>
      <c r="M191" s="34">
        <f t="shared" si="700"/>
        <v>0.85338345864661647</v>
      </c>
      <c r="N191" s="34">
        <f t="shared" si="700"/>
        <v>0.82555780933062883</v>
      </c>
      <c r="O191" s="34">
        <f t="shared" si="700"/>
        <v>-0.16111111111111109</v>
      </c>
      <c r="P191" s="34">
        <f t="shared" si="700"/>
        <v>-0.62649006622516556</v>
      </c>
      <c r="Q191" s="34">
        <f t="shared" si="700"/>
        <v>3.1914893617021267E-2</v>
      </c>
      <c r="R191" s="34">
        <f t="shared" si="700"/>
        <v>2.0927835051546393</v>
      </c>
      <c r="S191" s="34">
        <f t="shared" si="700"/>
        <v>-5.888888888888888E-2</v>
      </c>
      <c r="T191" s="34">
        <f t="shared" si="700"/>
        <v>-0.33530106257378989</v>
      </c>
      <c r="U191" s="34">
        <f t="shared" si="700"/>
        <v>0.28774422735346361</v>
      </c>
      <c r="V191" s="34">
        <f t="shared" si="700"/>
        <v>0.31172413793103448</v>
      </c>
      <c r="W191" s="34">
        <f t="shared" si="700"/>
        <v>8.3070452155625585E-2</v>
      </c>
      <c r="X191" s="34">
        <f t="shared" si="700"/>
        <v>-0.60582524271844662</v>
      </c>
      <c r="Y191" s="34">
        <f t="shared" si="700"/>
        <v>0.29064039408866993</v>
      </c>
      <c r="Z191" s="34">
        <f t="shared" si="700"/>
        <v>1.0648854961832059</v>
      </c>
      <c r="AA191" s="34">
        <f t="shared" si="700"/>
        <v>9.2421441774490631E-3</v>
      </c>
      <c r="AB191" s="34">
        <f t="shared" si="700"/>
        <v>-0.54487179487179493</v>
      </c>
      <c r="AC191" s="34">
        <f t="shared" si="700"/>
        <v>0.27364185110663986</v>
      </c>
      <c r="AD191" s="34">
        <f t="shared" si="700"/>
        <v>1.0932069510268563</v>
      </c>
      <c r="AE191" s="34">
        <f t="shared" si="700"/>
        <v>-2.2641509433962259E-2</v>
      </c>
      <c r="AF191" s="34">
        <f t="shared" si="700"/>
        <v>-0.55984555984555984</v>
      </c>
      <c r="AG191" s="34">
        <f t="shared" si="700"/>
        <v>0.15614035087719302</v>
      </c>
      <c r="AH191" s="34">
        <f t="shared" si="700"/>
        <v>1.0470409711684372</v>
      </c>
      <c r="AI191" s="34">
        <f t="shared" si="700"/>
        <v>-0.3165307635285397</v>
      </c>
      <c r="AJ191" s="34">
        <f t="shared" si="700"/>
        <v>-5.8568329718004297E-2</v>
      </c>
      <c r="AK191" s="34">
        <f t="shared" si="700"/>
        <v>9.2165898617511122E-3</v>
      </c>
      <c r="AL191" s="34">
        <f t="shared" si="700"/>
        <v>9.8173515981735182E-2</v>
      </c>
      <c r="AM191" s="34">
        <f t="shared" si="700"/>
        <v>6.2370062370062263E-2</v>
      </c>
      <c r="AN191" s="34">
        <f t="shared" si="700"/>
        <v>-7.7299412915851295E-2</v>
      </c>
      <c r="AO191" s="34">
        <f t="shared" si="700"/>
        <v>0.15058324496288433</v>
      </c>
      <c r="AP191" s="34">
        <f t="shared" si="700"/>
        <v>3.0414746543778737E-2</v>
      </c>
      <c r="AQ191" s="34">
        <f t="shared" si="700"/>
        <v>4.7406082289803253E-2</v>
      </c>
      <c r="AR191" s="34">
        <f t="shared" si="700"/>
        <v>-0.26131511528608031</v>
      </c>
      <c r="AS191" s="34">
        <f t="shared" si="700"/>
        <v>0.23930635838150294</v>
      </c>
      <c r="AT191" s="34">
        <f t="shared" si="700"/>
        <v>-4.1977611940298476E-2</v>
      </c>
      <c r="AU191" s="34">
        <f t="shared" si="700"/>
        <v>0.20350535540408954</v>
      </c>
      <c r="AV191" s="34">
        <f t="shared" si="700"/>
        <v>7.7669902912621325E-2</v>
      </c>
      <c r="AW191" s="34">
        <f>IF(AND(AV188&lt;0,AW188&gt;0),"n/a",AW188/AV188-1)</f>
        <v>-0.16316079665603123</v>
      </c>
      <c r="AX191" s="34">
        <f>IF(AND(AW188&lt;0,AX188&gt;0),"n/a",AX188/AW188-1)</f>
        <v>0.25505864934683586</v>
      </c>
      <c r="AY191" s="34">
        <f t="shared" ref="AY191:BF191" si="701">IF(AND(AX188&lt;0,AY188&gt;0),"n/a",AY188/AX188-1)</f>
        <v>0.22574499035700768</v>
      </c>
      <c r="AZ191" s="34">
        <f t="shared" si="701"/>
        <v>-6.6422976988507298E-2</v>
      </c>
      <c r="BA191" s="34">
        <f t="shared" si="701"/>
        <v>-0.19394021268676742</v>
      </c>
      <c r="BB191" s="34">
        <f t="shared" si="701"/>
        <v>0.18323454270595674</v>
      </c>
      <c r="BC191" s="34">
        <f t="shared" si="701"/>
        <v>0.16727577712243069</v>
      </c>
      <c r="BD191" s="34">
        <f t="shared" si="701"/>
        <v>-5.7706044629175723E-2</v>
      </c>
      <c r="BE191" s="34">
        <f t="shared" si="701"/>
        <v>-0.16548925616099086</v>
      </c>
      <c r="BF191" s="34">
        <f t="shared" si="701"/>
        <v>0.14043270998634561</v>
      </c>
      <c r="BG191" s="34">
        <f t="shared" ref="BG191:BN191" si="702">IF(AND(BF188&lt;0,BG188&gt;0),"n/a",BG188/BF188-1)</f>
        <v>0.1578449750116615</v>
      </c>
      <c r="BH191" s="34">
        <f t="shared" si="702"/>
        <v>1.6312485895503714E-2</v>
      </c>
      <c r="BI191" s="34">
        <f t="shared" si="702"/>
        <v>-0.15792300977599527</v>
      </c>
      <c r="BJ191" s="34">
        <f t="shared" si="702"/>
        <v>0.10789617057500211</v>
      </c>
      <c r="BK191" s="34">
        <f t="shared" si="702"/>
        <v>0.13181361804622993</v>
      </c>
      <c r="BL191" s="34">
        <f t="shared" si="702"/>
        <v>-6.0544161606908453E-2</v>
      </c>
      <c r="BM191" s="34">
        <f t="shared" si="702"/>
        <v>-0.1338089460566998</v>
      </c>
      <c r="BN191" s="34">
        <f t="shared" si="702"/>
        <v>0.11779534168115102</v>
      </c>
      <c r="BO191" s="35"/>
      <c r="BP191" s="35" t="s">
        <v>17</v>
      </c>
      <c r="BQ191" s="35" t="s">
        <v>17</v>
      </c>
      <c r="BR191" s="35" t="s">
        <v>17</v>
      </c>
      <c r="BS191" s="35" t="s">
        <v>17</v>
      </c>
      <c r="BT191" s="35" t="s">
        <v>17</v>
      </c>
      <c r="BU191" s="35" t="s">
        <v>17</v>
      </c>
      <c r="BV191" s="35" t="s">
        <v>17</v>
      </c>
      <c r="BW191" s="35" t="s">
        <v>17</v>
      </c>
      <c r="BX191" s="35" t="s">
        <v>17</v>
      </c>
      <c r="BY191" s="35" t="s">
        <v>17</v>
      </c>
      <c r="BZ191" s="35" t="s">
        <v>17</v>
      </c>
      <c r="CA191" s="35" t="s">
        <v>17</v>
      </c>
      <c r="CB191" s="35" t="s">
        <v>17</v>
      </c>
      <c r="CC191" s="35" t="s">
        <v>17</v>
      </c>
      <c r="CD191" s="35" t="s">
        <v>17</v>
      </c>
      <c r="CE191" s="35" t="s">
        <v>17</v>
      </c>
      <c r="CF191" s="35" t="s">
        <v>17</v>
      </c>
    </row>
    <row r="192" spans="1:87" ht="12.75" customHeight="1">
      <c r="A192" s="69" t="s">
        <v>1</v>
      </c>
      <c r="B192" s="34" t="s">
        <v>17</v>
      </c>
      <c r="C192" s="34" t="s">
        <v>17</v>
      </c>
      <c r="D192" s="34" t="s">
        <v>17</v>
      </c>
      <c r="E192" s="34" t="s">
        <v>17</v>
      </c>
      <c r="F192" s="34">
        <f t="shared" ref="F192:AV192" si="703">IF(AND(B188&lt;0,F188&gt;0),"n/a",F188/B188-1)</f>
        <v>0.11894273127753308</v>
      </c>
      <c r="G192" s="34">
        <f t="shared" si="703"/>
        <v>0.2799325463743676</v>
      </c>
      <c r="H192" s="34">
        <f t="shared" si="703"/>
        <v>5.5970149253731449E-2</v>
      </c>
      <c r="I192" s="34">
        <f t="shared" si="703"/>
        <v>8.9935760171306223E-2</v>
      </c>
      <c r="J192" s="34">
        <f t="shared" si="703"/>
        <v>0.3044619422572179</v>
      </c>
      <c r="K192" s="34">
        <f t="shared" si="703"/>
        <v>-1.1857707509881465E-2</v>
      </c>
      <c r="L192" s="34">
        <f t="shared" si="703"/>
        <v>-6.0070671378091856E-2</v>
      </c>
      <c r="M192" s="34">
        <f t="shared" si="703"/>
        <v>-3.143418467583492E-2</v>
      </c>
      <c r="N192" s="34">
        <f t="shared" si="703"/>
        <v>-9.4567404426559309E-2</v>
      </c>
      <c r="O192" s="34">
        <f t="shared" si="703"/>
        <v>6.6666666666665986E-3</v>
      </c>
      <c r="P192" s="34">
        <f t="shared" si="703"/>
        <v>6.0150375939849621E-2</v>
      </c>
      <c r="Q192" s="34">
        <f t="shared" si="703"/>
        <v>-0.40973630831643004</v>
      </c>
      <c r="R192" s="34">
        <f t="shared" si="703"/>
        <v>0</v>
      </c>
      <c r="S192" s="34">
        <f t="shared" si="703"/>
        <v>0.12185430463576163</v>
      </c>
      <c r="T192" s="34">
        <f t="shared" si="703"/>
        <v>0.99645390070921991</v>
      </c>
      <c r="U192" s="34">
        <f t="shared" si="703"/>
        <v>1.4914089347079038</v>
      </c>
      <c r="V192" s="34">
        <f t="shared" si="703"/>
        <v>5.6666666666666643E-2</v>
      </c>
      <c r="W192" s="34">
        <f t="shared" si="703"/>
        <v>0.21605667060212519</v>
      </c>
      <c r="X192" s="34">
        <f t="shared" si="703"/>
        <v>-0.27886323268206037</v>
      </c>
      <c r="Y192" s="34">
        <f t="shared" si="703"/>
        <v>-0.27724137931034487</v>
      </c>
      <c r="Z192" s="34">
        <f t="shared" si="703"/>
        <v>0.13774973711882232</v>
      </c>
      <c r="AA192" s="34">
        <f t="shared" si="703"/>
        <v>6.0194174757281615E-2</v>
      </c>
      <c r="AB192" s="34">
        <f t="shared" si="703"/>
        <v>0.22413793103448265</v>
      </c>
      <c r="AC192" s="34">
        <f t="shared" si="703"/>
        <v>0.20801526717557262</v>
      </c>
      <c r="AD192" s="34">
        <f t="shared" si="703"/>
        <v>0.22458410351201485</v>
      </c>
      <c r="AE192" s="34">
        <f t="shared" si="703"/>
        <v>0.1858974358974359</v>
      </c>
      <c r="AF192" s="34">
        <f t="shared" si="703"/>
        <v>0.14688128772635811</v>
      </c>
      <c r="AG192" s="34">
        <f t="shared" si="703"/>
        <v>4.1074249605055346E-2</v>
      </c>
      <c r="AH192" s="34">
        <f t="shared" si="703"/>
        <v>1.8113207547169718E-2</v>
      </c>
      <c r="AI192" s="34">
        <f t="shared" si="703"/>
        <v>-0.28803088803088805</v>
      </c>
      <c r="AJ192" s="34">
        <f t="shared" si="703"/>
        <v>0.52280701754385972</v>
      </c>
      <c r="AK192" s="34">
        <f t="shared" si="703"/>
        <v>0.32928679817905926</v>
      </c>
      <c r="AL192" s="34">
        <f t="shared" si="703"/>
        <v>-0.28687916975537431</v>
      </c>
      <c r="AM192" s="34">
        <f t="shared" si="703"/>
        <v>0.10845986984815625</v>
      </c>
      <c r="AN192" s="34">
        <f t="shared" si="703"/>
        <v>8.6405529953917037E-2</v>
      </c>
      <c r="AO192" s="34">
        <f t="shared" si="703"/>
        <v>0.23858447488584478</v>
      </c>
      <c r="AP192" s="34">
        <f t="shared" si="703"/>
        <v>0.16216216216216206</v>
      </c>
      <c r="AQ192" s="34">
        <f t="shared" si="703"/>
        <v>0.14579256360078285</v>
      </c>
      <c r="AR192" s="34">
        <f t="shared" si="703"/>
        <v>-8.2714740190880209E-2</v>
      </c>
      <c r="AS192" s="34">
        <f t="shared" si="703"/>
        <v>-1.1981566820276512E-2</v>
      </c>
      <c r="AT192" s="34">
        <f t="shared" si="703"/>
        <v>-8.1395348837209336E-2</v>
      </c>
      <c r="AU192" s="34">
        <f t="shared" si="703"/>
        <v>5.5508112724167447E-2</v>
      </c>
      <c r="AV192" s="34">
        <f t="shared" si="703"/>
        <v>0.53988439306358371</v>
      </c>
      <c r="AW192" s="34">
        <f>IF(AND(AS188&lt;0,AW188&gt;0),"n/a",AW188/AS188-1)</f>
        <v>3.9803935498289533E-2</v>
      </c>
      <c r="AX192" s="34">
        <f>IF(AND(AT188&lt;0,AX188&gt;0),"n/a",AX188/AT188-1)</f>
        <v>0.36219668677584438</v>
      </c>
      <c r="AY192" s="34">
        <f t="shared" ref="AY192:BF192" si="704">IF(AND(AU188&lt;0,AY188&gt;0),"n/a",AY188/AU188-1)</f>
        <v>0.38736878668544361</v>
      </c>
      <c r="AZ192" s="34">
        <f t="shared" si="704"/>
        <v>0.20186674805734151</v>
      </c>
      <c r="BA192" s="34">
        <f t="shared" si="704"/>
        <v>0.1576614138615442</v>
      </c>
      <c r="BB192" s="34">
        <f t="shared" si="704"/>
        <v>9.1411125967432838E-2</v>
      </c>
      <c r="BC192" s="34">
        <f t="shared" si="704"/>
        <v>3.934976707728266E-2</v>
      </c>
      <c r="BD192" s="34">
        <f t="shared" si="704"/>
        <v>4.9054313562450602E-2</v>
      </c>
      <c r="BE192" s="34">
        <f t="shared" si="704"/>
        <v>8.6082086363062249E-2</v>
      </c>
      <c r="BF192" s="34">
        <f t="shared" si="704"/>
        <v>4.6794606068607969E-2</v>
      </c>
      <c r="BG192" s="34">
        <f t="shared" ref="BG192:BN192" si="705">IF(AND(BC188&lt;0,BG188&gt;0),"n/a",BG188/BC188-1)</f>
        <v>3.8337210675044364E-2</v>
      </c>
      <c r="BH192" s="34">
        <f t="shared" si="705"/>
        <v>0.11990007551695658</v>
      </c>
      <c r="BI192" s="34">
        <f t="shared" si="705"/>
        <v>0.13005385719142137</v>
      </c>
      <c r="BJ192" s="34">
        <f t="shared" si="705"/>
        <v>9.7813426397490577E-2</v>
      </c>
      <c r="BK192" s="34">
        <f t="shared" si="705"/>
        <v>7.3131734287794403E-2</v>
      </c>
      <c r="BL192" s="34">
        <f t="shared" si="705"/>
        <v>-8.0217579406672845E-3</v>
      </c>
      <c r="BM192" s="34">
        <f t="shared" si="705"/>
        <v>2.0384939801792346E-2</v>
      </c>
      <c r="BN192" s="34">
        <f t="shared" si="705"/>
        <v>2.9502188675387453E-2</v>
      </c>
      <c r="BO192" s="35"/>
      <c r="BP192" s="35" t="s">
        <v>17</v>
      </c>
      <c r="BQ192" s="35">
        <f>IF(AND(BP188&lt;0,BQ188&gt;0),"n/a",BQ188/BP188-1)</f>
        <v>0.16890380313199116</v>
      </c>
      <c r="BR192" s="35">
        <f t="shared" ref="BR192:CF192" si="706">IF(AND(BQ188&lt;0,BR188&gt;0),"n/a",BR188/BQ188-1)</f>
        <v>0.21770334928229662</v>
      </c>
      <c r="BS192" s="35">
        <f t="shared" si="706"/>
        <v>-5.3438113948919397E-2</v>
      </c>
      <c r="BT192" s="35">
        <f t="shared" si="706"/>
        <v>-7.5134910751349149E-2</v>
      </c>
      <c r="BU192" s="35">
        <f t="shared" si="706"/>
        <v>0.3850987432675046</v>
      </c>
      <c r="BV192" s="35">
        <f t="shared" si="706"/>
        <v>-1.4257939079714843E-2</v>
      </c>
      <c r="BW192" s="35">
        <f t="shared" si="706"/>
        <v>0.16600920447074285</v>
      </c>
      <c r="BX192" s="35">
        <f t="shared" si="706"/>
        <v>9.190865520157887E-2</v>
      </c>
      <c r="BY192" s="35">
        <f t="shared" si="706"/>
        <v>-6.3258455977278638E-2</v>
      </c>
      <c r="BZ192" s="35">
        <f t="shared" si="706"/>
        <v>0.14884233737596464</v>
      </c>
      <c r="CA192" s="35">
        <f t="shared" si="706"/>
        <v>-7.9174664107485304E-3</v>
      </c>
      <c r="CB192" s="35">
        <f t="shared" si="706"/>
        <v>0.22893490113009896</v>
      </c>
      <c r="CC192" s="35">
        <f t="shared" si="706"/>
        <v>0.20688114786657663</v>
      </c>
      <c r="CD192" s="35">
        <f t="shared" si="706"/>
        <v>5.3569197969251858E-2</v>
      </c>
      <c r="CE192" s="35">
        <f t="shared" si="706"/>
        <v>9.4141673174167773E-2</v>
      </c>
      <c r="CF192" s="35">
        <f t="shared" si="706"/>
        <v>2.889773708175869E-2</v>
      </c>
    </row>
    <row r="193" spans="1:87" s="50" customFormat="1">
      <c r="A193" s="42" t="s">
        <v>374</v>
      </c>
      <c r="B193" s="187">
        <f t="shared" ref="B193:AG193" si="707">B215+B258+B277+B275+B279+B280-B259</f>
        <v>-598</v>
      </c>
      <c r="C193" s="187">
        <f t="shared" si="707"/>
        <v>-495</v>
      </c>
      <c r="D193" s="187">
        <f t="shared" si="707"/>
        <v>-520</v>
      </c>
      <c r="E193" s="187">
        <f t="shared" si="707"/>
        <v>-770</v>
      </c>
      <c r="F193" s="187">
        <f t="shared" si="707"/>
        <v>-617</v>
      </c>
      <c r="G193" s="187">
        <f t="shared" si="707"/>
        <v>-532</v>
      </c>
      <c r="H193" s="187">
        <f t="shared" si="707"/>
        <v>-657</v>
      </c>
      <c r="I193" s="187">
        <f t="shared" si="707"/>
        <v>-692</v>
      </c>
      <c r="J193" s="187">
        <f t="shared" si="707"/>
        <v>-629</v>
      </c>
      <c r="K193" s="187">
        <f t="shared" si="707"/>
        <v>-535</v>
      </c>
      <c r="L193" s="187">
        <f t="shared" si="707"/>
        <v>-630</v>
      </c>
      <c r="M193" s="187">
        <f t="shared" si="707"/>
        <v>-532</v>
      </c>
      <c r="N193" s="187">
        <f t="shared" si="707"/>
        <v>-591</v>
      </c>
      <c r="O193" s="187">
        <f t="shared" si="707"/>
        <v>-522</v>
      </c>
      <c r="P193" s="187">
        <f t="shared" si="707"/>
        <v>-534</v>
      </c>
      <c r="Q193" s="187">
        <f t="shared" si="707"/>
        <v>-583</v>
      </c>
      <c r="R193" s="187">
        <f t="shared" si="707"/>
        <v>-556</v>
      </c>
      <c r="S193" s="187">
        <f t="shared" si="707"/>
        <v>-485</v>
      </c>
      <c r="T193" s="187">
        <f t="shared" si="707"/>
        <v>-539</v>
      </c>
      <c r="U193" s="187">
        <f t="shared" si="707"/>
        <v>-563</v>
      </c>
      <c r="V193" s="187">
        <f t="shared" si="707"/>
        <v>-551</v>
      </c>
      <c r="W193" s="187">
        <f t="shared" si="707"/>
        <v>-518</v>
      </c>
      <c r="X193" s="187">
        <f t="shared" si="707"/>
        <v>-525</v>
      </c>
      <c r="Y193" s="187">
        <f t="shared" si="707"/>
        <v>-555</v>
      </c>
      <c r="Z193" s="187">
        <f t="shared" si="707"/>
        <v>-546</v>
      </c>
      <c r="AA193" s="187">
        <f t="shared" si="707"/>
        <v>-532</v>
      </c>
      <c r="AB193" s="187">
        <f t="shared" si="707"/>
        <v>-546</v>
      </c>
      <c r="AC193" s="187">
        <f t="shared" si="707"/>
        <v>-637</v>
      </c>
      <c r="AD193" s="187">
        <f t="shared" si="707"/>
        <v>-608</v>
      </c>
      <c r="AE193" s="187">
        <f t="shared" si="707"/>
        <v>-552</v>
      </c>
      <c r="AF193" s="187">
        <f t="shared" si="707"/>
        <v>-611</v>
      </c>
      <c r="AG193" s="187">
        <f t="shared" si="707"/>
        <v>-680</v>
      </c>
      <c r="AH193" s="187">
        <f t="shared" ref="AH193:BM193" si="708">AH215+AH258+AH277+AH275+AH279+AH280-AH259</f>
        <v>-596</v>
      </c>
      <c r="AI193" s="187">
        <f t="shared" si="708"/>
        <v>-622</v>
      </c>
      <c r="AJ193" s="187">
        <f t="shared" si="708"/>
        <v>-610</v>
      </c>
      <c r="AK193" s="187">
        <f t="shared" si="708"/>
        <v>-634</v>
      </c>
      <c r="AL193" s="187">
        <f t="shared" si="708"/>
        <v>-766</v>
      </c>
      <c r="AM193" s="187">
        <f t="shared" si="708"/>
        <v>-607</v>
      </c>
      <c r="AN193" s="187">
        <f t="shared" si="708"/>
        <v>-675</v>
      </c>
      <c r="AO193" s="187">
        <f t="shared" si="708"/>
        <v>-724</v>
      </c>
      <c r="AP193" s="187">
        <f t="shared" si="708"/>
        <v>-717</v>
      </c>
      <c r="AQ193" s="187">
        <f t="shared" si="708"/>
        <v>-700</v>
      </c>
      <c r="AR193" s="187">
        <f t="shared" si="708"/>
        <v>-716</v>
      </c>
      <c r="AS193" s="187">
        <f t="shared" si="708"/>
        <v>-821</v>
      </c>
      <c r="AT193" s="187">
        <f t="shared" si="708"/>
        <v>-852</v>
      </c>
      <c r="AU193" s="187">
        <f t="shared" si="708"/>
        <v>-914</v>
      </c>
      <c r="AV193" s="187">
        <f t="shared" si="708"/>
        <v>-992</v>
      </c>
      <c r="AW193" s="187">
        <f>AW215+AW258+AW277+AW275+AW279+AW280-AW259</f>
        <v>-1093.2691296689356</v>
      </c>
      <c r="AX193" s="187">
        <f t="shared" si="708"/>
        <v>-1105.3686500553529</v>
      </c>
      <c r="AY193" s="187">
        <f t="shared" si="708"/>
        <v>-971.73836219703321</v>
      </c>
      <c r="AZ193" s="187">
        <f t="shared" si="708"/>
        <v>-1062.3011684092533</v>
      </c>
      <c r="BA193" s="187">
        <f t="shared" si="708"/>
        <v>-1233.3564269793742</v>
      </c>
      <c r="BB193" s="187">
        <f t="shared" si="708"/>
        <v>-1073.5674476535385</v>
      </c>
      <c r="BC193" s="187">
        <f t="shared" si="708"/>
        <v>-943.64419049726428</v>
      </c>
      <c r="BD193" s="187">
        <f t="shared" si="708"/>
        <v>-1086.0398007903152</v>
      </c>
      <c r="BE193" s="187">
        <f t="shared" si="708"/>
        <v>-1228.7530442823188</v>
      </c>
      <c r="BF193" s="187">
        <f t="shared" si="708"/>
        <v>-1089.3917397201069</v>
      </c>
      <c r="BG193" s="187">
        <f t="shared" si="708"/>
        <v>-961.44097677719901</v>
      </c>
      <c r="BH193" s="187">
        <f t="shared" si="708"/>
        <v>-1298.7117802685693</v>
      </c>
      <c r="BI193" s="187">
        <f t="shared" si="708"/>
        <v>-1312.633880374781</v>
      </c>
      <c r="BJ193" s="187">
        <f t="shared" si="708"/>
        <v>-1141.805003799213</v>
      </c>
      <c r="BK193" s="187">
        <f t="shared" si="708"/>
        <v>-996.64017554878683</v>
      </c>
      <c r="BL193" s="187">
        <f t="shared" si="708"/>
        <v>-1164.3660426506372</v>
      </c>
      <c r="BM193" s="187">
        <f t="shared" si="708"/>
        <v>-1339.4550558390781</v>
      </c>
      <c r="BN193" s="187">
        <f t="shared" ref="BN193:CF193" si="709">BN215+BN258+BN277+BN275+BN279+BN280-BN259</f>
        <v>-1174.6863520498234</v>
      </c>
      <c r="BO193" s="49">
        <f t="shared" si="709"/>
        <v>0</v>
      </c>
      <c r="BP193" s="187">
        <f t="shared" si="709"/>
        <v>-2474</v>
      </c>
      <c r="BQ193" s="187">
        <f t="shared" si="709"/>
        <v>-2402</v>
      </c>
      <c r="BR193" s="187">
        <f t="shared" si="709"/>
        <v>-2510</v>
      </c>
      <c r="BS193" s="187">
        <f t="shared" si="709"/>
        <v>-2288</v>
      </c>
      <c r="BT193" s="187">
        <f t="shared" si="709"/>
        <v>-2195</v>
      </c>
      <c r="BU193" s="187">
        <f t="shared" si="709"/>
        <v>-2138</v>
      </c>
      <c r="BV193" s="187">
        <f t="shared" si="709"/>
        <v>-2144</v>
      </c>
      <c r="BW193" s="187">
        <f t="shared" si="709"/>
        <v>-2323</v>
      </c>
      <c r="BX193" s="187">
        <f t="shared" si="709"/>
        <v>-2439</v>
      </c>
      <c r="BY193" s="187">
        <f t="shared" si="709"/>
        <v>-2632</v>
      </c>
      <c r="BZ193" s="187">
        <f t="shared" si="709"/>
        <v>-2723</v>
      </c>
      <c r="CA193" s="187">
        <f t="shared" si="709"/>
        <v>-3089</v>
      </c>
      <c r="CB193" s="187">
        <f t="shared" si="709"/>
        <v>-4104.6377797242885</v>
      </c>
      <c r="CC193" s="187">
        <f t="shared" si="709"/>
        <v>-4340.9634052392003</v>
      </c>
      <c r="CD193" s="187">
        <f t="shared" si="709"/>
        <v>-4347.8287752900051</v>
      </c>
      <c r="CE193" s="187">
        <f t="shared" si="709"/>
        <v>-4714.5916412197621</v>
      </c>
      <c r="CF193" s="187">
        <f t="shared" si="709"/>
        <v>-4675.1476260883255</v>
      </c>
      <c r="CG193" s="43"/>
      <c r="CH193" s="43"/>
      <c r="CI193" s="43"/>
    </row>
    <row r="194" spans="1:87">
      <c r="A194" s="8"/>
      <c r="B194" s="201"/>
      <c r="C194" s="201"/>
      <c r="D194" s="201"/>
      <c r="E194" s="201"/>
      <c r="F194" s="201"/>
      <c r="G194" s="201"/>
      <c r="H194" s="201"/>
      <c r="I194" s="201"/>
      <c r="J194" s="201"/>
      <c r="K194" s="201"/>
      <c r="L194" s="201"/>
      <c r="M194" s="201"/>
      <c r="N194" s="201"/>
      <c r="O194" s="201"/>
      <c r="P194" s="201"/>
      <c r="Q194" s="201"/>
      <c r="R194" s="201"/>
      <c r="S194" s="201"/>
      <c r="T194" s="201"/>
      <c r="U194" s="201"/>
      <c r="V194" s="201"/>
      <c r="W194" s="201"/>
      <c r="X194" s="201"/>
      <c r="Y194" s="201"/>
      <c r="Z194" s="201"/>
      <c r="AA194" s="201"/>
      <c r="AB194" s="201"/>
      <c r="AC194" s="201"/>
      <c r="AD194" s="201"/>
      <c r="AE194" s="201"/>
      <c r="AF194" s="201"/>
      <c r="AG194" s="201"/>
      <c r="AH194" s="201"/>
      <c r="AI194" s="201"/>
      <c r="AJ194" s="201"/>
      <c r="AK194" s="201"/>
      <c r="AL194" s="201"/>
      <c r="AM194" s="201"/>
      <c r="AN194" s="201"/>
      <c r="AO194" s="201"/>
      <c r="AP194" s="201"/>
      <c r="AQ194" s="201"/>
      <c r="AR194" s="201"/>
      <c r="AS194" s="201"/>
      <c r="AT194" s="201"/>
      <c r="AU194" s="201"/>
      <c r="AV194" s="201"/>
      <c r="AW194" s="201"/>
      <c r="AX194" s="201"/>
      <c r="AY194" s="201"/>
      <c r="AZ194" s="201"/>
      <c r="BA194" s="201"/>
      <c r="BB194" s="201"/>
      <c r="BC194" s="201"/>
      <c r="BD194" s="201"/>
      <c r="BE194" s="201"/>
      <c r="BF194" s="201"/>
      <c r="BG194" s="201"/>
      <c r="BH194" s="201"/>
      <c r="BI194" s="201"/>
      <c r="BJ194" s="201"/>
      <c r="BK194" s="201"/>
      <c r="BL194" s="201"/>
      <c r="BM194" s="201"/>
      <c r="BN194" s="201"/>
      <c r="BO194" s="202"/>
      <c r="BP194" s="202"/>
      <c r="BQ194" s="202"/>
      <c r="BR194" s="202"/>
      <c r="BS194" s="202"/>
      <c r="BT194" s="202"/>
      <c r="BU194" s="202"/>
      <c r="BV194" s="202"/>
      <c r="BW194" s="202"/>
      <c r="BX194" s="202"/>
      <c r="BY194" s="190"/>
      <c r="BZ194" s="190"/>
      <c r="CA194" s="190"/>
      <c r="CB194" s="190"/>
      <c r="CC194" s="190"/>
      <c r="CD194" s="190"/>
      <c r="CE194" s="190"/>
      <c r="CF194" s="190"/>
    </row>
    <row r="195" spans="1:87" s="172" customFormat="1">
      <c r="A195" s="25" t="s">
        <v>377</v>
      </c>
      <c r="B195" s="195">
        <f t="shared" ref="B195:AG195" si="710">B188+B193</f>
        <v>83</v>
      </c>
      <c r="C195" s="195">
        <f t="shared" si="710"/>
        <v>98</v>
      </c>
      <c r="D195" s="195">
        <f t="shared" si="710"/>
        <v>-252</v>
      </c>
      <c r="E195" s="195">
        <f t="shared" si="710"/>
        <v>-303</v>
      </c>
      <c r="F195" s="195">
        <f t="shared" si="710"/>
        <v>145</v>
      </c>
      <c r="G195" s="195">
        <f t="shared" si="710"/>
        <v>227</v>
      </c>
      <c r="H195" s="195">
        <f t="shared" si="710"/>
        <v>-374</v>
      </c>
      <c r="I195" s="195">
        <f t="shared" si="710"/>
        <v>-183</v>
      </c>
      <c r="J195" s="195">
        <f t="shared" si="710"/>
        <v>365</v>
      </c>
      <c r="K195" s="195">
        <f t="shared" si="710"/>
        <v>215</v>
      </c>
      <c r="L195" s="195">
        <f t="shared" si="710"/>
        <v>-364</v>
      </c>
      <c r="M195" s="195">
        <f t="shared" si="710"/>
        <v>-39</v>
      </c>
      <c r="N195" s="195">
        <f t="shared" si="710"/>
        <v>309</v>
      </c>
      <c r="O195" s="195">
        <f t="shared" si="710"/>
        <v>233</v>
      </c>
      <c r="P195" s="195">
        <f t="shared" si="710"/>
        <v>-252</v>
      </c>
      <c r="Q195" s="195">
        <f t="shared" si="710"/>
        <v>-292</v>
      </c>
      <c r="R195" s="195">
        <f t="shared" si="710"/>
        <v>344</v>
      </c>
      <c r="S195" s="195">
        <f t="shared" si="710"/>
        <v>362</v>
      </c>
      <c r="T195" s="195">
        <f t="shared" si="710"/>
        <v>24</v>
      </c>
      <c r="U195" s="195">
        <f t="shared" si="710"/>
        <v>162</v>
      </c>
      <c r="V195" s="195">
        <f t="shared" si="710"/>
        <v>400</v>
      </c>
      <c r="W195" s="195">
        <f t="shared" si="710"/>
        <v>512</v>
      </c>
      <c r="X195" s="195">
        <f t="shared" si="710"/>
        <v>-119</v>
      </c>
      <c r="Y195" s="195">
        <f t="shared" si="710"/>
        <v>-31</v>
      </c>
      <c r="Z195" s="195">
        <f t="shared" si="710"/>
        <v>536</v>
      </c>
      <c r="AA195" s="195">
        <f t="shared" si="710"/>
        <v>560</v>
      </c>
      <c r="AB195" s="195">
        <f t="shared" si="710"/>
        <v>-49</v>
      </c>
      <c r="AC195" s="195">
        <f t="shared" si="710"/>
        <v>-4</v>
      </c>
      <c r="AD195" s="195">
        <f t="shared" si="710"/>
        <v>717</v>
      </c>
      <c r="AE195" s="195">
        <f t="shared" si="710"/>
        <v>743</v>
      </c>
      <c r="AF195" s="195">
        <f t="shared" si="710"/>
        <v>-41</v>
      </c>
      <c r="AG195" s="195">
        <f t="shared" si="710"/>
        <v>-21</v>
      </c>
      <c r="AH195" s="195">
        <f t="shared" ref="AH195:BN195" si="711">AH188+AH193</f>
        <v>753</v>
      </c>
      <c r="AI195" s="195">
        <f t="shared" si="711"/>
        <v>300</v>
      </c>
      <c r="AJ195" s="195">
        <f t="shared" si="711"/>
        <v>258</v>
      </c>
      <c r="AK195" s="195">
        <f t="shared" si="711"/>
        <v>242</v>
      </c>
      <c r="AL195" s="195">
        <f t="shared" si="711"/>
        <v>196</v>
      </c>
      <c r="AM195" s="195">
        <f t="shared" si="711"/>
        <v>415</v>
      </c>
      <c r="AN195" s="195">
        <f t="shared" si="711"/>
        <v>268</v>
      </c>
      <c r="AO195" s="195">
        <f t="shared" si="711"/>
        <v>361</v>
      </c>
      <c r="AP195" s="195">
        <f t="shared" si="711"/>
        <v>401</v>
      </c>
      <c r="AQ195" s="195">
        <f t="shared" si="711"/>
        <v>471</v>
      </c>
      <c r="AR195" s="195">
        <f t="shared" si="711"/>
        <v>149</v>
      </c>
      <c r="AS195" s="195">
        <f t="shared" si="711"/>
        <v>251</v>
      </c>
      <c r="AT195" s="195">
        <f t="shared" si="711"/>
        <v>175</v>
      </c>
      <c r="AU195" s="195">
        <f t="shared" si="711"/>
        <v>322</v>
      </c>
      <c r="AV195" s="195">
        <f t="shared" ref="AV195" si="712">AV188+AV193</f>
        <v>340</v>
      </c>
      <c r="AW195" s="195">
        <f t="shared" si="711"/>
        <v>21.400689185230704</v>
      </c>
      <c r="AX195" s="195">
        <f t="shared" si="711"/>
        <v>293.60734726343935</v>
      </c>
      <c r="AY195" s="195">
        <f t="shared" si="711"/>
        <v>743.04945814617508</v>
      </c>
      <c r="AZ195" s="195">
        <f t="shared" si="711"/>
        <v>538.58534000312557</v>
      </c>
      <c r="BA195" s="195">
        <f t="shared" si="711"/>
        <v>57.053811504131318</v>
      </c>
      <c r="BB195" s="195">
        <f t="shared" si="711"/>
        <v>453.29052078157679</v>
      </c>
      <c r="BC195" s="195">
        <f t="shared" si="711"/>
        <v>838.62013116341052</v>
      </c>
      <c r="BD195" s="195">
        <f t="shared" si="711"/>
        <v>593.37709638362116</v>
      </c>
      <c r="BE195" s="195">
        <f t="shared" si="711"/>
        <v>172.73839979410354</v>
      </c>
      <c r="BF195" s="195">
        <f t="shared" si="711"/>
        <v>508.91494587064449</v>
      </c>
      <c r="BG195" s="195">
        <f t="shared" si="711"/>
        <v>889.15038766159614</v>
      </c>
      <c r="BH195" s="195">
        <f t="shared" si="711"/>
        <v>582.06732970097482</v>
      </c>
      <c r="BI195" s="195">
        <f t="shared" si="711"/>
        <v>271.12693182455519</v>
      </c>
      <c r="BJ195" s="195">
        <f t="shared" si="711"/>
        <v>612.83753514318664</v>
      </c>
      <c r="BK195" s="195">
        <f t="shared" si="711"/>
        <v>989.28814482943335</v>
      </c>
      <c r="BL195" s="195">
        <f t="shared" si="711"/>
        <v>701.32591255886769</v>
      </c>
      <c r="BM195" s="195">
        <f t="shared" si="711"/>
        <v>276.59062517737925</v>
      </c>
      <c r="BN195" s="195">
        <f t="shared" si="711"/>
        <v>631.72198213431579</v>
      </c>
      <c r="BO195" s="196"/>
      <c r="BP195" s="196">
        <f t="shared" ref="BP195:CF195" si="713">BP188+BP193</f>
        <v>-686</v>
      </c>
      <c r="BQ195" s="196">
        <f t="shared" si="713"/>
        <v>-312</v>
      </c>
      <c r="BR195" s="196">
        <f t="shared" si="713"/>
        <v>35</v>
      </c>
      <c r="BS195" s="196">
        <f t="shared" si="713"/>
        <v>121</v>
      </c>
      <c r="BT195" s="196">
        <f t="shared" si="713"/>
        <v>33</v>
      </c>
      <c r="BU195" s="196">
        <f t="shared" si="713"/>
        <v>948</v>
      </c>
      <c r="BV195" s="196">
        <f t="shared" si="713"/>
        <v>898</v>
      </c>
      <c r="BW195" s="196">
        <f t="shared" si="713"/>
        <v>1224</v>
      </c>
      <c r="BX195" s="196">
        <f t="shared" si="713"/>
        <v>1434</v>
      </c>
      <c r="BY195" s="196">
        <f t="shared" si="713"/>
        <v>996</v>
      </c>
      <c r="BZ195" s="196">
        <f t="shared" si="713"/>
        <v>1445</v>
      </c>
      <c r="CA195" s="196">
        <f t="shared" si="713"/>
        <v>1046</v>
      </c>
      <c r="CB195" s="196">
        <f t="shared" si="713"/>
        <v>977.00803644867028</v>
      </c>
      <c r="CC195" s="196">
        <f t="shared" si="713"/>
        <v>1791.9791304350074</v>
      </c>
      <c r="CD195" s="196">
        <f t="shared" si="713"/>
        <v>2113.6505732117803</v>
      </c>
      <c r="CE195" s="196">
        <f t="shared" si="713"/>
        <v>2355.1821843303132</v>
      </c>
      <c r="CF195" s="196">
        <f t="shared" si="713"/>
        <v>2598.9266646999959</v>
      </c>
      <c r="CG195" s="134"/>
      <c r="CH195" s="134"/>
      <c r="CI195" s="134"/>
    </row>
    <row r="196" spans="1:87" s="200" customFormat="1">
      <c r="A196" s="69" t="s">
        <v>3</v>
      </c>
      <c r="B196" s="34">
        <f t="shared" ref="B196:AG196" si="714">B195/B$128</f>
        <v>8.4780388151174668E-2</v>
      </c>
      <c r="C196" s="34">
        <f t="shared" si="714"/>
        <v>0.12024539877300613</v>
      </c>
      <c r="D196" s="34">
        <f t="shared" si="714"/>
        <v>-0.39936608557844688</v>
      </c>
      <c r="E196" s="34">
        <f t="shared" si="714"/>
        <v>-0.28774928774928776</v>
      </c>
      <c r="F196" s="34">
        <f t="shared" si="714"/>
        <v>0.13302752293577982</v>
      </c>
      <c r="G196" s="34">
        <f t="shared" si="714"/>
        <v>0.22722722722722724</v>
      </c>
      <c r="H196" s="34">
        <f t="shared" si="714"/>
        <v>-0.52307692307692311</v>
      </c>
      <c r="I196" s="34">
        <f t="shared" si="714"/>
        <v>-0.17247879359095195</v>
      </c>
      <c r="J196" s="34">
        <f t="shared" si="714"/>
        <v>0.266812865497076</v>
      </c>
      <c r="K196" s="34">
        <f t="shared" si="714"/>
        <v>0.22513089005235601</v>
      </c>
      <c r="L196" s="34">
        <f t="shared" si="714"/>
        <v>-0.51195499296765123</v>
      </c>
      <c r="M196" s="34">
        <f t="shared" si="714"/>
        <v>-4.2299349240780909E-2</v>
      </c>
      <c r="N196" s="34">
        <f t="shared" si="714"/>
        <v>0.25558312655086851</v>
      </c>
      <c r="O196" s="34">
        <f t="shared" si="714"/>
        <v>0.24552160168598525</v>
      </c>
      <c r="P196" s="34">
        <f t="shared" si="714"/>
        <v>-0.36258992805755397</v>
      </c>
      <c r="Q196" s="34">
        <f t="shared" si="714"/>
        <v>-0.36138613861386137</v>
      </c>
      <c r="R196" s="34">
        <f t="shared" si="714"/>
        <v>0.30632235084594833</v>
      </c>
      <c r="S196" s="34">
        <f t="shared" si="714"/>
        <v>0.29818780889621088</v>
      </c>
      <c r="T196" s="34">
        <f t="shared" si="714"/>
        <v>2.4242424242424242E-2</v>
      </c>
      <c r="U196" s="34">
        <f t="shared" si="714"/>
        <v>0.14387211367673181</v>
      </c>
      <c r="V196" s="34">
        <f t="shared" si="714"/>
        <v>0.33755274261603374</v>
      </c>
      <c r="W196" s="34">
        <f t="shared" si="714"/>
        <v>0.42560266001662511</v>
      </c>
      <c r="X196" s="34">
        <f t="shared" si="714"/>
        <v>-0.1460122699386503</v>
      </c>
      <c r="Y196" s="34">
        <f t="shared" si="714"/>
        <v>-2.897196261682243E-2</v>
      </c>
      <c r="Z196" s="34">
        <f t="shared" si="714"/>
        <v>0.40978593272171254</v>
      </c>
      <c r="AA196" s="34">
        <f t="shared" si="714"/>
        <v>0.44059795436664045</v>
      </c>
      <c r="AB196" s="34">
        <f t="shared" si="714"/>
        <v>-5.4565701559020047E-2</v>
      </c>
      <c r="AC196" s="34">
        <f t="shared" si="714"/>
        <v>-3.4812880765883376E-3</v>
      </c>
      <c r="AD196" s="34">
        <f t="shared" si="714"/>
        <v>0.46954813359528486</v>
      </c>
      <c r="AE196" s="34">
        <f t="shared" si="714"/>
        <v>0.51276742581090407</v>
      </c>
      <c r="AF196" s="34">
        <f t="shared" si="714"/>
        <v>-4.2752867570385822E-2</v>
      </c>
      <c r="AG196" s="34">
        <f t="shared" si="714"/>
        <v>-1.810344827586207E-2</v>
      </c>
      <c r="AH196" s="34">
        <f t="shared" ref="AH196:BM196" si="715">AH195/AH$128</f>
        <v>0.47597977243994943</v>
      </c>
      <c r="AI196" s="34">
        <f t="shared" si="715"/>
        <v>0.26385224274406333</v>
      </c>
      <c r="AJ196" s="34">
        <f t="shared" si="715"/>
        <v>0.20062208398133749</v>
      </c>
      <c r="AK196" s="34">
        <f t="shared" si="715"/>
        <v>0.18774243599689683</v>
      </c>
      <c r="AL196" s="34">
        <f t="shared" si="715"/>
        <v>0.15831987075928919</v>
      </c>
      <c r="AM196" s="34">
        <f t="shared" si="715"/>
        <v>0.34325889164598844</v>
      </c>
      <c r="AN196" s="34">
        <f t="shared" si="715"/>
        <v>0.19881305637982197</v>
      </c>
      <c r="AO196" s="34">
        <f t="shared" si="715"/>
        <v>0.22661644695543001</v>
      </c>
      <c r="AP196" s="34">
        <f t="shared" si="715"/>
        <v>0.2891131939437635</v>
      </c>
      <c r="AQ196" s="34">
        <f t="shared" si="715"/>
        <v>0.32282385195339275</v>
      </c>
      <c r="AR196" s="34">
        <f t="shared" si="715"/>
        <v>0.12945264986967853</v>
      </c>
      <c r="AS196" s="34">
        <f t="shared" si="715"/>
        <v>0.15002988643156007</v>
      </c>
      <c r="AT196" s="34">
        <f t="shared" si="715"/>
        <v>0.13001485884101041</v>
      </c>
      <c r="AU196" s="34">
        <f t="shared" si="715"/>
        <v>0.2076079948420374</v>
      </c>
      <c r="AV196" s="34">
        <f t="shared" ref="AV196" si="716">AV195/AV$128</f>
        <v>0.18619934282584885</v>
      </c>
      <c r="AW196" s="34">
        <f t="shared" si="715"/>
        <v>1.228190816842155E-2</v>
      </c>
      <c r="AX196" s="34">
        <f t="shared" si="715"/>
        <v>0.16260201081537395</v>
      </c>
      <c r="AY196" s="34">
        <f t="shared" si="715"/>
        <v>0.35847943114375153</v>
      </c>
      <c r="AZ196" s="34">
        <f t="shared" si="715"/>
        <v>0.25222642314406873</v>
      </c>
      <c r="BA196" s="34">
        <f t="shared" si="715"/>
        <v>2.8925722263575412E-2</v>
      </c>
      <c r="BB196" s="34">
        <f t="shared" si="715"/>
        <v>0.23911652251055382</v>
      </c>
      <c r="BC196" s="34">
        <f t="shared" si="715"/>
        <v>0.39559925616787189</v>
      </c>
      <c r="BD196" s="34">
        <f t="shared" si="715"/>
        <v>0.26946153878691331</v>
      </c>
      <c r="BE196" s="34">
        <f t="shared" si="715"/>
        <v>8.3772904440841262E-2</v>
      </c>
      <c r="BF196" s="34">
        <f t="shared" si="715"/>
        <v>0.25658496764434574</v>
      </c>
      <c r="BG196" s="34">
        <f t="shared" si="715"/>
        <v>0.40328895426871048</v>
      </c>
      <c r="BH196" s="34">
        <f t="shared" si="715"/>
        <v>0.23117330591375468</v>
      </c>
      <c r="BI196" s="34">
        <f t="shared" si="715"/>
        <v>0.11817506619636375</v>
      </c>
      <c r="BJ196" s="34">
        <f t="shared" si="715"/>
        <v>0.28292241706401605</v>
      </c>
      <c r="BK196" s="34">
        <f t="shared" si="715"/>
        <v>0.4186516549261457</v>
      </c>
      <c r="BL196" s="34">
        <f t="shared" si="715"/>
        <v>0.28679794340563336</v>
      </c>
      <c r="BM196" s="34">
        <f t="shared" si="715"/>
        <v>0.11785875238609568</v>
      </c>
      <c r="BN196" s="34">
        <f t="shared" ref="BN196" si="717">BN195/BN$128</f>
        <v>0.28218586270435236</v>
      </c>
      <c r="BO196" s="35"/>
      <c r="BP196" s="35">
        <f t="shared" ref="BP196:CF196" si="718">BP195/BP$128</f>
        <v>-0.18773946360153257</v>
      </c>
      <c r="BQ196" s="35">
        <f t="shared" si="718"/>
        <v>-8.6932293117860132E-2</v>
      </c>
      <c r="BR196" s="35">
        <f t="shared" si="718"/>
        <v>8.4479845522568188E-3</v>
      </c>
      <c r="BS196" s="35">
        <f t="shared" si="718"/>
        <v>3.1867263629180929E-2</v>
      </c>
      <c r="BT196" s="35">
        <f t="shared" si="718"/>
        <v>9.2307692307692316E-3</v>
      </c>
      <c r="BU196" s="35">
        <f t="shared" si="718"/>
        <v>0.20996677740863787</v>
      </c>
      <c r="BV196" s="35">
        <f t="shared" si="718"/>
        <v>0.20427661510464057</v>
      </c>
      <c r="BW196" s="35">
        <f t="shared" si="718"/>
        <v>0.25263157894736843</v>
      </c>
      <c r="BX196" s="35">
        <f t="shared" si="718"/>
        <v>0.27844660194174758</v>
      </c>
      <c r="BY196" s="35">
        <f t="shared" si="718"/>
        <v>0.2012121212121212</v>
      </c>
      <c r="BZ196" s="35">
        <f t="shared" si="718"/>
        <v>0.26097164529528627</v>
      </c>
      <c r="CA196" s="35">
        <f t="shared" si="718"/>
        <v>0.18582341446082787</v>
      </c>
      <c r="CB196" s="35">
        <f t="shared" si="718"/>
        <v>0.14108139606303369</v>
      </c>
      <c r="CC196" s="35">
        <f t="shared" si="718"/>
        <v>0.22188340494712108</v>
      </c>
      <c r="CD196" s="35">
        <f t="shared" si="718"/>
        <v>0.2526066732789643</v>
      </c>
      <c r="CE196" s="35">
        <f t="shared" si="718"/>
        <v>0.25647169502089223</v>
      </c>
      <c r="CF196" s="35">
        <f t="shared" si="718"/>
        <v>0.27666195209417466</v>
      </c>
      <c r="CG196" s="77"/>
      <c r="CH196" s="77"/>
      <c r="CI196" s="77"/>
    </row>
    <row r="197" spans="1:87" s="165" customFormat="1">
      <c r="A197" s="203" t="s">
        <v>127</v>
      </c>
      <c r="B197" s="204">
        <f t="shared" ref="B197:AG197" si="719">B289</f>
        <v>-1</v>
      </c>
      <c r="C197" s="204">
        <f t="shared" si="719"/>
        <v>-5</v>
      </c>
      <c r="D197" s="204">
        <f t="shared" si="719"/>
        <v>28</v>
      </c>
      <c r="E197" s="204">
        <f t="shared" si="719"/>
        <v>0</v>
      </c>
      <c r="F197" s="204">
        <f t="shared" si="719"/>
        <v>0</v>
      </c>
      <c r="G197" s="204">
        <f t="shared" si="719"/>
        <v>0</v>
      </c>
      <c r="H197" s="204">
        <f t="shared" si="719"/>
        <v>0</v>
      </c>
      <c r="I197" s="204">
        <f t="shared" si="719"/>
        <v>0</v>
      </c>
      <c r="J197" s="204">
        <f t="shared" si="719"/>
        <v>0</v>
      </c>
      <c r="K197" s="204">
        <f t="shared" si="719"/>
        <v>0</v>
      </c>
      <c r="L197" s="204">
        <f t="shared" si="719"/>
        <v>0</v>
      </c>
      <c r="M197" s="204">
        <f t="shared" si="719"/>
        <v>14</v>
      </c>
      <c r="N197" s="204">
        <f t="shared" si="719"/>
        <v>25</v>
      </c>
      <c r="O197" s="204">
        <f t="shared" si="719"/>
        <v>0</v>
      </c>
      <c r="P197" s="204">
        <f t="shared" si="719"/>
        <v>0</v>
      </c>
      <c r="Q197" s="204">
        <f t="shared" si="719"/>
        <v>0</v>
      </c>
      <c r="R197" s="204">
        <f t="shared" si="719"/>
        <v>0</v>
      </c>
      <c r="S197" s="204">
        <f t="shared" si="719"/>
        <v>0</v>
      </c>
      <c r="T197" s="204">
        <f t="shared" si="719"/>
        <v>0</v>
      </c>
      <c r="U197" s="204">
        <f t="shared" si="719"/>
        <v>0</v>
      </c>
      <c r="V197" s="204">
        <f t="shared" si="719"/>
        <v>0</v>
      </c>
      <c r="W197" s="204">
        <f t="shared" si="719"/>
        <v>0</v>
      </c>
      <c r="X197" s="204">
        <f t="shared" si="719"/>
        <v>0</v>
      </c>
      <c r="Y197" s="204">
        <f t="shared" si="719"/>
        <v>0</v>
      </c>
      <c r="Z197" s="204">
        <f t="shared" si="719"/>
        <v>0</v>
      </c>
      <c r="AA197" s="204">
        <f t="shared" si="719"/>
        <v>0</v>
      </c>
      <c r="AB197" s="204">
        <f t="shared" si="719"/>
        <v>0</v>
      </c>
      <c r="AC197" s="204">
        <f t="shared" si="719"/>
        <v>0</v>
      </c>
      <c r="AD197" s="204">
        <f t="shared" si="719"/>
        <v>0</v>
      </c>
      <c r="AE197" s="204">
        <f t="shared" si="719"/>
        <v>0</v>
      </c>
      <c r="AF197" s="204">
        <f t="shared" si="719"/>
        <v>0</v>
      </c>
      <c r="AG197" s="204">
        <f t="shared" si="719"/>
        <v>0</v>
      </c>
      <c r="AH197" s="204">
        <f t="shared" ref="AH197:BN197" si="720">AH289</f>
        <v>0</v>
      </c>
      <c r="AI197" s="204">
        <f t="shared" si="720"/>
        <v>0</v>
      </c>
      <c r="AJ197" s="204">
        <f t="shared" si="720"/>
        <v>0</v>
      </c>
      <c r="AK197" s="204">
        <f t="shared" si="720"/>
        <v>0</v>
      </c>
      <c r="AL197" s="204">
        <f t="shared" si="720"/>
        <v>0</v>
      </c>
      <c r="AM197" s="204">
        <f t="shared" si="720"/>
        <v>0</v>
      </c>
      <c r="AN197" s="204">
        <f t="shared" si="720"/>
        <v>0</v>
      </c>
      <c r="AO197" s="204">
        <f t="shared" si="720"/>
        <v>0</v>
      </c>
      <c r="AP197" s="204">
        <f t="shared" si="720"/>
        <v>0</v>
      </c>
      <c r="AQ197" s="204">
        <f t="shared" si="720"/>
        <v>0</v>
      </c>
      <c r="AR197" s="204">
        <f t="shared" si="720"/>
        <v>0</v>
      </c>
      <c r="AS197" s="204">
        <f t="shared" si="720"/>
        <v>0</v>
      </c>
      <c r="AT197" s="204">
        <f t="shared" si="720"/>
        <v>0</v>
      </c>
      <c r="AU197" s="204">
        <f t="shared" si="720"/>
        <v>0</v>
      </c>
      <c r="AV197" s="204">
        <f t="shared" si="720"/>
        <v>0</v>
      </c>
      <c r="AW197" s="204">
        <f t="shared" si="720"/>
        <v>0</v>
      </c>
      <c r="AX197" s="204">
        <f t="shared" si="720"/>
        <v>0</v>
      </c>
      <c r="AY197" s="204">
        <f t="shared" si="720"/>
        <v>0</v>
      </c>
      <c r="AZ197" s="204">
        <f t="shared" si="720"/>
        <v>0</v>
      </c>
      <c r="BA197" s="204">
        <f t="shared" si="720"/>
        <v>0</v>
      </c>
      <c r="BB197" s="204">
        <f t="shared" si="720"/>
        <v>0</v>
      </c>
      <c r="BC197" s="204">
        <f t="shared" si="720"/>
        <v>0</v>
      </c>
      <c r="BD197" s="204">
        <f t="shared" si="720"/>
        <v>0</v>
      </c>
      <c r="BE197" s="204">
        <f t="shared" si="720"/>
        <v>0</v>
      </c>
      <c r="BF197" s="204">
        <f t="shared" si="720"/>
        <v>0</v>
      </c>
      <c r="BG197" s="204">
        <f t="shared" si="720"/>
        <v>0</v>
      </c>
      <c r="BH197" s="204">
        <f t="shared" si="720"/>
        <v>0</v>
      </c>
      <c r="BI197" s="204">
        <f t="shared" si="720"/>
        <v>0</v>
      </c>
      <c r="BJ197" s="204">
        <f t="shared" si="720"/>
        <v>0</v>
      </c>
      <c r="BK197" s="204">
        <f t="shared" si="720"/>
        <v>0</v>
      </c>
      <c r="BL197" s="204">
        <f t="shared" si="720"/>
        <v>0</v>
      </c>
      <c r="BM197" s="204">
        <f t="shared" si="720"/>
        <v>0</v>
      </c>
      <c r="BN197" s="204">
        <f t="shared" si="720"/>
        <v>0</v>
      </c>
      <c r="BO197" s="176"/>
      <c r="BP197" s="176">
        <f t="shared" ref="BP197:CF197" si="721">BP289</f>
        <v>-26</v>
      </c>
      <c r="BQ197" s="176">
        <f t="shared" si="721"/>
        <v>23</v>
      </c>
      <c r="BR197" s="176">
        <f t="shared" si="721"/>
        <v>0</v>
      </c>
      <c r="BS197" s="176">
        <f t="shared" si="721"/>
        <v>39</v>
      </c>
      <c r="BT197" s="176">
        <f t="shared" si="721"/>
        <v>0</v>
      </c>
      <c r="BU197" s="176">
        <f t="shared" si="721"/>
        <v>0</v>
      </c>
      <c r="BV197" s="176">
        <f t="shared" si="721"/>
        <v>0</v>
      </c>
      <c r="BW197" s="176">
        <f t="shared" si="721"/>
        <v>0</v>
      </c>
      <c r="BX197" s="176">
        <f t="shared" si="721"/>
        <v>0</v>
      </c>
      <c r="BY197" s="176">
        <f t="shared" si="721"/>
        <v>0</v>
      </c>
      <c r="BZ197" s="176">
        <f t="shared" si="721"/>
        <v>0</v>
      </c>
      <c r="CA197" s="176">
        <f t="shared" si="721"/>
        <v>0</v>
      </c>
      <c r="CB197" s="176">
        <f t="shared" si="721"/>
        <v>0</v>
      </c>
      <c r="CC197" s="176">
        <f t="shared" si="721"/>
        <v>0</v>
      </c>
      <c r="CD197" s="176">
        <f t="shared" si="721"/>
        <v>0</v>
      </c>
      <c r="CE197" s="176">
        <f t="shared" si="721"/>
        <v>0</v>
      </c>
      <c r="CF197" s="176">
        <f t="shared" si="721"/>
        <v>0</v>
      </c>
      <c r="CG197" s="164"/>
      <c r="CH197" s="78"/>
      <c r="CI197" s="78"/>
    </row>
    <row r="198" spans="1:87" s="212" customFormat="1" ht="12.75" customHeight="1">
      <c r="A198" s="203" t="s">
        <v>119</v>
      </c>
      <c r="B198" s="205">
        <v>-2</v>
      </c>
      <c r="C198" s="205">
        <v>0</v>
      </c>
      <c r="D198" s="205">
        <v>6</v>
      </c>
      <c r="E198" s="205">
        <v>0</v>
      </c>
      <c r="F198" s="205">
        <v>4</v>
      </c>
      <c r="G198" s="205">
        <v>3</v>
      </c>
      <c r="H198" s="205">
        <v>-6</v>
      </c>
      <c r="I198" s="205">
        <v>-10</v>
      </c>
      <c r="J198" s="205">
        <v>-4</v>
      </c>
      <c r="K198" s="205">
        <v>-5</v>
      </c>
      <c r="L198" s="205">
        <v>-4</v>
      </c>
      <c r="M198" s="205">
        <v>-8</v>
      </c>
      <c r="N198" s="205">
        <v>-4</v>
      </c>
      <c r="O198" s="205">
        <v>-5</v>
      </c>
      <c r="P198" s="205">
        <v>-8</v>
      </c>
      <c r="Q198" s="205">
        <v>-6</v>
      </c>
      <c r="R198" s="205">
        <v>-7</v>
      </c>
      <c r="S198" s="205">
        <v>-8</v>
      </c>
      <c r="T198" s="205">
        <v>-6</v>
      </c>
      <c r="U198" s="205">
        <v>-6</v>
      </c>
      <c r="V198" s="205">
        <v>-3</v>
      </c>
      <c r="W198" s="205">
        <v>-3</v>
      </c>
      <c r="X198" s="205">
        <v>-9</v>
      </c>
      <c r="Y198" s="205">
        <v>1</v>
      </c>
      <c r="Z198" s="205">
        <v>-10</v>
      </c>
      <c r="AA198" s="205">
        <v>-8</v>
      </c>
      <c r="AB198" s="206">
        <v>-3</v>
      </c>
      <c r="AC198" s="206">
        <v>-2</v>
      </c>
      <c r="AD198" s="206">
        <v>-1</v>
      </c>
      <c r="AE198" s="206">
        <v>6</v>
      </c>
      <c r="AF198" s="206">
        <v>3</v>
      </c>
      <c r="AG198" s="206">
        <v>5</v>
      </c>
      <c r="AH198" s="206">
        <v>1</v>
      </c>
      <c r="AI198" s="206">
        <v>19</v>
      </c>
      <c r="AJ198" s="206">
        <v>18</v>
      </c>
      <c r="AK198" s="206">
        <v>23</v>
      </c>
      <c r="AL198" s="206">
        <v>23</v>
      </c>
      <c r="AM198" s="206">
        <v>21</v>
      </c>
      <c r="AN198" s="206">
        <v>16</v>
      </c>
      <c r="AO198" s="206">
        <v>13</v>
      </c>
      <c r="AP198" s="206">
        <v>13</v>
      </c>
      <c r="AQ198" s="206">
        <v>-3</v>
      </c>
      <c r="AR198" s="206">
        <v>-10</v>
      </c>
      <c r="AS198" s="206">
        <v>-6</v>
      </c>
      <c r="AT198" s="206">
        <v>-10</v>
      </c>
      <c r="AU198" s="206">
        <v>-14</v>
      </c>
      <c r="AV198" s="206">
        <v>-14</v>
      </c>
      <c r="AW198" s="207">
        <f>Debt!AW$41</f>
        <v>-19.457702213563255</v>
      </c>
      <c r="AX198" s="207">
        <f>Debt!AX$41</f>
        <v>-17.756469142365283</v>
      </c>
      <c r="AY198" s="207">
        <f>Debt!AY$41</f>
        <v>-16.863523277751078</v>
      </c>
      <c r="AZ198" s="207">
        <f>Debt!AZ$41</f>
        <v>-15.45395926144759</v>
      </c>
      <c r="BA198" s="207">
        <f>Debt!BA$41</f>
        <v>-19.46261883899999</v>
      </c>
      <c r="BB198" s="207">
        <f>Debt!BB$41</f>
        <v>-17.526112581735635</v>
      </c>
      <c r="BC198" s="207">
        <f>Debt!BC$41</f>
        <v>-17.257624756969001</v>
      </c>
      <c r="BD198" s="207">
        <f>Debt!BD$41</f>
        <v>-17.253445557962326</v>
      </c>
      <c r="BE198" s="207">
        <f>Debt!BE$41</f>
        <v>-17.266013746096519</v>
      </c>
      <c r="BF198" s="207">
        <f>Debt!BF$41</f>
        <v>-16.346850123198642</v>
      </c>
      <c r="BG198" s="207">
        <f>Debt!BG$41</f>
        <v>-16.075336835362151</v>
      </c>
      <c r="BH198" s="207">
        <f>Debt!BH$41</f>
        <v>-16.030425001799404</v>
      </c>
      <c r="BI198" s="207">
        <f>Debt!BI$41</f>
        <v>-16.000324567655404</v>
      </c>
      <c r="BJ198" s="207">
        <f>Debt!BJ$41</f>
        <v>-15.003872277272929</v>
      </c>
      <c r="BK198" s="207">
        <f>Debt!BK$41</f>
        <v>-14.705523419624477</v>
      </c>
      <c r="BL198" s="207">
        <f>Debt!BL$41</f>
        <v>-14.647681985000178</v>
      </c>
      <c r="BM198" s="207">
        <f>Debt!BM$41</f>
        <v>-14.647254403099232</v>
      </c>
      <c r="BN198" s="207">
        <f>Debt!BN$41</f>
        <v>-13.629158157009208</v>
      </c>
      <c r="BO198" s="208"/>
      <c r="BP198" s="209">
        <v>6</v>
      </c>
      <c r="BQ198" s="210">
        <f>SUM(C198:F198)</f>
        <v>10</v>
      </c>
      <c r="BR198" s="210">
        <f>SUM(G198:J198)</f>
        <v>-17</v>
      </c>
      <c r="BS198" s="210">
        <f>SUM(K198:N198)</f>
        <v>-21</v>
      </c>
      <c r="BT198" s="210">
        <f>SUM(O198:R198)</f>
        <v>-26</v>
      </c>
      <c r="BU198" s="210">
        <f>SUM(S198:V198)</f>
        <v>-23</v>
      </c>
      <c r="BV198" s="210">
        <f>SUM(W198:Z198)</f>
        <v>-21</v>
      </c>
      <c r="BW198" s="210">
        <f>SUM(AA198:AD198)</f>
        <v>-14</v>
      </c>
      <c r="BX198" s="210">
        <f>SUM(AE198:AH198)</f>
        <v>15</v>
      </c>
      <c r="BY198" s="210">
        <f>SUM(AI198:AL198)</f>
        <v>83</v>
      </c>
      <c r="BZ198" s="210">
        <f>SUM(AM198:AP198)</f>
        <v>63</v>
      </c>
      <c r="CA198" s="210">
        <f>SUM(AQ198:AT198)</f>
        <v>-29</v>
      </c>
      <c r="CB198" s="210">
        <f>SUM(AU198:AX198)</f>
        <v>-65.214171355928528</v>
      </c>
      <c r="CC198" s="210">
        <f>SUM(AY198:BB198)</f>
        <v>-69.306213959934283</v>
      </c>
      <c r="CD198" s="210">
        <f>SUM(BC198:BF198)</f>
        <v>-68.123934184226499</v>
      </c>
      <c r="CE198" s="210">
        <f>SUM(BG198:BJ198)</f>
        <v>-63.109958682089882</v>
      </c>
      <c r="CF198" s="210">
        <f>SUM(BK198:BN198)</f>
        <v>-57.629617964733093</v>
      </c>
      <c r="CG198" s="211"/>
      <c r="CH198" s="211"/>
      <c r="CI198" s="211"/>
    </row>
    <row r="199" spans="1:87">
      <c r="A199" s="8"/>
      <c r="B199" s="191"/>
      <c r="C199" s="191"/>
      <c r="D199" s="191"/>
      <c r="E199" s="191"/>
      <c r="F199" s="191"/>
      <c r="G199" s="191"/>
      <c r="H199" s="191"/>
      <c r="I199" s="191"/>
      <c r="J199" s="191"/>
      <c r="K199" s="191"/>
      <c r="L199" s="191"/>
      <c r="M199" s="191"/>
      <c r="N199" s="191"/>
      <c r="O199" s="191"/>
      <c r="P199" s="191"/>
      <c r="Q199" s="191"/>
      <c r="R199" s="191"/>
      <c r="S199" s="191"/>
      <c r="T199" s="191"/>
      <c r="U199" s="191"/>
      <c r="V199" s="191"/>
      <c r="W199" s="191"/>
      <c r="X199" s="191"/>
      <c r="Y199" s="191"/>
      <c r="Z199" s="191"/>
      <c r="AA199" s="191"/>
      <c r="AB199" s="191"/>
      <c r="AC199" s="191"/>
      <c r="AD199" s="191"/>
      <c r="AE199" s="191"/>
      <c r="AF199" s="191"/>
      <c r="AG199" s="191"/>
      <c r="AH199" s="191"/>
      <c r="AI199" s="191"/>
      <c r="AJ199" s="191"/>
      <c r="AK199" s="191"/>
      <c r="AL199" s="191"/>
      <c r="AM199" s="191"/>
      <c r="AN199" s="191"/>
      <c r="AO199" s="191"/>
      <c r="AP199" s="191"/>
      <c r="AQ199" s="191"/>
      <c r="AR199" s="191"/>
      <c r="AS199" s="191"/>
      <c r="AT199" s="191"/>
      <c r="AU199" s="191"/>
      <c r="AV199" s="161"/>
      <c r="AW199" s="161"/>
      <c r="AX199" s="191"/>
      <c r="AY199" s="191"/>
      <c r="AZ199" s="191"/>
      <c r="BA199" s="191"/>
      <c r="BB199" s="191"/>
      <c r="BC199" s="191"/>
      <c r="BD199" s="191"/>
      <c r="BE199" s="191"/>
      <c r="BF199" s="191"/>
      <c r="BG199" s="191"/>
      <c r="BH199" s="191"/>
      <c r="BI199" s="191"/>
      <c r="BJ199" s="191"/>
      <c r="BK199" s="191"/>
      <c r="BL199" s="191"/>
      <c r="BM199" s="191"/>
      <c r="BN199" s="191"/>
      <c r="BO199" s="191"/>
      <c r="BP199" s="191"/>
      <c r="BQ199" s="191"/>
      <c r="BR199" s="191"/>
      <c r="BS199" s="191"/>
      <c r="BT199" s="191"/>
      <c r="BU199" s="191"/>
      <c r="BV199" s="191"/>
      <c r="BW199" s="191"/>
      <c r="BX199" s="191"/>
      <c r="BY199" s="191"/>
      <c r="BZ199" s="191"/>
      <c r="CA199" s="191"/>
      <c r="CB199" s="191"/>
      <c r="CC199" s="191"/>
      <c r="CD199" s="191"/>
      <c r="CE199" s="191"/>
      <c r="CF199" s="191"/>
    </row>
    <row r="200" spans="1:87" s="172" customFormat="1">
      <c r="A200" s="25" t="s">
        <v>167</v>
      </c>
      <c r="B200" s="195">
        <f t="shared" ref="B200:AG200" si="722">B195+B197+B198</f>
        <v>80</v>
      </c>
      <c r="C200" s="195">
        <f t="shared" si="722"/>
        <v>93</v>
      </c>
      <c r="D200" s="195">
        <f t="shared" si="722"/>
        <v>-218</v>
      </c>
      <c r="E200" s="195">
        <f t="shared" si="722"/>
        <v>-303</v>
      </c>
      <c r="F200" s="195">
        <f t="shared" si="722"/>
        <v>149</v>
      </c>
      <c r="G200" s="195">
        <f t="shared" si="722"/>
        <v>230</v>
      </c>
      <c r="H200" s="195">
        <f t="shared" si="722"/>
        <v>-380</v>
      </c>
      <c r="I200" s="195">
        <f t="shared" si="722"/>
        <v>-193</v>
      </c>
      <c r="J200" s="195">
        <f t="shared" si="722"/>
        <v>361</v>
      </c>
      <c r="K200" s="195">
        <f t="shared" si="722"/>
        <v>210</v>
      </c>
      <c r="L200" s="195">
        <f t="shared" si="722"/>
        <v>-368</v>
      </c>
      <c r="M200" s="195">
        <f t="shared" si="722"/>
        <v>-33</v>
      </c>
      <c r="N200" s="195">
        <f t="shared" si="722"/>
        <v>330</v>
      </c>
      <c r="O200" s="195">
        <f t="shared" si="722"/>
        <v>228</v>
      </c>
      <c r="P200" s="195">
        <f t="shared" si="722"/>
        <v>-260</v>
      </c>
      <c r="Q200" s="195">
        <f t="shared" si="722"/>
        <v>-298</v>
      </c>
      <c r="R200" s="195">
        <f t="shared" si="722"/>
        <v>337</v>
      </c>
      <c r="S200" s="195">
        <f t="shared" si="722"/>
        <v>354</v>
      </c>
      <c r="T200" s="195">
        <f t="shared" si="722"/>
        <v>18</v>
      </c>
      <c r="U200" s="195">
        <f t="shared" si="722"/>
        <v>156</v>
      </c>
      <c r="V200" s="195">
        <f t="shared" si="722"/>
        <v>397</v>
      </c>
      <c r="W200" s="195">
        <f t="shared" si="722"/>
        <v>509</v>
      </c>
      <c r="X200" s="195">
        <f t="shared" si="722"/>
        <v>-128</v>
      </c>
      <c r="Y200" s="195">
        <f t="shared" si="722"/>
        <v>-30</v>
      </c>
      <c r="Z200" s="195">
        <f t="shared" si="722"/>
        <v>526</v>
      </c>
      <c r="AA200" s="195">
        <f t="shared" si="722"/>
        <v>552</v>
      </c>
      <c r="AB200" s="195">
        <f t="shared" si="722"/>
        <v>-52</v>
      </c>
      <c r="AC200" s="195">
        <f t="shared" si="722"/>
        <v>-6</v>
      </c>
      <c r="AD200" s="195">
        <f t="shared" si="722"/>
        <v>716</v>
      </c>
      <c r="AE200" s="195">
        <f t="shared" si="722"/>
        <v>749</v>
      </c>
      <c r="AF200" s="195">
        <f t="shared" si="722"/>
        <v>-38</v>
      </c>
      <c r="AG200" s="195">
        <f t="shared" si="722"/>
        <v>-16</v>
      </c>
      <c r="AH200" s="195">
        <f t="shared" ref="AH200:BN200" si="723">AH195+AH197+AH198</f>
        <v>754</v>
      </c>
      <c r="AI200" s="195">
        <f t="shared" si="723"/>
        <v>319</v>
      </c>
      <c r="AJ200" s="195">
        <f t="shared" si="723"/>
        <v>276</v>
      </c>
      <c r="AK200" s="195">
        <f t="shared" si="723"/>
        <v>265</v>
      </c>
      <c r="AL200" s="195">
        <f t="shared" si="723"/>
        <v>219</v>
      </c>
      <c r="AM200" s="195">
        <f t="shared" si="723"/>
        <v>436</v>
      </c>
      <c r="AN200" s="195">
        <f t="shared" si="723"/>
        <v>284</v>
      </c>
      <c r="AO200" s="195">
        <f t="shared" si="723"/>
        <v>374</v>
      </c>
      <c r="AP200" s="195">
        <f t="shared" si="723"/>
        <v>414</v>
      </c>
      <c r="AQ200" s="195">
        <f t="shared" si="723"/>
        <v>468</v>
      </c>
      <c r="AR200" s="195">
        <f t="shared" si="723"/>
        <v>139</v>
      </c>
      <c r="AS200" s="195">
        <f t="shared" si="723"/>
        <v>245</v>
      </c>
      <c r="AT200" s="195">
        <f t="shared" si="723"/>
        <v>165</v>
      </c>
      <c r="AU200" s="195">
        <f t="shared" si="723"/>
        <v>308</v>
      </c>
      <c r="AV200" s="195">
        <f t="shared" si="723"/>
        <v>326</v>
      </c>
      <c r="AW200" s="195">
        <f t="shared" si="723"/>
        <v>1.9429869716674482</v>
      </c>
      <c r="AX200" s="195">
        <f t="shared" si="723"/>
        <v>275.85087812107406</v>
      </c>
      <c r="AY200" s="195">
        <f t="shared" si="723"/>
        <v>726.18593486842406</v>
      </c>
      <c r="AZ200" s="195">
        <f t="shared" si="723"/>
        <v>523.13138074167796</v>
      </c>
      <c r="BA200" s="195">
        <f t="shared" si="723"/>
        <v>37.591192665131331</v>
      </c>
      <c r="BB200" s="195">
        <f t="shared" si="723"/>
        <v>435.76440819984117</v>
      </c>
      <c r="BC200" s="195">
        <f t="shared" si="723"/>
        <v>821.36250640644153</v>
      </c>
      <c r="BD200" s="195">
        <f t="shared" si="723"/>
        <v>576.12365082565884</v>
      </c>
      <c r="BE200" s="195">
        <f t="shared" si="723"/>
        <v>155.47238604800702</v>
      </c>
      <c r="BF200" s="195">
        <f t="shared" si="723"/>
        <v>492.56809574744585</v>
      </c>
      <c r="BG200" s="195">
        <f t="shared" si="723"/>
        <v>873.07505082623402</v>
      </c>
      <c r="BH200" s="195">
        <f t="shared" si="723"/>
        <v>566.03690469917547</v>
      </c>
      <c r="BI200" s="195">
        <f t="shared" si="723"/>
        <v>255.12660725689977</v>
      </c>
      <c r="BJ200" s="195">
        <f t="shared" si="723"/>
        <v>597.83366286591377</v>
      </c>
      <c r="BK200" s="195">
        <f t="shared" si="723"/>
        <v>974.58262140980889</v>
      </c>
      <c r="BL200" s="195">
        <f t="shared" si="723"/>
        <v>686.67823057386749</v>
      </c>
      <c r="BM200" s="195">
        <f t="shared" si="723"/>
        <v>261.94337077428003</v>
      </c>
      <c r="BN200" s="195">
        <f t="shared" si="723"/>
        <v>618.09282397730658</v>
      </c>
      <c r="BO200" s="196"/>
      <c r="BP200" s="196">
        <f t="shared" ref="BP200:CF200" si="724">BP195+BP197+BP198</f>
        <v>-706</v>
      </c>
      <c r="BQ200" s="196">
        <f t="shared" si="724"/>
        <v>-279</v>
      </c>
      <c r="BR200" s="196">
        <f t="shared" si="724"/>
        <v>18</v>
      </c>
      <c r="BS200" s="196">
        <f t="shared" si="724"/>
        <v>139</v>
      </c>
      <c r="BT200" s="196">
        <f t="shared" si="724"/>
        <v>7</v>
      </c>
      <c r="BU200" s="196">
        <f t="shared" si="724"/>
        <v>925</v>
      </c>
      <c r="BV200" s="196">
        <f t="shared" si="724"/>
        <v>877</v>
      </c>
      <c r="BW200" s="196">
        <f t="shared" si="724"/>
        <v>1210</v>
      </c>
      <c r="BX200" s="196">
        <f t="shared" si="724"/>
        <v>1449</v>
      </c>
      <c r="BY200" s="196">
        <f t="shared" si="724"/>
        <v>1079</v>
      </c>
      <c r="BZ200" s="196">
        <f t="shared" si="724"/>
        <v>1508</v>
      </c>
      <c r="CA200" s="196">
        <f t="shared" si="724"/>
        <v>1017</v>
      </c>
      <c r="CB200" s="196">
        <f t="shared" si="724"/>
        <v>911.79386509274173</v>
      </c>
      <c r="CC200" s="196">
        <f t="shared" si="724"/>
        <v>1722.6729164750732</v>
      </c>
      <c r="CD200" s="196">
        <f t="shared" si="724"/>
        <v>2045.5266390275538</v>
      </c>
      <c r="CE200" s="196">
        <f t="shared" si="724"/>
        <v>2292.0722256482231</v>
      </c>
      <c r="CF200" s="196">
        <f t="shared" si="724"/>
        <v>2541.2970467352629</v>
      </c>
      <c r="CG200" s="134"/>
      <c r="CH200" s="134"/>
      <c r="CI200" s="134"/>
    </row>
    <row r="201" spans="1:87" s="200" customFormat="1">
      <c r="A201" s="69" t="s">
        <v>378</v>
      </c>
      <c r="B201" s="34">
        <f t="shared" ref="B201:AG201" si="725">B200/B$128</f>
        <v>8.1716036772216546E-2</v>
      </c>
      <c r="C201" s="34">
        <f t="shared" si="725"/>
        <v>0.11411042944785275</v>
      </c>
      <c r="D201" s="34">
        <f t="shared" si="725"/>
        <v>-0.34548335974643424</v>
      </c>
      <c r="E201" s="34">
        <f t="shared" si="725"/>
        <v>-0.28774928774928776</v>
      </c>
      <c r="F201" s="34">
        <f t="shared" si="725"/>
        <v>0.13669724770642203</v>
      </c>
      <c r="G201" s="34">
        <f t="shared" si="725"/>
        <v>0.23023023023023023</v>
      </c>
      <c r="H201" s="34">
        <f t="shared" si="725"/>
        <v>-0.53146853146853146</v>
      </c>
      <c r="I201" s="34">
        <f t="shared" si="725"/>
        <v>-0.18190386427898209</v>
      </c>
      <c r="J201" s="34">
        <f t="shared" si="725"/>
        <v>0.2638888888888889</v>
      </c>
      <c r="K201" s="34">
        <f t="shared" si="725"/>
        <v>0.21989528795811519</v>
      </c>
      <c r="L201" s="34">
        <f t="shared" si="725"/>
        <v>-0.5175808720112518</v>
      </c>
      <c r="M201" s="34">
        <f t="shared" si="725"/>
        <v>-3.5791757049891543E-2</v>
      </c>
      <c r="N201" s="34">
        <f t="shared" si="725"/>
        <v>0.27295285359801491</v>
      </c>
      <c r="O201" s="34">
        <f t="shared" si="725"/>
        <v>0.24025289778714437</v>
      </c>
      <c r="P201" s="34">
        <f t="shared" si="725"/>
        <v>-0.37410071942446044</v>
      </c>
      <c r="Q201" s="34">
        <f t="shared" si="725"/>
        <v>-0.36881188118811881</v>
      </c>
      <c r="R201" s="34">
        <f t="shared" si="725"/>
        <v>0.30008904719501334</v>
      </c>
      <c r="S201" s="34">
        <f t="shared" si="725"/>
        <v>0.29159802306425042</v>
      </c>
      <c r="T201" s="34">
        <f t="shared" si="725"/>
        <v>1.8181818181818181E-2</v>
      </c>
      <c r="U201" s="34">
        <f t="shared" si="725"/>
        <v>0.13854351687388988</v>
      </c>
      <c r="V201" s="34">
        <f t="shared" si="725"/>
        <v>0.33502109704641353</v>
      </c>
      <c r="W201" s="34">
        <f t="shared" si="725"/>
        <v>0.42310889443059019</v>
      </c>
      <c r="X201" s="34">
        <f t="shared" si="725"/>
        <v>-0.15705521472392639</v>
      </c>
      <c r="Y201" s="34">
        <f t="shared" si="725"/>
        <v>-2.8037383177570093E-2</v>
      </c>
      <c r="Z201" s="34">
        <f t="shared" si="725"/>
        <v>0.40214067278287463</v>
      </c>
      <c r="AA201" s="34">
        <f t="shared" si="725"/>
        <v>0.43430369787568845</v>
      </c>
      <c r="AB201" s="34">
        <f t="shared" si="725"/>
        <v>-5.7906458797327393E-2</v>
      </c>
      <c r="AC201" s="34">
        <f t="shared" si="725"/>
        <v>-5.2219321148825066E-3</v>
      </c>
      <c r="AD201" s="34">
        <f t="shared" si="725"/>
        <v>0.46889325474787164</v>
      </c>
      <c r="AE201" s="34">
        <f t="shared" si="725"/>
        <v>0.51690821256038644</v>
      </c>
      <c r="AF201" s="34">
        <f t="shared" si="725"/>
        <v>-3.9624608967674661E-2</v>
      </c>
      <c r="AG201" s="34">
        <f t="shared" si="725"/>
        <v>-1.3793103448275862E-2</v>
      </c>
      <c r="AH201" s="34">
        <f t="shared" ref="AH201:BM201" si="726">AH200/AH$128</f>
        <v>0.47661188369152974</v>
      </c>
      <c r="AI201" s="34">
        <f t="shared" si="726"/>
        <v>0.28056288478452068</v>
      </c>
      <c r="AJ201" s="34">
        <f t="shared" si="726"/>
        <v>0.21461897356143078</v>
      </c>
      <c r="AK201" s="34">
        <f t="shared" si="726"/>
        <v>0.20558572536850273</v>
      </c>
      <c r="AL201" s="34">
        <f t="shared" si="726"/>
        <v>0.17689822294022617</v>
      </c>
      <c r="AM201" s="34">
        <f t="shared" si="726"/>
        <v>0.36062861869313484</v>
      </c>
      <c r="AN201" s="34">
        <f t="shared" si="726"/>
        <v>0.21068249258160238</v>
      </c>
      <c r="AO201" s="34">
        <f t="shared" si="726"/>
        <v>0.23477715003138733</v>
      </c>
      <c r="AP201" s="34">
        <f t="shared" si="726"/>
        <v>0.29848594087959623</v>
      </c>
      <c r="AQ201" s="34">
        <f t="shared" si="726"/>
        <v>0.32076764907470873</v>
      </c>
      <c r="AR201" s="34">
        <f t="shared" si="726"/>
        <v>0.12076455256298871</v>
      </c>
      <c r="AS201" s="34">
        <f t="shared" si="726"/>
        <v>0.14644351464435146</v>
      </c>
      <c r="AT201" s="34">
        <f t="shared" si="726"/>
        <v>0.1225854383358098</v>
      </c>
      <c r="AU201" s="34">
        <f t="shared" si="726"/>
        <v>0.19858156028368795</v>
      </c>
      <c r="AV201" s="34">
        <f t="shared" si="726"/>
        <v>0.17853231106243153</v>
      </c>
      <c r="AW201" s="34">
        <f t="shared" si="726"/>
        <v>1.1150850027263656E-3</v>
      </c>
      <c r="AX201" s="34">
        <f t="shared" si="726"/>
        <v>0.15276834141152501</v>
      </c>
      <c r="AY201" s="34">
        <f t="shared" si="726"/>
        <v>0.35034373281921505</v>
      </c>
      <c r="AZ201" s="34">
        <f t="shared" si="726"/>
        <v>0.24498913579438619</v>
      </c>
      <c r="BA201" s="34">
        <f t="shared" si="726"/>
        <v>1.9058365601208008E-2</v>
      </c>
      <c r="BB201" s="34">
        <f t="shared" si="726"/>
        <v>0.22987127492309661</v>
      </c>
      <c r="BC201" s="34">
        <f t="shared" si="726"/>
        <v>0.38745837895376301</v>
      </c>
      <c r="BD201" s="34">
        <f t="shared" si="726"/>
        <v>0.26162648748857492</v>
      </c>
      <c r="BE201" s="34">
        <f t="shared" si="726"/>
        <v>7.5399409483437069E-2</v>
      </c>
      <c r="BF201" s="34">
        <f t="shared" si="726"/>
        <v>0.24834320535384699</v>
      </c>
      <c r="BG201" s="34">
        <f t="shared" si="726"/>
        <v>0.39599771774470655</v>
      </c>
      <c r="BH201" s="34">
        <f t="shared" si="726"/>
        <v>0.22480667759813996</v>
      </c>
      <c r="BI201" s="34">
        <f t="shared" si="726"/>
        <v>0.11120106548672737</v>
      </c>
      <c r="BJ201" s="34">
        <f t="shared" si="726"/>
        <v>0.27599573329127031</v>
      </c>
      <c r="BK201" s="34">
        <f t="shared" si="726"/>
        <v>0.41242850169383599</v>
      </c>
      <c r="BL201" s="34">
        <f t="shared" si="726"/>
        <v>0.28080796785542128</v>
      </c>
      <c r="BM201" s="34">
        <f t="shared" si="726"/>
        <v>0.11161737262593956</v>
      </c>
      <c r="BN201" s="34">
        <f t="shared" ref="BN201" si="727">BN200/BN$128</f>
        <v>0.27609781153431728</v>
      </c>
      <c r="BO201" s="35"/>
      <c r="BP201" s="35">
        <f t="shared" ref="BP201:CF201" si="728">BP200/BP$128</f>
        <v>-0.19321291735084839</v>
      </c>
      <c r="BQ201" s="35">
        <f t="shared" si="728"/>
        <v>-7.7737531345778765E-2</v>
      </c>
      <c r="BR201" s="35">
        <f t="shared" si="728"/>
        <v>4.3446777697320783E-3</v>
      </c>
      <c r="BS201" s="35">
        <f t="shared" si="728"/>
        <v>3.6607848301290491E-2</v>
      </c>
      <c r="BT201" s="35">
        <f t="shared" si="728"/>
        <v>1.958041958041958E-3</v>
      </c>
      <c r="BU201" s="35">
        <f t="shared" si="728"/>
        <v>0.20487264673311184</v>
      </c>
      <c r="BV201" s="35">
        <f t="shared" si="728"/>
        <v>0.1994995450409463</v>
      </c>
      <c r="BW201" s="35">
        <f t="shared" si="728"/>
        <v>0.24974200206398348</v>
      </c>
      <c r="BX201" s="35">
        <f t="shared" si="728"/>
        <v>0.28135922330097085</v>
      </c>
      <c r="BY201" s="35">
        <f t="shared" si="728"/>
        <v>0.21797979797979797</v>
      </c>
      <c r="BZ201" s="35">
        <f t="shared" si="728"/>
        <v>0.27234964782373128</v>
      </c>
      <c r="CA201" s="35">
        <f t="shared" si="728"/>
        <v>0.18067152247290816</v>
      </c>
      <c r="CB201" s="35">
        <f t="shared" si="728"/>
        <v>0.13166437389458638</v>
      </c>
      <c r="CC201" s="35">
        <f t="shared" si="728"/>
        <v>0.21330188830094737</v>
      </c>
      <c r="CD201" s="35">
        <f t="shared" si="728"/>
        <v>0.24446504353038981</v>
      </c>
      <c r="CE201" s="35">
        <f t="shared" si="728"/>
        <v>0.24959922537349782</v>
      </c>
      <c r="CF201" s="35">
        <f t="shared" si="728"/>
        <v>0.27052714158908292</v>
      </c>
      <c r="CG201" s="77"/>
      <c r="CH201" s="77"/>
      <c r="CI201" s="77"/>
    </row>
    <row r="202" spans="1:87" s="172" customFormat="1">
      <c r="A202" s="25" t="s">
        <v>72</v>
      </c>
      <c r="B202" s="213">
        <v>-50</v>
      </c>
      <c r="C202" s="213">
        <v>3</v>
      </c>
      <c r="D202" s="213">
        <v>17</v>
      </c>
      <c r="E202" s="213">
        <v>-19</v>
      </c>
      <c r="F202" s="213">
        <v>2</v>
      </c>
      <c r="G202" s="213">
        <v>-9</v>
      </c>
      <c r="H202" s="213">
        <v>40</v>
      </c>
      <c r="I202" s="213">
        <v>-12</v>
      </c>
      <c r="J202" s="213">
        <v>39</v>
      </c>
      <c r="K202" s="213">
        <v>-9</v>
      </c>
      <c r="L202" s="213">
        <v>-13</v>
      </c>
      <c r="M202" s="213">
        <v>-12</v>
      </c>
      <c r="N202" s="213">
        <v>-7</v>
      </c>
      <c r="O202" s="213">
        <v>-6</v>
      </c>
      <c r="P202" s="213">
        <v>-13</v>
      </c>
      <c r="Q202" s="213">
        <v>-10</v>
      </c>
      <c r="R202" s="213">
        <v>30</v>
      </c>
      <c r="S202" s="213">
        <v>-19</v>
      </c>
      <c r="T202" s="213">
        <v>-15</v>
      </c>
      <c r="U202" s="213">
        <v>-14</v>
      </c>
      <c r="V202" s="213">
        <v>-2</v>
      </c>
      <c r="W202" s="213">
        <v>-67</v>
      </c>
      <c r="X202" s="213">
        <v>-12</v>
      </c>
      <c r="Y202" s="213">
        <v>-15</v>
      </c>
      <c r="Z202" s="213">
        <v>373</v>
      </c>
      <c r="AA202" s="213">
        <v>-112</v>
      </c>
      <c r="AB202" s="213">
        <v>14</v>
      </c>
      <c r="AC202" s="213">
        <v>5</v>
      </c>
      <c r="AD202" s="213">
        <v>-150</v>
      </c>
      <c r="AE202" s="213">
        <v>-105</v>
      </c>
      <c r="AF202" s="213">
        <v>16</v>
      </c>
      <c r="AG202" s="213">
        <v>-170</v>
      </c>
      <c r="AH202" s="213">
        <v>-147</v>
      </c>
      <c r="AI202" s="213">
        <v>-26</v>
      </c>
      <c r="AJ202" s="213">
        <v>-21</v>
      </c>
      <c r="AK202" s="213">
        <v>-3</v>
      </c>
      <c r="AL202" s="213">
        <v>-10</v>
      </c>
      <c r="AM202" s="213">
        <v>985</v>
      </c>
      <c r="AN202" s="213">
        <v>570</v>
      </c>
      <c r="AO202" s="213">
        <v>-28</v>
      </c>
      <c r="AP202" s="213">
        <v>4</v>
      </c>
      <c r="AQ202" s="213">
        <v>-103</v>
      </c>
      <c r="AR202" s="213">
        <v>46</v>
      </c>
      <c r="AS202" s="213">
        <v>-34</v>
      </c>
      <c r="AT202" s="213">
        <v>-89</v>
      </c>
      <c r="AU202" s="213">
        <v>-104</v>
      </c>
      <c r="AV202" s="213">
        <v>-32</v>
      </c>
      <c r="AW202" s="195">
        <f t="shared" ref="AW202:BC202" si="729">AW200*AW203</f>
        <v>-0.73833504923363036</v>
      </c>
      <c r="AX202" s="195">
        <f t="shared" si="729"/>
        <v>-165.51052687264442</v>
      </c>
      <c r="AY202" s="195">
        <f t="shared" si="729"/>
        <v>-130.71346827631632</v>
      </c>
      <c r="AZ202" s="195">
        <f t="shared" si="729"/>
        <v>-94.163648533502027</v>
      </c>
      <c r="BA202" s="195">
        <f t="shared" si="729"/>
        <v>-6.7664146797236393</v>
      </c>
      <c r="BB202" s="195">
        <f t="shared" si="729"/>
        <v>-78.437593475971411</v>
      </c>
      <c r="BC202" s="195">
        <f t="shared" si="729"/>
        <v>-147.84525115315947</v>
      </c>
      <c r="BD202" s="195">
        <f t="shared" ref="BD202:BN202" si="730">BD200*BD203</f>
        <v>-103.70225714861859</v>
      </c>
      <c r="BE202" s="195">
        <f t="shared" si="730"/>
        <v>-27.985029488641263</v>
      </c>
      <c r="BF202" s="195">
        <f t="shared" si="730"/>
        <v>-88.662257234540249</v>
      </c>
      <c r="BG202" s="195">
        <f t="shared" si="730"/>
        <v>-157.15350914872212</v>
      </c>
      <c r="BH202" s="195">
        <f t="shared" si="730"/>
        <v>-101.88664284585158</v>
      </c>
      <c r="BI202" s="195">
        <f t="shared" si="730"/>
        <v>-45.92278930624196</v>
      </c>
      <c r="BJ202" s="195">
        <f t="shared" si="730"/>
        <v>-107.61005931586448</v>
      </c>
      <c r="BK202" s="195">
        <f t="shared" si="730"/>
        <v>-175.42487185376558</v>
      </c>
      <c r="BL202" s="195">
        <f t="shared" si="730"/>
        <v>-123.60208150329615</v>
      </c>
      <c r="BM202" s="195">
        <f t="shared" si="730"/>
        <v>-47.149806739370405</v>
      </c>
      <c r="BN202" s="195">
        <f t="shared" si="730"/>
        <v>-111.25670831591518</v>
      </c>
      <c r="BO202" s="196"/>
      <c r="BP202" s="196">
        <v>29</v>
      </c>
      <c r="BQ202" s="196">
        <f>SUM(C202:F202)</f>
        <v>3</v>
      </c>
      <c r="BR202" s="196">
        <f>SUM(G202:J202)</f>
        <v>58</v>
      </c>
      <c r="BS202" s="196">
        <f>SUM(K202:N202)</f>
        <v>-41</v>
      </c>
      <c r="BT202" s="196">
        <f>SUM(O202:R202)</f>
        <v>1</v>
      </c>
      <c r="BU202" s="196">
        <f>SUM(S202:V202)</f>
        <v>-50</v>
      </c>
      <c r="BV202" s="196">
        <f>SUM(W202:Z202)</f>
        <v>279</v>
      </c>
      <c r="BW202" s="196">
        <f>SUM(AA202:AD202)</f>
        <v>-243</v>
      </c>
      <c r="BX202" s="196">
        <f>SUM(AE202:AH202)</f>
        <v>-406</v>
      </c>
      <c r="BY202" s="196">
        <f>SUM(AI202:AL202)</f>
        <v>-60</v>
      </c>
      <c r="BZ202" s="196">
        <f>SUM(AM202:AP202)</f>
        <v>1531</v>
      </c>
      <c r="CA202" s="196">
        <f>SUM(AQ202:AT202)</f>
        <v>-180</v>
      </c>
      <c r="CB202" s="196">
        <f>SUM(AU202:AX202)</f>
        <v>-302.24886192187807</v>
      </c>
      <c r="CC202" s="196">
        <f>SUM(AY202:BB202)</f>
        <v>-310.08112496551342</v>
      </c>
      <c r="CD202" s="196">
        <f>SUM(BC202:BF202)</f>
        <v>-368.1947950249596</v>
      </c>
      <c r="CE202" s="196">
        <f>SUM(BG202:BJ202)</f>
        <v>-412.57300061668013</v>
      </c>
      <c r="CF202" s="196">
        <f>SUM(BK202:BN202)</f>
        <v>-457.43346841234734</v>
      </c>
      <c r="CG202" s="134"/>
      <c r="CH202" s="134"/>
      <c r="CI202" s="134"/>
    </row>
    <row r="203" spans="1:87" s="200" customFormat="1">
      <c r="A203" s="69" t="s">
        <v>7</v>
      </c>
      <c r="B203" s="34">
        <f t="shared" ref="B203:AU203" si="731">B202/B200</f>
        <v>-0.625</v>
      </c>
      <c r="C203" s="34">
        <f t="shared" si="731"/>
        <v>3.2258064516129031E-2</v>
      </c>
      <c r="D203" s="34">
        <f t="shared" si="731"/>
        <v>-7.7981651376146793E-2</v>
      </c>
      <c r="E203" s="34">
        <f t="shared" si="731"/>
        <v>6.2706270627062702E-2</v>
      </c>
      <c r="F203" s="34">
        <f t="shared" si="731"/>
        <v>1.3422818791946308E-2</v>
      </c>
      <c r="G203" s="34">
        <f t="shared" si="731"/>
        <v>-3.9130434782608699E-2</v>
      </c>
      <c r="H203" s="34">
        <f t="shared" si="731"/>
        <v>-0.10526315789473684</v>
      </c>
      <c r="I203" s="34">
        <f t="shared" si="731"/>
        <v>6.2176165803108807E-2</v>
      </c>
      <c r="J203" s="34">
        <f t="shared" si="731"/>
        <v>0.10803324099722991</v>
      </c>
      <c r="K203" s="34">
        <f t="shared" si="731"/>
        <v>-4.2857142857142858E-2</v>
      </c>
      <c r="L203" s="34">
        <f t="shared" si="731"/>
        <v>3.5326086956521736E-2</v>
      </c>
      <c r="M203" s="34">
        <f t="shared" si="731"/>
        <v>0.36363636363636365</v>
      </c>
      <c r="N203" s="34">
        <f t="shared" si="731"/>
        <v>-2.1212121212121213E-2</v>
      </c>
      <c r="O203" s="34">
        <f t="shared" si="731"/>
        <v>-2.6315789473684209E-2</v>
      </c>
      <c r="P203" s="34">
        <f t="shared" si="731"/>
        <v>0.05</v>
      </c>
      <c r="Q203" s="34">
        <f t="shared" si="731"/>
        <v>3.3557046979865772E-2</v>
      </c>
      <c r="R203" s="34">
        <f t="shared" si="731"/>
        <v>8.9020771513353122E-2</v>
      </c>
      <c r="S203" s="34">
        <f t="shared" si="731"/>
        <v>-5.3672316384180789E-2</v>
      </c>
      <c r="T203" s="34">
        <f t="shared" si="731"/>
        <v>-0.83333333333333337</v>
      </c>
      <c r="U203" s="34">
        <f t="shared" si="731"/>
        <v>-8.9743589743589744E-2</v>
      </c>
      <c r="V203" s="34">
        <f t="shared" si="731"/>
        <v>-5.0377833753148613E-3</v>
      </c>
      <c r="W203" s="34">
        <f t="shared" si="731"/>
        <v>-0.13163064833005894</v>
      </c>
      <c r="X203" s="34">
        <f t="shared" si="731"/>
        <v>9.375E-2</v>
      </c>
      <c r="Y203" s="34">
        <f t="shared" si="731"/>
        <v>0.5</v>
      </c>
      <c r="Z203" s="34">
        <f t="shared" si="731"/>
        <v>0.70912547528517111</v>
      </c>
      <c r="AA203" s="34">
        <f t="shared" si="731"/>
        <v>-0.20289855072463769</v>
      </c>
      <c r="AB203" s="34">
        <f t="shared" si="731"/>
        <v>-0.26923076923076922</v>
      </c>
      <c r="AC203" s="34">
        <f t="shared" si="731"/>
        <v>-0.83333333333333337</v>
      </c>
      <c r="AD203" s="34">
        <f t="shared" si="731"/>
        <v>-0.20949720670391062</v>
      </c>
      <c r="AE203" s="34">
        <f t="shared" si="731"/>
        <v>-0.14018691588785046</v>
      </c>
      <c r="AF203" s="34">
        <f t="shared" si="731"/>
        <v>-0.42105263157894735</v>
      </c>
      <c r="AG203" s="34">
        <f t="shared" si="731"/>
        <v>10.625</v>
      </c>
      <c r="AH203" s="34">
        <f t="shared" si="731"/>
        <v>-0.19496021220159152</v>
      </c>
      <c r="AI203" s="34">
        <f t="shared" si="731"/>
        <v>-8.1504702194357362E-2</v>
      </c>
      <c r="AJ203" s="34">
        <f t="shared" si="731"/>
        <v>-7.6086956521739135E-2</v>
      </c>
      <c r="AK203" s="34">
        <f t="shared" si="731"/>
        <v>-1.1320754716981131E-2</v>
      </c>
      <c r="AL203" s="34">
        <f t="shared" si="731"/>
        <v>-4.5662100456621002E-2</v>
      </c>
      <c r="AM203" s="34">
        <f t="shared" si="731"/>
        <v>2.2591743119266057</v>
      </c>
      <c r="AN203" s="34">
        <f t="shared" si="731"/>
        <v>2.007042253521127</v>
      </c>
      <c r="AO203" s="34">
        <f t="shared" si="731"/>
        <v>-7.4866310160427801E-2</v>
      </c>
      <c r="AP203" s="34">
        <f t="shared" si="731"/>
        <v>9.6618357487922701E-3</v>
      </c>
      <c r="AQ203" s="34">
        <f t="shared" si="731"/>
        <v>-0.22008547008547008</v>
      </c>
      <c r="AR203" s="34">
        <f t="shared" si="731"/>
        <v>0.33093525179856115</v>
      </c>
      <c r="AS203" s="34">
        <f t="shared" si="731"/>
        <v>-0.13877551020408163</v>
      </c>
      <c r="AT203" s="34">
        <f t="shared" si="731"/>
        <v>-0.53939393939393943</v>
      </c>
      <c r="AU203" s="34">
        <f t="shared" si="731"/>
        <v>-0.33766233766233766</v>
      </c>
      <c r="AV203" s="34">
        <f t="shared" ref="AV203" si="732">AV202/AV200</f>
        <v>-9.815950920245399E-2</v>
      </c>
      <c r="AW203" s="1">
        <v>-0.38</v>
      </c>
      <c r="AX203" s="1">
        <v>-0.6</v>
      </c>
      <c r="AY203" s="1">
        <v>-0.18</v>
      </c>
      <c r="AZ203" s="1">
        <f t="shared" ref="AZ203:BB203" si="733">AY203</f>
        <v>-0.18</v>
      </c>
      <c r="BA203" s="1">
        <f t="shared" si="733"/>
        <v>-0.18</v>
      </c>
      <c r="BB203" s="1">
        <f t="shared" si="733"/>
        <v>-0.18</v>
      </c>
      <c r="BC203" s="1">
        <f t="shared" ref="BC203:BJ203" si="734">BB203</f>
        <v>-0.18</v>
      </c>
      <c r="BD203" s="1">
        <f t="shared" si="734"/>
        <v>-0.18</v>
      </c>
      <c r="BE203" s="1">
        <f t="shared" si="734"/>
        <v>-0.18</v>
      </c>
      <c r="BF203" s="1">
        <f t="shared" si="734"/>
        <v>-0.18</v>
      </c>
      <c r="BG203" s="1">
        <f t="shared" si="734"/>
        <v>-0.18</v>
      </c>
      <c r="BH203" s="1">
        <f t="shared" si="734"/>
        <v>-0.18</v>
      </c>
      <c r="BI203" s="1">
        <f t="shared" si="734"/>
        <v>-0.18</v>
      </c>
      <c r="BJ203" s="1">
        <f t="shared" si="734"/>
        <v>-0.18</v>
      </c>
      <c r="BK203" s="1">
        <f>BJ203</f>
        <v>-0.18</v>
      </c>
      <c r="BL203" s="1">
        <f>BK203</f>
        <v>-0.18</v>
      </c>
      <c r="BM203" s="1">
        <f>BL203</f>
        <v>-0.18</v>
      </c>
      <c r="BN203" s="1">
        <f>BM203</f>
        <v>-0.18</v>
      </c>
      <c r="BO203" s="40"/>
      <c r="BP203" s="35">
        <f t="shared" ref="BP203:CF203" si="735">BP202/BP200</f>
        <v>-4.1076487252124649E-2</v>
      </c>
      <c r="BQ203" s="35">
        <f t="shared" si="735"/>
        <v>-1.0752688172043012E-2</v>
      </c>
      <c r="BR203" s="35">
        <f t="shared" si="735"/>
        <v>3.2222222222222223</v>
      </c>
      <c r="BS203" s="35">
        <f t="shared" si="735"/>
        <v>-0.29496402877697842</v>
      </c>
      <c r="BT203" s="35">
        <f t="shared" si="735"/>
        <v>0.14285714285714285</v>
      </c>
      <c r="BU203" s="35">
        <f t="shared" si="735"/>
        <v>-5.4054054054054057E-2</v>
      </c>
      <c r="BV203" s="35">
        <f t="shared" si="735"/>
        <v>0.31812998859749148</v>
      </c>
      <c r="BW203" s="35">
        <f t="shared" si="735"/>
        <v>-0.20082644628099172</v>
      </c>
      <c r="BX203" s="35">
        <f t="shared" si="735"/>
        <v>-0.28019323671497587</v>
      </c>
      <c r="BY203" s="35">
        <f t="shared" si="735"/>
        <v>-5.5607043558850787E-2</v>
      </c>
      <c r="BZ203" s="35">
        <f t="shared" si="735"/>
        <v>1.0152519893899203</v>
      </c>
      <c r="CA203" s="35">
        <f t="shared" si="735"/>
        <v>-0.17699115044247787</v>
      </c>
      <c r="CB203" s="35">
        <f t="shared" si="735"/>
        <v>-0.33148815043972168</v>
      </c>
      <c r="CC203" s="35">
        <f t="shared" si="735"/>
        <v>-0.18000000000000016</v>
      </c>
      <c r="CD203" s="35">
        <f t="shared" si="735"/>
        <v>-0.17999999999999997</v>
      </c>
      <c r="CE203" s="35">
        <f t="shared" si="735"/>
        <v>-0.18</v>
      </c>
      <c r="CF203" s="35">
        <f t="shared" si="735"/>
        <v>-0.18</v>
      </c>
      <c r="CG203" s="77"/>
      <c r="CH203" s="77"/>
      <c r="CI203" s="77"/>
    </row>
    <row r="204" spans="1:87">
      <c r="A204" s="8"/>
      <c r="B204" s="191"/>
      <c r="C204" s="191"/>
      <c r="D204" s="191"/>
      <c r="E204" s="191"/>
      <c r="F204" s="191"/>
      <c r="G204" s="191"/>
      <c r="H204" s="191"/>
      <c r="I204" s="191"/>
      <c r="J204" s="191"/>
      <c r="K204" s="191"/>
      <c r="L204" s="191"/>
      <c r="M204" s="191"/>
      <c r="N204" s="191"/>
      <c r="O204" s="191"/>
      <c r="P204" s="191"/>
      <c r="Q204" s="191"/>
      <c r="R204" s="191"/>
      <c r="S204" s="191"/>
      <c r="T204" s="191"/>
      <c r="U204" s="191"/>
      <c r="V204" s="191"/>
      <c r="W204" s="191"/>
      <c r="X204" s="191"/>
      <c r="Y204" s="191"/>
      <c r="Z204" s="191"/>
      <c r="AA204" s="191"/>
      <c r="AB204" s="191"/>
      <c r="AC204" s="191"/>
      <c r="AD204" s="191"/>
      <c r="AE204" s="191"/>
      <c r="AF204" s="191"/>
      <c r="AG204" s="191"/>
      <c r="AH204" s="191"/>
      <c r="AI204" s="191"/>
      <c r="AJ204" s="191"/>
      <c r="AK204" s="191"/>
      <c r="AL204" s="191"/>
      <c r="AM204" s="191"/>
      <c r="AN204" s="191"/>
      <c r="AO204" s="191"/>
      <c r="AP204" s="191"/>
      <c r="AQ204" s="191"/>
      <c r="AR204" s="191"/>
      <c r="AS204" s="191"/>
      <c r="AT204" s="191"/>
      <c r="AU204" s="191"/>
      <c r="AV204" s="191"/>
      <c r="AW204" s="191"/>
      <c r="AX204" s="191"/>
      <c r="AY204" s="191"/>
      <c r="AZ204" s="191"/>
      <c r="BA204" s="191"/>
      <c r="BB204" s="191"/>
      <c r="BC204" s="191"/>
      <c r="BD204" s="191"/>
      <c r="BE204" s="191"/>
      <c r="BF204" s="191"/>
      <c r="BG204" s="191"/>
      <c r="BH204" s="191"/>
      <c r="BI204" s="191"/>
      <c r="BJ204" s="191"/>
      <c r="BK204" s="191"/>
      <c r="BL204" s="191"/>
      <c r="BM204" s="191"/>
      <c r="BN204" s="191"/>
      <c r="BO204" s="191"/>
      <c r="BP204" s="191"/>
      <c r="BQ204" s="191"/>
      <c r="BR204" s="191"/>
      <c r="BS204" s="191"/>
      <c r="BT204" s="191"/>
      <c r="BU204" s="191"/>
      <c r="BV204" s="191"/>
      <c r="BW204" s="191"/>
      <c r="BX204" s="191"/>
      <c r="BY204" s="191"/>
      <c r="BZ204" s="191"/>
      <c r="CA204" s="191"/>
      <c r="CB204" s="191"/>
      <c r="CC204" s="191"/>
      <c r="CD204" s="191"/>
      <c r="CE204" s="191"/>
      <c r="CF204" s="191"/>
    </row>
    <row r="205" spans="1:87" s="172" customFormat="1">
      <c r="A205" s="25" t="s">
        <v>220</v>
      </c>
      <c r="B205" s="195">
        <f t="shared" ref="B205:AG205" si="736">B200+B202</f>
        <v>30</v>
      </c>
      <c r="C205" s="195">
        <f t="shared" si="736"/>
        <v>96</v>
      </c>
      <c r="D205" s="195">
        <f t="shared" si="736"/>
        <v>-201</v>
      </c>
      <c r="E205" s="195">
        <f t="shared" si="736"/>
        <v>-322</v>
      </c>
      <c r="F205" s="195">
        <f t="shared" si="736"/>
        <v>151</v>
      </c>
      <c r="G205" s="195">
        <f t="shared" si="736"/>
        <v>221</v>
      </c>
      <c r="H205" s="195">
        <f t="shared" si="736"/>
        <v>-340</v>
      </c>
      <c r="I205" s="195">
        <f t="shared" si="736"/>
        <v>-205</v>
      </c>
      <c r="J205" s="195">
        <f t="shared" si="736"/>
        <v>400</v>
      </c>
      <c r="K205" s="195">
        <f t="shared" si="736"/>
        <v>201</v>
      </c>
      <c r="L205" s="195">
        <f t="shared" si="736"/>
        <v>-381</v>
      </c>
      <c r="M205" s="195">
        <f t="shared" si="736"/>
        <v>-45</v>
      </c>
      <c r="N205" s="195">
        <f t="shared" si="736"/>
        <v>323</v>
      </c>
      <c r="O205" s="195">
        <f t="shared" si="736"/>
        <v>222</v>
      </c>
      <c r="P205" s="195">
        <f t="shared" si="736"/>
        <v>-273</v>
      </c>
      <c r="Q205" s="195">
        <f t="shared" si="736"/>
        <v>-308</v>
      </c>
      <c r="R205" s="195">
        <f t="shared" si="736"/>
        <v>367</v>
      </c>
      <c r="S205" s="195">
        <f t="shared" si="736"/>
        <v>335</v>
      </c>
      <c r="T205" s="195">
        <f t="shared" si="736"/>
        <v>3</v>
      </c>
      <c r="U205" s="195">
        <f t="shared" si="736"/>
        <v>142</v>
      </c>
      <c r="V205" s="195">
        <f t="shared" si="736"/>
        <v>395</v>
      </c>
      <c r="W205" s="195">
        <f t="shared" si="736"/>
        <v>442</v>
      </c>
      <c r="X205" s="195">
        <f t="shared" si="736"/>
        <v>-140</v>
      </c>
      <c r="Y205" s="195">
        <f t="shared" si="736"/>
        <v>-45</v>
      </c>
      <c r="Z205" s="195">
        <f t="shared" si="736"/>
        <v>899</v>
      </c>
      <c r="AA205" s="195">
        <f t="shared" si="736"/>
        <v>440</v>
      </c>
      <c r="AB205" s="195">
        <f t="shared" si="736"/>
        <v>-38</v>
      </c>
      <c r="AC205" s="195">
        <f t="shared" si="736"/>
        <v>-1</v>
      </c>
      <c r="AD205" s="195">
        <f t="shared" si="736"/>
        <v>566</v>
      </c>
      <c r="AE205" s="195">
        <f t="shared" si="736"/>
        <v>644</v>
      </c>
      <c r="AF205" s="195">
        <f t="shared" si="736"/>
        <v>-22</v>
      </c>
      <c r="AG205" s="195">
        <f t="shared" si="736"/>
        <v>-186</v>
      </c>
      <c r="AH205" s="195">
        <f t="shared" ref="AH205:BC205" si="737">AH200+AH202</f>
        <v>607</v>
      </c>
      <c r="AI205" s="195">
        <f t="shared" si="737"/>
        <v>293</v>
      </c>
      <c r="AJ205" s="195">
        <f t="shared" si="737"/>
        <v>255</v>
      </c>
      <c r="AK205" s="195">
        <f t="shared" si="737"/>
        <v>262</v>
      </c>
      <c r="AL205" s="195">
        <f t="shared" si="737"/>
        <v>209</v>
      </c>
      <c r="AM205" s="195">
        <f t="shared" si="737"/>
        <v>1421</v>
      </c>
      <c r="AN205" s="195">
        <f t="shared" si="737"/>
        <v>854</v>
      </c>
      <c r="AO205" s="195">
        <f t="shared" si="737"/>
        <v>346</v>
      </c>
      <c r="AP205" s="195">
        <f t="shared" si="737"/>
        <v>418</v>
      </c>
      <c r="AQ205" s="195">
        <f t="shared" si="737"/>
        <v>365</v>
      </c>
      <c r="AR205" s="195">
        <f t="shared" si="737"/>
        <v>185</v>
      </c>
      <c r="AS205" s="195">
        <f t="shared" si="737"/>
        <v>211</v>
      </c>
      <c r="AT205" s="195">
        <f t="shared" si="737"/>
        <v>76</v>
      </c>
      <c r="AU205" s="195">
        <f t="shared" si="737"/>
        <v>204</v>
      </c>
      <c r="AV205" s="195">
        <f t="shared" ref="AV205" si="738">AV200+AV202</f>
        <v>294</v>
      </c>
      <c r="AW205" s="195">
        <f t="shared" si="737"/>
        <v>1.2046519224338179</v>
      </c>
      <c r="AX205" s="195">
        <f t="shared" si="737"/>
        <v>110.34035124842964</v>
      </c>
      <c r="AY205" s="195">
        <f t="shared" si="737"/>
        <v>595.47246659210771</v>
      </c>
      <c r="AZ205" s="195">
        <f t="shared" si="737"/>
        <v>428.9677322081759</v>
      </c>
      <c r="BA205" s="195">
        <f t="shared" si="737"/>
        <v>30.824777985407692</v>
      </c>
      <c r="BB205" s="195">
        <f t="shared" si="737"/>
        <v>357.32681472386975</v>
      </c>
      <c r="BC205" s="195">
        <f t="shared" si="737"/>
        <v>673.51725525328209</v>
      </c>
      <c r="BD205" s="195">
        <f t="shared" ref="BD205:BN205" si="739">BD200+BD202</f>
        <v>472.42139367704027</v>
      </c>
      <c r="BE205" s="195">
        <f t="shared" si="739"/>
        <v>127.48735655936576</v>
      </c>
      <c r="BF205" s="195">
        <f t="shared" si="739"/>
        <v>403.90583851290558</v>
      </c>
      <c r="BG205" s="195">
        <f t="shared" si="739"/>
        <v>715.92154167751187</v>
      </c>
      <c r="BH205" s="195">
        <f t="shared" si="739"/>
        <v>464.15026185332385</v>
      </c>
      <c r="BI205" s="195">
        <f t="shared" si="739"/>
        <v>209.20381795065782</v>
      </c>
      <c r="BJ205" s="195">
        <f t="shared" si="739"/>
        <v>490.22360355004929</v>
      </c>
      <c r="BK205" s="195">
        <f t="shared" si="739"/>
        <v>799.15774955604331</v>
      </c>
      <c r="BL205" s="195">
        <f t="shared" si="739"/>
        <v>563.07614907057132</v>
      </c>
      <c r="BM205" s="195">
        <f t="shared" si="739"/>
        <v>214.79356403490962</v>
      </c>
      <c r="BN205" s="195">
        <f t="shared" si="739"/>
        <v>506.83611566139143</v>
      </c>
      <c r="BO205" s="196"/>
      <c r="BP205" s="196">
        <f t="shared" ref="BP205:CF205" si="740">BP200+BP202</f>
        <v>-677</v>
      </c>
      <c r="BQ205" s="196">
        <f t="shared" si="740"/>
        <v>-276</v>
      </c>
      <c r="BR205" s="196">
        <f t="shared" si="740"/>
        <v>76</v>
      </c>
      <c r="BS205" s="196">
        <f t="shared" si="740"/>
        <v>98</v>
      </c>
      <c r="BT205" s="196">
        <f t="shared" si="740"/>
        <v>8</v>
      </c>
      <c r="BU205" s="196">
        <f t="shared" si="740"/>
        <v>875</v>
      </c>
      <c r="BV205" s="196">
        <f t="shared" si="740"/>
        <v>1156</v>
      </c>
      <c r="BW205" s="196">
        <f t="shared" si="740"/>
        <v>967</v>
      </c>
      <c r="BX205" s="196">
        <f t="shared" si="740"/>
        <v>1043</v>
      </c>
      <c r="BY205" s="196">
        <f t="shared" si="740"/>
        <v>1019</v>
      </c>
      <c r="BZ205" s="196">
        <f t="shared" si="740"/>
        <v>3039</v>
      </c>
      <c r="CA205" s="196">
        <f t="shared" si="740"/>
        <v>837</v>
      </c>
      <c r="CB205" s="196">
        <f t="shared" si="740"/>
        <v>609.54500317086365</v>
      </c>
      <c r="CC205" s="196">
        <f t="shared" si="740"/>
        <v>1412.5917915095597</v>
      </c>
      <c r="CD205" s="196">
        <f t="shared" si="740"/>
        <v>1677.3318440025942</v>
      </c>
      <c r="CE205" s="196">
        <f t="shared" si="740"/>
        <v>1879.4992250315431</v>
      </c>
      <c r="CF205" s="196">
        <f t="shared" si="740"/>
        <v>2083.8635783229156</v>
      </c>
      <c r="CG205" s="134"/>
      <c r="CH205" s="134"/>
      <c r="CI205" s="134"/>
    </row>
    <row r="206" spans="1:87" s="200" customFormat="1">
      <c r="A206" s="69" t="s">
        <v>4</v>
      </c>
      <c r="B206" s="34">
        <f t="shared" ref="B206:AG206" si="741">B205/B$128</f>
        <v>3.0643513789581207E-2</v>
      </c>
      <c r="C206" s="34">
        <f t="shared" si="741"/>
        <v>0.11779141104294479</v>
      </c>
      <c r="D206" s="34">
        <f t="shared" si="741"/>
        <v>-0.31854199683042789</v>
      </c>
      <c r="E206" s="34">
        <f t="shared" si="741"/>
        <v>-0.3057929724596391</v>
      </c>
      <c r="F206" s="34">
        <f t="shared" si="741"/>
        <v>0.13853211009174313</v>
      </c>
      <c r="G206" s="34">
        <f t="shared" si="741"/>
        <v>0.22122122122122123</v>
      </c>
      <c r="H206" s="34">
        <f t="shared" si="741"/>
        <v>-0.47552447552447552</v>
      </c>
      <c r="I206" s="34">
        <f t="shared" si="741"/>
        <v>-0.19321394910461828</v>
      </c>
      <c r="J206" s="34">
        <f t="shared" si="741"/>
        <v>0.29239766081871343</v>
      </c>
      <c r="K206" s="34">
        <f t="shared" si="741"/>
        <v>0.21047120418848167</v>
      </c>
      <c r="L206" s="34">
        <f t="shared" si="741"/>
        <v>-0.53586497890295359</v>
      </c>
      <c r="M206" s="34">
        <f t="shared" si="741"/>
        <v>-4.8806941431670282E-2</v>
      </c>
      <c r="N206" s="34">
        <f t="shared" si="741"/>
        <v>0.26716294458229944</v>
      </c>
      <c r="O206" s="34">
        <f t="shared" si="741"/>
        <v>0.2339304531085353</v>
      </c>
      <c r="P206" s="34">
        <f t="shared" si="741"/>
        <v>-0.39280575539568346</v>
      </c>
      <c r="Q206" s="34">
        <f t="shared" si="741"/>
        <v>-0.38118811881188119</v>
      </c>
      <c r="R206" s="34">
        <f t="shared" si="741"/>
        <v>0.32680320569902049</v>
      </c>
      <c r="S206" s="34">
        <f t="shared" si="741"/>
        <v>0.27594728171334432</v>
      </c>
      <c r="T206" s="34">
        <f t="shared" si="741"/>
        <v>3.0303030303030303E-3</v>
      </c>
      <c r="U206" s="34">
        <f t="shared" si="741"/>
        <v>0.12611012433392541</v>
      </c>
      <c r="V206" s="34">
        <f t="shared" si="741"/>
        <v>0.33333333333333331</v>
      </c>
      <c r="W206" s="34">
        <f t="shared" si="741"/>
        <v>0.36741479634247715</v>
      </c>
      <c r="X206" s="34">
        <f t="shared" si="741"/>
        <v>-0.17177914110429449</v>
      </c>
      <c r="Y206" s="34">
        <f t="shared" si="741"/>
        <v>-4.2056074766355138E-2</v>
      </c>
      <c r="Z206" s="34">
        <f t="shared" si="741"/>
        <v>0.68730886850152906</v>
      </c>
      <c r="AA206" s="34">
        <f t="shared" si="741"/>
        <v>0.34618410700236035</v>
      </c>
      <c r="AB206" s="34">
        <f t="shared" si="741"/>
        <v>-4.2316258351893093E-2</v>
      </c>
      <c r="AC206" s="34">
        <f t="shared" si="741"/>
        <v>-8.703220191470844E-4</v>
      </c>
      <c r="AD206" s="34">
        <f t="shared" si="741"/>
        <v>0.37066142763588739</v>
      </c>
      <c r="AE206" s="34">
        <f t="shared" si="741"/>
        <v>0.44444444444444442</v>
      </c>
      <c r="AF206" s="34">
        <f t="shared" si="741"/>
        <v>-2.2940563086548488E-2</v>
      </c>
      <c r="AG206" s="34">
        <f t="shared" si="741"/>
        <v>-0.16034482758620688</v>
      </c>
      <c r="AH206" s="34">
        <f t="shared" ref="AH206:BM206" si="742">AH205/AH$128</f>
        <v>0.38369152970922882</v>
      </c>
      <c r="AI206" s="34">
        <f t="shared" si="742"/>
        <v>0.25769569041336854</v>
      </c>
      <c r="AJ206" s="34">
        <f t="shared" si="742"/>
        <v>0.19828926905132194</v>
      </c>
      <c r="AK206" s="34">
        <f t="shared" si="742"/>
        <v>0.20325833979829325</v>
      </c>
      <c r="AL206" s="34">
        <f t="shared" si="742"/>
        <v>0.16882067851373184</v>
      </c>
      <c r="AM206" s="34">
        <f t="shared" si="742"/>
        <v>1.17535153019024</v>
      </c>
      <c r="AN206" s="34">
        <f t="shared" si="742"/>
        <v>0.63353115727002962</v>
      </c>
      <c r="AO206" s="34">
        <f t="shared" si="742"/>
        <v>0.21720025109855617</v>
      </c>
      <c r="AP206" s="34">
        <f t="shared" si="742"/>
        <v>0.30136986301369861</v>
      </c>
      <c r="AQ206" s="34">
        <f t="shared" si="742"/>
        <v>0.25017135023989034</v>
      </c>
      <c r="AR206" s="34">
        <f t="shared" si="742"/>
        <v>0.16072980017376196</v>
      </c>
      <c r="AS206" s="34">
        <f t="shared" si="742"/>
        <v>0.12612074118350269</v>
      </c>
      <c r="AT206" s="34">
        <f t="shared" si="742"/>
        <v>5.6463595839524518E-2</v>
      </c>
      <c r="AU206" s="34">
        <f t="shared" si="742"/>
        <v>0.13152804642166344</v>
      </c>
      <c r="AV206" s="34">
        <f t="shared" ref="AV206" si="743">AV205/AV$128</f>
        <v>0.16100766703176342</v>
      </c>
      <c r="AW206" s="34">
        <f t="shared" si="742"/>
        <v>6.9135270169034667E-4</v>
      </c>
      <c r="AX206" s="34">
        <f t="shared" si="742"/>
        <v>6.1107336564610017E-2</v>
      </c>
      <c r="AY206" s="34">
        <f t="shared" si="742"/>
        <v>0.28728186091175634</v>
      </c>
      <c r="AZ206" s="34">
        <f t="shared" si="742"/>
        <v>0.20089109135139668</v>
      </c>
      <c r="BA206" s="34">
        <f t="shared" si="742"/>
        <v>1.5627859792990566E-2</v>
      </c>
      <c r="BB206" s="34">
        <f t="shared" si="742"/>
        <v>0.18849444543693922</v>
      </c>
      <c r="BC206" s="34">
        <f t="shared" si="742"/>
        <v>0.31771587074208568</v>
      </c>
      <c r="BD206" s="34">
        <f t="shared" si="742"/>
        <v>0.21453371974063143</v>
      </c>
      <c r="BE206" s="34">
        <f t="shared" si="742"/>
        <v>6.1827515776418394E-2</v>
      </c>
      <c r="BF206" s="34">
        <f t="shared" si="742"/>
        <v>0.20364142839015453</v>
      </c>
      <c r="BG206" s="34">
        <f t="shared" si="742"/>
        <v>0.3247181285506594</v>
      </c>
      <c r="BH206" s="34">
        <f t="shared" si="742"/>
        <v>0.18434147563047476</v>
      </c>
      <c r="BI206" s="34">
        <f t="shared" si="742"/>
        <v>9.1184873699116445E-2</v>
      </c>
      <c r="BJ206" s="34">
        <f t="shared" si="742"/>
        <v>0.22631650129884165</v>
      </c>
      <c r="BK206" s="34">
        <f t="shared" si="742"/>
        <v>0.33819137138894551</v>
      </c>
      <c r="BL206" s="34">
        <f t="shared" si="742"/>
        <v>0.23026253364144544</v>
      </c>
      <c r="BM206" s="34">
        <f t="shared" si="742"/>
        <v>9.1526245553270436E-2</v>
      </c>
      <c r="BN206" s="34">
        <f t="shared" ref="BN206" si="744">BN205/BN$128</f>
        <v>0.22640020545814019</v>
      </c>
      <c r="BO206" s="35"/>
      <c r="BP206" s="35">
        <f t="shared" ref="BP206:CF206" si="745">BP205/BP$128</f>
        <v>-0.18527640941434045</v>
      </c>
      <c r="BQ206" s="35">
        <f t="shared" si="745"/>
        <v>-7.6901643911953185E-2</v>
      </c>
      <c r="BR206" s="35">
        <f t="shared" si="745"/>
        <v>1.8344195027757665E-2</v>
      </c>
      <c r="BS206" s="35">
        <f t="shared" si="745"/>
        <v>2.5809849881485384E-2</v>
      </c>
      <c r="BT206" s="35">
        <f t="shared" si="745"/>
        <v>2.2377622377622378E-3</v>
      </c>
      <c r="BU206" s="35">
        <f t="shared" si="745"/>
        <v>0.19379844961240311</v>
      </c>
      <c r="BV206" s="35">
        <f t="shared" si="745"/>
        <v>0.26296633303002731</v>
      </c>
      <c r="BW206" s="35">
        <f t="shared" si="745"/>
        <v>0.19958720330237359</v>
      </c>
      <c r="BX206" s="35">
        <f t="shared" si="745"/>
        <v>0.20252427184466018</v>
      </c>
      <c r="BY206" s="35">
        <f t="shared" si="745"/>
        <v>0.20585858585858585</v>
      </c>
      <c r="BZ206" s="35">
        <f t="shared" si="745"/>
        <v>0.54885316958641861</v>
      </c>
      <c r="CA206" s="35">
        <f t="shared" si="745"/>
        <v>0.14869426185823414</v>
      </c>
      <c r="CB206" s="35">
        <f t="shared" si="745"/>
        <v>8.8019194113465968E-2</v>
      </c>
      <c r="CC206" s="35">
        <f t="shared" si="745"/>
        <v>0.1749075484067768</v>
      </c>
      <c r="CD206" s="35">
        <f t="shared" si="745"/>
        <v>0.20046133569491964</v>
      </c>
      <c r="CE206" s="35">
        <f t="shared" si="745"/>
        <v>0.20467136480626824</v>
      </c>
      <c r="CF206" s="35">
        <f t="shared" si="745"/>
        <v>0.22183225610304799</v>
      </c>
      <c r="CG206" s="77"/>
      <c r="CH206" s="77"/>
      <c r="CI206" s="77"/>
    </row>
    <row r="207" spans="1:87">
      <c r="A207" s="8"/>
      <c r="B207" s="214"/>
      <c r="C207" s="214"/>
      <c r="D207" s="214"/>
      <c r="E207" s="214"/>
      <c r="F207" s="214"/>
      <c r="G207" s="214"/>
      <c r="H207" s="214"/>
      <c r="I207" s="214"/>
      <c r="J207" s="214"/>
      <c r="K207" s="214"/>
      <c r="L207" s="214"/>
      <c r="M207" s="214"/>
      <c r="N207" s="214"/>
      <c r="O207" s="214"/>
      <c r="P207" s="214"/>
      <c r="Q207" s="214"/>
      <c r="R207" s="214"/>
      <c r="S207" s="214"/>
      <c r="T207" s="214"/>
      <c r="U207" s="191"/>
      <c r="V207" s="191"/>
      <c r="W207" s="191"/>
      <c r="X207" s="191"/>
      <c r="Y207" s="191"/>
      <c r="Z207" s="191"/>
      <c r="AA207" s="191"/>
      <c r="AB207" s="191"/>
      <c r="AC207" s="191"/>
      <c r="AD207" s="191"/>
      <c r="AE207" s="191"/>
      <c r="AF207" s="191"/>
      <c r="AG207" s="191"/>
      <c r="AH207" s="191"/>
      <c r="AI207" s="191"/>
      <c r="AJ207" s="191"/>
      <c r="AK207" s="191"/>
      <c r="AL207" s="191"/>
      <c r="AM207" s="191"/>
      <c r="AN207" s="191"/>
      <c r="AO207" s="191"/>
      <c r="AP207" s="191"/>
      <c r="AQ207" s="191"/>
      <c r="AR207" s="191"/>
      <c r="AS207" s="191"/>
      <c r="AT207" s="191"/>
      <c r="AU207" s="191"/>
      <c r="AV207" s="191"/>
      <c r="AW207" s="191"/>
      <c r="AX207" s="191"/>
      <c r="AY207" s="191"/>
      <c r="AZ207" s="191"/>
      <c r="BA207" s="191"/>
      <c r="BB207" s="191"/>
      <c r="BC207" s="191"/>
      <c r="BD207" s="191"/>
      <c r="BE207" s="191"/>
      <c r="BF207" s="191"/>
      <c r="BG207" s="191"/>
      <c r="BH207" s="191"/>
      <c r="BI207" s="191"/>
      <c r="BJ207" s="191"/>
      <c r="BK207" s="191"/>
      <c r="BL207" s="191"/>
      <c r="BM207" s="191"/>
      <c r="BN207" s="191"/>
      <c r="BO207" s="191"/>
      <c r="BP207" s="191"/>
      <c r="BQ207" s="191"/>
      <c r="BR207" s="191"/>
      <c r="BS207" s="191"/>
      <c r="BT207" s="191"/>
      <c r="BU207" s="191"/>
      <c r="BV207" s="191"/>
      <c r="BW207" s="191"/>
      <c r="BX207" s="191"/>
      <c r="BY207" s="215"/>
      <c r="BZ207" s="215"/>
      <c r="CA207" s="215"/>
      <c r="CB207" s="191"/>
      <c r="CC207" s="191"/>
      <c r="CD207" s="191"/>
      <c r="CE207" s="191"/>
      <c r="CF207" s="191"/>
    </row>
    <row r="208" spans="1:87" s="220" customFormat="1">
      <c r="A208" s="25" t="s">
        <v>480</v>
      </c>
      <c r="B208" s="216">
        <f t="shared" ref="B208:AG208" si="746">B205/B209</f>
        <v>9.0909090909090912E-2</v>
      </c>
      <c r="C208" s="216">
        <f t="shared" si="746"/>
        <v>0.28915662650602408</v>
      </c>
      <c r="D208" s="216">
        <f t="shared" si="746"/>
        <v>-0.61094224924012153</v>
      </c>
      <c r="E208" s="216">
        <f t="shared" si="746"/>
        <v>-0.96987951807228912</v>
      </c>
      <c r="F208" s="216">
        <f t="shared" si="746"/>
        <v>0.44940476190476192</v>
      </c>
      <c r="G208" s="216">
        <f t="shared" si="746"/>
        <v>0.65578635014836795</v>
      </c>
      <c r="H208" s="216">
        <f t="shared" si="746"/>
        <v>-1.0271903323262841</v>
      </c>
      <c r="I208" s="216">
        <f t="shared" si="746"/>
        <v>-0.61746987951807231</v>
      </c>
      <c r="J208" s="216">
        <f t="shared" si="746"/>
        <v>1.2048192771084338</v>
      </c>
      <c r="K208" s="216">
        <f t="shared" si="746"/>
        <v>0.62812500000000004</v>
      </c>
      <c r="L208" s="216">
        <f t="shared" si="746"/>
        <v>-1.2056962025316456</v>
      </c>
      <c r="M208" s="216">
        <f t="shared" si="746"/>
        <v>-0.14802631578947367</v>
      </c>
      <c r="N208" s="216">
        <f t="shared" si="746"/>
        <v>1.0521172638436482</v>
      </c>
      <c r="O208" s="216">
        <f t="shared" si="746"/>
        <v>0.71153846153846156</v>
      </c>
      <c r="P208" s="216">
        <f t="shared" si="746"/>
        <v>-0.88636363636363635</v>
      </c>
      <c r="Q208" s="216">
        <f t="shared" si="746"/>
        <v>-0.99676375404530748</v>
      </c>
      <c r="R208" s="216">
        <f t="shared" si="746"/>
        <v>1.1504702194357366</v>
      </c>
      <c r="S208" s="216">
        <f t="shared" si="746"/>
        <v>1.0403726708074534</v>
      </c>
      <c r="T208" s="216">
        <f t="shared" si="746"/>
        <v>9.316770186335404E-3</v>
      </c>
      <c r="U208" s="216">
        <f t="shared" si="746"/>
        <v>0.43962848297213625</v>
      </c>
      <c r="V208" s="216">
        <f t="shared" si="746"/>
        <v>1.1897590361445782</v>
      </c>
      <c r="W208" s="216">
        <f t="shared" si="746"/>
        <v>1.3194029850746269</v>
      </c>
      <c r="X208" s="216">
        <f t="shared" si="746"/>
        <v>-0.44871794871794873</v>
      </c>
      <c r="Y208" s="216">
        <f t="shared" si="746"/>
        <v>-0.14469453376205788</v>
      </c>
      <c r="Z208" s="216">
        <f t="shared" si="746"/>
        <v>2.7919254658385095</v>
      </c>
      <c r="AA208" s="216">
        <f t="shared" si="746"/>
        <v>1.3968253968253967</v>
      </c>
      <c r="AB208" s="216">
        <f t="shared" si="746"/>
        <v>-0.12624584717607973</v>
      </c>
      <c r="AC208" s="216">
        <f t="shared" si="746"/>
        <v>-3.3003300330033004E-3</v>
      </c>
      <c r="AD208" s="216">
        <f t="shared" si="746"/>
        <v>1.8141025641025641</v>
      </c>
      <c r="AE208" s="216">
        <f t="shared" si="746"/>
        <v>2.0575079872204474</v>
      </c>
      <c r="AF208" s="216">
        <f t="shared" si="746"/>
        <v>-7.1197411003236247E-2</v>
      </c>
      <c r="AG208" s="216">
        <f t="shared" si="746"/>
        <v>-0.60389610389610393</v>
      </c>
      <c r="AH208" s="216">
        <f t="shared" ref="AH208:BM208" si="747">AH205/AH209</f>
        <v>1.9517684887459807</v>
      </c>
      <c r="AI208" s="216">
        <f t="shared" si="747"/>
        <v>0.94516129032258067</v>
      </c>
      <c r="AJ208" s="216">
        <f t="shared" si="747"/>
        <v>0.83061889250814336</v>
      </c>
      <c r="AK208" s="216">
        <f t="shared" si="747"/>
        <v>0.86184210526315785</v>
      </c>
      <c r="AL208" s="216">
        <f t="shared" si="747"/>
        <v>0.69435215946843853</v>
      </c>
      <c r="AM208" s="216">
        <f t="shared" si="747"/>
        <v>4.7525083612040131</v>
      </c>
      <c r="AN208" s="216">
        <f t="shared" si="747"/>
        <v>2.8851351351351351</v>
      </c>
      <c r="AO208" s="216">
        <f t="shared" si="747"/>
        <v>1.1768707482993197</v>
      </c>
      <c r="AP208" s="216">
        <f t="shared" si="747"/>
        <v>1.4315068493150684</v>
      </c>
      <c r="AQ208" s="216">
        <f t="shared" si="747"/>
        <v>1.2542955326460481</v>
      </c>
      <c r="AR208" s="216">
        <f t="shared" si="747"/>
        <v>0.6313993174061433</v>
      </c>
      <c r="AS208" s="216">
        <f t="shared" si="747"/>
        <v>0.7226027397260274</v>
      </c>
      <c r="AT208" s="216">
        <f t="shared" si="747"/>
        <v>0.2638888888888889</v>
      </c>
      <c r="AU208" s="216">
        <f t="shared" si="747"/>
        <v>0.70588235294117652</v>
      </c>
      <c r="AV208" s="216">
        <f t="shared" si="747"/>
        <v>1.024390243902439</v>
      </c>
      <c r="AW208" s="216">
        <f t="shared" si="747"/>
        <v>4.1948508366513575E-3</v>
      </c>
      <c r="AX208" s="216">
        <f t="shared" si="747"/>
        <v>0.38617979552219417</v>
      </c>
      <c r="AY208" s="216">
        <f t="shared" si="747"/>
        <v>2.1172413201924871</v>
      </c>
      <c r="AZ208" s="216">
        <f t="shared" si="747"/>
        <v>1.5334288535747769</v>
      </c>
      <c r="BA208" s="216">
        <f t="shared" si="747"/>
        <v>0.11076493635952238</v>
      </c>
      <c r="BB208" s="216">
        <f t="shared" si="747"/>
        <v>1.2850611138197543</v>
      </c>
      <c r="BC208" s="216">
        <f t="shared" si="747"/>
        <v>2.4141168249026981</v>
      </c>
      <c r="BD208" s="216">
        <f t="shared" si="747"/>
        <v>1.6876907227614313</v>
      </c>
      <c r="BE208" s="216">
        <f t="shared" si="747"/>
        <v>0.45383612828101405</v>
      </c>
      <c r="BF208" s="216">
        <f t="shared" si="747"/>
        <v>1.4329512938117026</v>
      </c>
      <c r="BG208" s="216">
        <f t="shared" si="747"/>
        <v>2.5319888627114491</v>
      </c>
      <c r="BH208" s="216">
        <f t="shared" si="747"/>
        <v>1.6359356363277893</v>
      </c>
      <c r="BI208" s="216">
        <f t="shared" si="747"/>
        <v>0.73464929295364478</v>
      </c>
      <c r="BJ208" s="216">
        <f t="shared" si="747"/>
        <v>1.7158032105573919</v>
      </c>
      <c r="BK208" s="216">
        <f t="shared" si="747"/>
        <v>2.7887237147155624</v>
      </c>
      <c r="BL208" s="216">
        <f t="shared" si="747"/>
        <v>1.9590215492899512</v>
      </c>
      <c r="BM208" s="216">
        <f t="shared" si="747"/>
        <v>0.74490864981281524</v>
      </c>
      <c r="BN208" s="216">
        <f t="shared" ref="BN208" si="748">BN205/BN209</f>
        <v>1.75225788966364</v>
      </c>
      <c r="BO208" s="217"/>
      <c r="BP208" s="217">
        <f t="shared" ref="BP208:CF208" si="749">BP205/BP209</f>
        <v>-2.0798771121351765</v>
      </c>
      <c r="BQ208" s="217">
        <f t="shared" si="749"/>
        <v>-0.83069977426636565</v>
      </c>
      <c r="BR208" s="217">
        <f t="shared" si="749"/>
        <v>0.22822822822822822</v>
      </c>
      <c r="BS208" s="217">
        <f t="shared" si="749"/>
        <v>0.31435445068163592</v>
      </c>
      <c r="BT208" s="217">
        <f t="shared" si="749"/>
        <v>2.564102564102564E-2</v>
      </c>
      <c r="BU208" s="217">
        <f t="shared" si="749"/>
        <v>2.6943802925327174</v>
      </c>
      <c r="BV208" s="217">
        <f t="shared" si="749"/>
        <v>3.6124999999999998</v>
      </c>
      <c r="BW208" s="217">
        <f t="shared" si="749"/>
        <v>3.1421608448415923</v>
      </c>
      <c r="BX208" s="217">
        <f t="shared" si="749"/>
        <v>3.3618049959709912</v>
      </c>
      <c r="BY208" s="217">
        <f t="shared" si="749"/>
        <v>3.3355155482815055</v>
      </c>
      <c r="BZ208" s="217">
        <f t="shared" si="749"/>
        <v>10.292972057578323</v>
      </c>
      <c r="CA208" s="217">
        <f t="shared" si="749"/>
        <v>2.8762886597938144</v>
      </c>
      <c r="CB208" s="217">
        <f t="shared" si="749"/>
        <v>2.1221925383008871</v>
      </c>
      <c r="CC208" s="217">
        <f t="shared" si="749"/>
        <v>5.0569560829784042</v>
      </c>
      <c r="CD208" s="217">
        <f t="shared" si="749"/>
        <v>5.9814272043818901</v>
      </c>
      <c r="CE208" s="217">
        <f t="shared" si="749"/>
        <v>6.6124250469145389</v>
      </c>
      <c r="CF208" s="217">
        <f t="shared" si="749"/>
        <v>7.2382065797363522</v>
      </c>
      <c r="CG208" s="218"/>
      <c r="CH208" s="219"/>
      <c r="CI208" s="219"/>
    </row>
    <row r="209" spans="1:87">
      <c r="A209" s="8" t="s">
        <v>5</v>
      </c>
      <c r="B209" s="210">
        <f>Drivers!B$302</f>
        <v>330</v>
      </c>
      <c r="C209" s="210">
        <f>Drivers!C$302</f>
        <v>332</v>
      </c>
      <c r="D209" s="210">
        <f>Drivers!D$302</f>
        <v>329</v>
      </c>
      <c r="E209" s="210">
        <f>Drivers!E$302</f>
        <v>332</v>
      </c>
      <c r="F209" s="210">
        <f>Drivers!F$302</f>
        <v>336</v>
      </c>
      <c r="G209" s="210">
        <f>Drivers!G$302</f>
        <v>337</v>
      </c>
      <c r="H209" s="210">
        <f>Drivers!H$302</f>
        <v>331</v>
      </c>
      <c r="I209" s="210">
        <f>Drivers!I$302</f>
        <v>332</v>
      </c>
      <c r="J209" s="210">
        <f>Drivers!J$302</f>
        <v>332</v>
      </c>
      <c r="K209" s="210">
        <f>Drivers!K$302</f>
        <v>320</v>
      </c>
      <c r="L209" s="210">
        <f>Drivers!L$302</f>
        <v>316</v>
      </c>
      <c r="M209" s="210">
        <f>Drivers!M$302</f>
        <v>304</v>
      </c>
      <c r="N209" s="210">
        <f>Drivers!N$302</f>
        <v>307</v>
      </c>
      <c r="O209" s="210">
        <f>Drivers!O$302</f>
        <v>312</v>
      </c>
      <c r="P209" s="210">
        <f>Drivers!P$302</f>
        <v>308</v>
      </c>
      <c r="Q209" s="210">
        <f>Drivers!Q$302</f>
        <v>309</v>
      </c>
      <c r="R209" s="210">
        <f>Drivers!R$302</f>
        <v>319</v>
      </c>
      <c r="S209" s="210">
        <f>Drivers!S$302</f>
        <v>322</v>
      </c>
      <c r="T209" s="210">
        <f>Drivers!T$302</f>
        <v>322</v>
      </c>
      <c r="U209" s="210">
        <f>Drivers!U$302</f>
        <v>323</v>
      </c>
      <c r="V209" s="210">
        <f>Drivers!V$302</f>
        <v>332</v>
      </c>
      <c r="W209" s="210">
        <f>Drivers!W$302</f>
        <v>335</v>
      </c>
      <c r="X209" s="210">
        <f>Drivers!X$302</f>
        <v>312</v>
      </c>
      <c r="Y209" s="210">
        <f>Drivers!Y$302</f>
        <v>311</v>
      </c>
      <c r="Z209" s="210">
        <f>Drivers!Z$302</f>
        <v>322</v>
      </c>
      <c r="AA209" s="210">
        <f>Drivers!AA$302</f>
        <v>315</v>
      </c>
      <c r="AB209" s="210">
        <f>Drivers!AB$302</f>
        <v>301</v>
      </c>
      <c r="AC209" s="210">
        <f>Drivers!AC$302</f>
        <v>303</v>
      </c>
      <c r="AD209" s="210">
        <f>Drivers!AD$302</f>
        <v>312</v>
      </c>
      <c r="AE209" s="210">
        <f>Drivers!AE$302</f>
        <v>313</v>
      </c>
      <c r="AF209" s="210">
        <f>Drivers!AF$302</f>
        <v>309</v>
      </c>
      <c r="AG209" s="210">
        <f>Drivers!AG$302</f>
        <v>308</v>
      </c>
      <c r="AH209" s="210">
        <f>Drivers!AH$302</f>
        <v>311</v>
      </c>
      <c r="AI209" s="210">
        <f>Drivers!AI$302</f>
        <v>310</v>
      </c>
      <c r="AJ209" s="210">
        <f>Drivers!AJ$302</f>
        <v>307</v>
      </c>
      <c r="AK209" s="210">
        <f>Drivers!AK$302</f>
        <v>304</v>
      </c>
      <c r="AL209" s="210">
        <f>Drivers!AL$302</f>
        <v>301</v>
      </c>
      <c r="AM209" s="210">
        <f>Drivers!AM$302</f>
        <v>299</v>
      </c>
      <c r="AN209" s="210">
        <f>Drivers!AN$302</f>
        <v>296</v>
      </c>
      <c r="AO209" s="210">
        <f>Drivers!AO$302</f>
        <v>294</v>
      </c>
      <c r="AP209" s="210">
        <f>Drivers!AP$302</f>
        <v>292</v>
      </c>
      <c r="AQ209" s="210">
        <f>Drivers!AQ$302</f>
        <v>291</v>
      </c>
      <c r="AR209" s="210">
        <f>Drivers!AR$302</f>
        <v>293</v>
      </c>
      <c r="AS209" s="210">
        <f>Drivers!AS$302</f>
        <v>292</v>
      </c>
      <c r="AT209" s="210">
        <f>Drivers!AT$302</f>
        <v>288</v>
      </c>
      <c r="AU209" s="210">
        <f>Drivers!AU$302</f>
        <v>289</v>
      </c>
      <c r="AV209" s="210">
        <f>Drivers!AV$302</f>
        <v>287</v>
      </c>
      <c r="AW209" s="210">
        <f>Drivers!AW$302</f>
        <v>287.17395906154815</v>
      </c>
      <c r="AX209" s="210">
        <f>Drivers!AX$302</f>
        <v>285.7227450214657</v>
      </c>
      <c r="AY209" s="210">
        <f>Drivers!AY$302</f>
        <v>281.24921845846598</v>
      </c>
      <c r="AZ209" s="210">
        <f>Drivers!AZ$302</f>
        <v>279.74413759605022</v>
      </c>
      <c r="BA209" s="210">
        <f>Drivers!BA$302</f>
        <v>278.29003472142301</v>
      </c>
      <c r="BB209" s="210">
        <f>Drivers!BB$302</f>
        <v>278.06211773208264</v>
      </c>
      <c r="BC209" s="210">
        <f>Drivers!BC$302</f>
        <v>278.99116078627571</v>
      </c>
      <c r="BD209" s="210">
        <f>Drivers!BD$302</f>
        <v>279.92178146482638</v>
      </c>
      <c r="BE209" s="210">
        <f>Drivers!BE$302</f>
        <v>280.91055033949601</v>
      </c>
      <c r="BF209" s="210">
        <f>Drivers!BF$302</f>
        <v>281.86990043360186</v>
      </c>
      <c r="BG209" s="210">
        <f>Drivers!BG$302</f>
        <v>282.75066775406265</v>
      </c>
      <c r="BH209" s="210">
        <f>Drivers!BH$302</f>
        <v>283.72159120832487</v>
      </c>
      <c r="BI209" s="210">
        <f>Drivers!BI$302</f>
        <v>284.7669220636659</v>
      </c>
      <c r="BJ209" s="210">
        <f>Drivers!BJ$302</f>
        <v>285.7108557284937</v>
      </c>
      <c r="BK209" s="210">
        <f>Drivers!BK$302</f>
        <v>286.56755968296198</v>
      </c>
      <c r="BL209" s="210">
        <f>Drivers!BL$302</f>
        <v>287.42723594574989</v>
      </c>
      <c r="BM209" s="210">
        <f>Drivers!BM$302</f>
        <v>288.34886544663448</v>
      </c>
      <c r="BN209" s="210">
        <f>Drivers!BN$302</f>
        <v>289.24744391288357</v>
      </c>
      <c r="BO209" s="210"/>
      <c r="BP209" s="210">
        <v>325.5</v>
      </c>
      <c r="BQ209" s="210">
        <f>AVERAGE(C209:F209)</f>
        <v>332.25</v>
      </c>
      <c r="BR209" s="210">
        <f>AVERAGE(G209:J209)</f>
        <v>333</v>
      </c>
      <c r="BS209" s="210">
        <f>AVERAGE(K209:N209)</f>
        <v>311.75</v>
      </c>
      <c r="BT209" s="210">
        <f>AVERAGE(O209:R209)</f>
        <v>312</v>
      </c>
      <c r="BU209" s="210">
        <f>AVERAGE(S209:V209)</f>
        <v>324.75</v>
      </c>
      <c r="BV209" s="210">
        <f>AVERAGE(W209:Z209)</f>
        <v>320</v>
      </c>
      <c r="BW209" s="210">
        <f>AVERAGE(AA209:AD209)</f>
        <v>307.75</v>
      </c>
      <c r="BX209" s="210">
        <f>AVERAGE(AE209:AH209)</f>
        <v>310.25</v>
      </c>
      <c r="BY209" s="210">
        <f>AVERAGE(AI209:AL209)</f>
        <v>305.5</v>
      </c>
      <c r="BZ209" s="210">
        <f>AVERAGE(AM209:AP209)</f>
        <v>295.25</v>
      </c>
      <c r="CA209" s="210">
        <f>AVERAGE(AQ209:AT209)</f>
        <v>291</v>
      </c>
      <c r="CB209" s="210">
        <f>AVERAGE(AU209:AX209)</f>
        <v>287.22417602075348</v>
      </c>
      <c r="CC209" s="210">
        <f>AVERAGE(AY209:BB209)</f>
        <v>279.33637712700545</v>
      </c>
      <c r="CD209" s="210">
        <f>AVERAGE(BC209:BF209)</f>
        <v>280.42334825604996</v>
      </c>
      <c r="CE209" s="210">
        <f>AVERAGE(BG209:BJ209)</f>
        <v>284.23750918863675</v>
      </c>
      <c r="CF209" s="210">
        <f>AVERAGE(BK209:BN209)</f>
        <v>287.89777624705749</v>
      </c>
    </row>
    <row r="210" spans="1:87" ht="12.75" customHeight="1">
      <c r="A210" s="185" t="s">
        <v>448</v>
      </c>
      <c r="B210" s="191"/>
      <c r="C210" s="191"/>
      <c r="D210" s="191"/>
      <c r="E210" s="191"/>
      <c r="F210" s="191"/>
      <c r="G210" s="191"/>
      <c r="H210" s="191"/>
      <c r="I210" s="191"/>
      <c r="J210" s="191"/>
      <c r="K210" s="191"/>
      <c r="L210" s="191"/>
      <c r="M210" s="191"/>
      <c r="N210" s="191"/>
      <c r="O210" s="191"/>
      <c r="P210" s="191"/>
      <c r="Q210" s="191"/>
      <c r="R210" s="191"/>
      <c r="S210" s="191"/>
      <c r="T210" s="191"/>
      <c r="U210" s="191"/>
      <c r="V210" s="191"/>
      <c r="W210" s="191"/>
      <c r="X210" s="191"/>
      <c r="Y210" s="191"/>
      <c r="Z210" s="191"/>
      <c r="AA210" s="191"/>
      <c r="AB210" s="191"/>
      <c r="AC210" s="191"/>
      <c r="AD210" s="190"/>
      <c r="AE210" s="190"/>
      <c r="AF210" s="190"/>
      <c r="AG210" s="190"/>
      <c r="AH210" s="190"/>
      <c r="AI210" s="221"/>
      <c r="AJ210" s="221"/>
      <c r="AK210" s="221"/>
      <c r="AL210" s="221"/>
      <c r="AM210" s="221"/>
      <c r="AN210" s="221"/>
      <c r="AO210" s="221"/>
      <c r="AP210" s="221"/>
      <c r="AQ210" s="221"/>
      <c r="AR210" s="221"/>
      <c r="AS210" s="221"/>
      <c r="AT210" s="221"/>
      <c r="AU210" s="221"/>
      <c r="AV210" s="123"/>
      <c r="AW210" s="123"/>
      <c r="AX210" s="123"/>
      <c r="AY210" s="123"/>
      <c r="AZ210" s="123"/>
      <c r="BA210" s="123"/>
      <c r="BB210" s="123"/>
      <c r="BC210" s="123"/>
      <c r="BD210" s="123"/>
      <c r="BE210" s="123"/>
      <c r="BF210" s="123"/>
      <c r="BG210" s="123"/>
      <c r="BH210" s="123"/>
      <c r="BI210" s="123"/>
      <c r="BJ210" s="123"/>
      <c r="BK210" s="123"/>
      <c r="BL210" s="123"/>
      <c r="BM210" s="123"/>
      <c r="BN210" s="123"/>
      <c r="BO210" s="222"/>
      <c r="BP210" s="191"/>
      <c r="BQ210" s="191"/>
      <c r="BR210" s="191"/>
      <c r="BS210" s="191"/>
      <c r="BT210" s="191"/>
      <c r="BU210" s="191"/>
      <c r="BV210" s="191"/>
      <c r="BW210" s="191"/>
      <c r="BX210" s="191"/>
      <c r="BY210" s="190"/>
      <c r="BZ210" s="190"/>
      <c r="CA210" s="223"/>
      <c r="CB210" s="223"/>
      <c r="CC210" s="223"/>
      <c r="CD210" s="223"/>
      <c r="CE210" s="223"/>
      <c r="CF210" s="223"/>
    </row>
    <row r="211" spans="1:87" s="226" customFormat="1" ht="12.75" customHeight="1">
      <c r="A211" s="42" t="s">
        <v>121</v>
      </c>
      <c r="B211" s="44">
        <v>-296</v>
      </c>
      <c r="C211" s="44">
        <v>-218</v>
      </c>
      <c r="D211" s="44">
        <v>-361</v>
      </c>
      <c r="E211" s="44">
        <v>-582</v>
      </c>
      <c r="F211" s="44">
        <v>-325</v>
      </c>
      <c r="G211" s="44">
        <v>-236</v>
      </c>
      <c r="H211" s="44">
        <v>-424</v>
      </c>
      <c r="I211" s="44">
        <v>-538</v>
      </c>
      <c r="J211" s="44">
        <v>-346</v>
      </c>
      <c r="K211" s="44">
        <v>-189</v>
      </c>
      <c r="L211" s="44">
        <v>-431</v>
      </c>
      <c r="M211" s="44">
        <v>-406</v>
      </c>
      <c r="N211" s="44">
        <v>-267</v>
      </c>
      <c r="O211" s="44">
        <v>-179</v>
      </c>
      <c r="P211" s="44">
        <v>-398</v>
      </c>
      <c r="Q211" s="44">
        <v>-501</v>
      </c>
      <c r="R211" s="44">
        <v>-207</v>
      </c>
      <c r="S211" s="44">
        <v>-231</v>
      </c>
      <c r="T211" s="44">
        <v>-414</v>
      </c>
      <c r="U211" s="44">
        <v>-388</v>
      </c>
      <c r="V211" s="44">
        <v>-220</v>
      </c>
      <c r="W211" s="44">
        <v>-161</v>
      </c>
      <c r="X211" s="44">
        <v>-397</v>
      </c>
      <c r="Y211" s="44">
        <v>-534</v>
      </c>
      <c r="Z211" s="44">
        <v>-213</v>
      </c>
      <c r="AA211" s="44">
        <v>-165</v>
      </c>
      <c r="AB211" s="44">
        <v>-388</v>
      </c>
      <c r="AC211" s="44">
        <v>-498</v>
      </c>
      <c r="AD211" s="44">
        <v>-201</v>
      </c>
      <c r="AE211" s="44">
        <v>-153</v>
      </c>
      <c r="AF211" s="44">
        <v>-388</v>
      </c>
      <c r="AG211" s="44">
        <v>-501</v>
      </c>
      <c r="AH211" s="44">
        <v>-230.83974773846154</v>
      </c>
      <c r="AI211" s="44">
        <v>-164</v>
      </c>
      <c r="AJ211" s="44">
        <v>-372</v>
      </c>
      <c r="AK211" s="44">
        <v>-363</v>
      </c>
      <c r="AL211" s="44">
        <v>-227</v>
      </c>
      <c r="AM211" s="44">
        <v>-145</v>
      </c>
      <c r="AN211" s="44">
        <v>-366</v>
      </c>
      <c r="AO211" s="44">
        <v>-459</v>
      </c>
      <c r="AP211" s="44">
        <v>-222</v>
      </c>
      <c r="AQ211" s="44">
        <v>-287</v>
      </c>
      <c r="AR211" s="44">
        <f>-286+2</f>
        <v>-284</v>
      </c>
      <c r="AS211" s="44">
        <v>-600</v>
      </c>
      <c r="AT211" s="44">
        <v>-314</v>
      </c>
      <c r="AU211" s="44">
        <f>-(315+AU273+AU259)</f>
        <v>-292</v>
      </c>
      <c r="AV211" s="44">
        <f>-(494+AV273+AV259)</f>
        <v>-470</v>
      </c>
      <c r="AW211" s="161">
        <f t="shared" ref="AW211:BN211" si="750">AW218-AW8</f>
        <v>-580.38818750000019</v>
      </c>
      <c r="AX211" s="161">
        <f t="shared" si="750"/>
        <v>-378.26515771812069</v>
      </c>
      <c r="AY211" s="161">
        <f t="shared" si="750"/>
        <v>-332.88568225093763</v>
      </c>
      <c r="AZ211" s="161">
        <f t="shared" si="750"/>
        <v>-496.34145822608275</v>
      </c>
      <c r="BA211" s="161">
        <f t="shared" si="750"/>
        <v>-634.92432528958352</v>
      </c>
      <c r="BB211" s="161">
        <f t="shared" si="750"/>
        <v>-362.95651436959724</v>
      </c>
      <c r="BC211" s="161">
        <f t="shared" si="750"/>
        <v>-332.15304981679492</v>
      </c>
      <c r="BD211" s="161">
        <f t="shared" si="750"/>
        <v>-513.54943723122415</v>
      </c>
      <c r="BE211" s="161">
        <f t="shared" si="750"/>
        <v>-650.62487899607822</v>
      </c>
      <c r="BF211" s="161">
        <f t="shared" si="750"/>
        <v>-378.97652851917906</v>
      </c>
      <c r="BG211" s="161">
        <f t="shared" si="750"/>
        <v>-348.43341936680326</v>
      </c>
      <c r="BH211" s="161">
        <f t="shared" si="750"/>
        <v>-625.98922001080291</v>
      </c>
      <c r="BI211" s="161">
        <f t="shared" si="750"/>
        <v>-699.90598595113443</v>
      </c>
      <c r="BJ211" s="161">
        <f t="shared" si="750"/>
        <v>-404.90172448745147</v>
      </c>
      <c r="BK211" s="161">
        <f t="shared" si="750"/>
        <v>-371.01205333323719</v>
      </c>
      <c r="BL211" s="161">
        <f t="shared" si="750"/>
        <v>-569.56120920168087</v>
      </c>
      <c r="BM211" s="161">
        <f t="shared" si="750"/>
        <v>-719.83432931860125</v>
      </c>
      <c r="BN211" s="161">
        <f t="shared" si="750"/>
        <v>-425.38039695069074</v>
      </c>
      <c r="BO211" s="161"/>
      <c r="BP211" s="29">
        <v>-1857</v>
      </c>
      <c r="BQ211" s="49">
        <f>SUM(C211:F211)</f>
        <v>-1486</v>
      </c>
      <c r="BR211" s="49">
        <f>SUM(G211:J211)</f>
        <v>-1544</v>
      </c>
      <c r="BS211" s="49">
        <f>SUM(K211:N211)</f>
        <v>-1293</v>
      </c>
      <c r="BT211" s="49">
        <f>SUM(O211:R211)</f>
        <v>-1285</v>
      </c>
      <c r="BU211" s="49">
        <f>SUM(S211:V211)</f>
        <v>-1253</v>
      </c>
      <c r="BV211" s="49">
        <f>SUM(W211:Z211)</f>
        <v>-1305</v>
      </c>
      <c r="BW211" s="49">
        <f>SUM(AA211:AD211)</f>
        <v>-1252</v>
      </c>
      <c r="BX211" s="49">
        <f>SUM(AE211:AH211)</f>
        <v>-1272.8397477384615</v>
      </c>
      <c r="BY211" s="49">
        <f>SUM(AI211:AL211)</f>
        <v>-1126</v>
      </c>
      <c r="BZ211" s="49">
        <f>SUM(AM211:AP211)</f>
        <v>-1192</v>
      </c>
      <c r="CA211" s="49">
        <f>SUM(AQ211:AT211)</f>
        <v>-1485</v>
      </c>
      <c r="CB211" s="49">
        <f>SUM(AU211:AX211)</f>
        <v>-1720.6533452181209</v>
      </c>
      <c r="CC211" s="49">
        <f>SUM(AY211:BB211)</f>
        <v>-1827.1079801362011</v>
      </c>
      <c r="CD211" s="49">
        <f>SUM(BC211:BF211)</f>
        <v>-1875.3038945632763</v>
      </c>
      <c r="CE211" s="49">
        <f>SUM(BG211:BJ211)</f>
        <v>-2079.2303498161918</v>
      </c>
      <c r="CF211" s="49">
        <f>SUM(BK211:BN211)</f>
        <v>-2085.7879888042098</v>
      </c>
      <c r="CG211" s="224"/>
      <c r="CH211" s="225"/>
      <c r="CI211" s="225"/>
    </row>
    <row r="212" spans="1:87" s="50" customFormat="1" ht="12.75" customHeight="1">
      <c r="A212" s="42" t="s">
        <v>110</v>
      </c>
      <c r="B212" s="187">
        <f t="shared" ref="B212:AU212" si="751">B175-B261</f>
        <v>-167</v>
      </c>
      <c r="C212" s="187">
        <f t="shared" si="751"/>
        <v>-123</v>
      </c>
      <c r="D212" s="187">
        <f t="shared" si="751"/>
        <v>-167</v>
      </c>
      <c r="E212" s="187">
        <f t="shared" si="751"/>
        <v>-247</v>
      </c>
      <c r="F212" s="187">
        <f t="shared" si="751"/>
        <v>-189</v>
      </c>
      <c r="G212" s="187">
        <f t="shared" si="751"/>
        <v>-135</v>
      </c>
      <c r="H212" s="187">
        <f t="shared" si="751"/>
        <v>-216</v>
      </c>
      <c r="I212" s="187">
        <f t="shared" si="751"/>
        <v>-262</v>
      </c>
      <c r="J212" s="187">
        <f t="shared" si="751"/>
        <v>-221</v>
      </c>
      <c r="K212" s="187">
        <f t="shared" si="751"/>
        <v>-144</v>
      </c>
      <c r="L212" s="187">
        <f t="shared" si="751"/>
        <v>-204</v>
      </c>
      <c r="M212" s="187">
        <f t="shared" si="751"/>
        <v>-207</v>
      </c>
      <c r="N212" s="187">
        <f t="shared" si="751"/>
        <v>-191</v>
      </c>
      <c r="O212" s="187">
        <f t="shared" si="751"/>
        <v>-140</v>
      </c>
      <c r="P212" s="187">
        <f t="shared" si="751"/>
        <v>-158</v>
      </c>
      <c r="Q212" s="187">
        <f t="shared" si="751"/>
        <v>-207</v>
      </c>
      <c r="R212" s="187">
        <f t="shared" si="751"/>
        <v>-149</v>
      </c>
      <c r="S212" s="187">
        <f t="shared" si="751"/>
        <v>-126</v>
      </c>
      <c r="T212" s="187">
        <f t="shared" si="751"/>
        <v>-160</v>
      </c>
      <c r="U212" s="187">
        <f t="shared" si="751"/>
        <v>-147</v>
      </c>
      <c r="V212" s="187">
        <f t="shared" si="751"/>
        <v>-144</v>
      </c>
      <c r="W212" s="187">
        <f t="shared" si="751"/>
        <v>-118</v>
      </c>
      <c r="X212" s="187">
        <f t="shared" si="751"/>
        <v>-149</v>
      </c>
      <c r="Y212" s="187">
        <f t="shared" si="751"/>
        <v>-185</v>
      </c>
      <c r="Z212" s="187">
        <f t="shared" si="751"/>
        <v>-146</v>
      </c>
      <c r="AA212" s="187">
        <f t="shared" si="751"/>
        <v>-121</v>
      </c>
      <c r="AB212" s="187">
        <f t="shared" si="751"/>
        <v>-135</v>
      </c>
      <c r="AC212" s="187">
        <f t="shared" si="751"/>
        <v>-232</v>
      </c>
      <c r="AD212" s="187">
        <f t="shared" si="751"/>
        <v>-154</v>
      </c>
      <c r="AE212" s="187">
        <f t="shared" si="751"/>
        <v>-114</v>
      </c>
      <c r="AF212" s="187">
        <f t="shared" si="751"/>
        <v>-151</v>
      </c>
      <c r="AG212" s="187">
        <f t="shared" si="751"/>
        <v>-222</v>
      </c>
      <c r="AH212" s="187">
        <f t="shared" si="751"/>
        <v>-122</v>
      </c>
      <c r="AI212" s="187">
        <f t="shared" si="751"/>
        <v>-133</v>
      </c>
      <c r="AJ212" s="187">
        <f t="shared" si="751"/>
        <v>-137</v>
      </c>
      <c r="AK212" s="187">
        <f t="shared" si="751"/>
        <v>-179</v>
      </c>
      <c r="AL212" s="187">
        <f t="shared" si="751"/>
        <v>-220</v>
      </c>
      <c r="AM212" s="187">
        <f t="shared" si="751"/>
        <v>-103</v>
      </c>
      <c r="AN212" s="187">
        <f t="shared" si="751"/>
        <v>-142</v>
      </c>
      <c r="AO212" s="187">
        <f t="shared" si="751"/>
        <v>-192</v>
      </c>
      <c r="AP212" s="187">
        <f t="shared" si="751"/>
        <v>-157</v>
      </c>
      <c r="AQ212" s="187">
        <f t="shared" si="751"/>
        <v>-110</v>
      </c>
      <c r="AR212" s="187">
        <f t="shared" si="751"/>
        <v>-144</v>
      </c>
      <c r="AS212" s="187">
        <f t="shared" si="751"/>
        <v>-205</v>
      </c>
      <c r="AT212" s="187">
        <f t="shared" si="751"/>
        <v>-184</v>
      </c>
      <c r="AU212" s="187">
        <f t="shared" si="751"/>
        <v>-178</v>
      </c>
      <c r="AV212" s="187">
        <f t="shared" ref="AV212" si="752">AV175-AV261</f>
        <v>-218</v>
      </c>
      <c r="AW212" s="187">
        <f t="shared" ref="AW212:BN212" si="753">AW8*AW224</f>
        <v>-290.19409375000004</v>
      </c>
      <c r="AX212" s="187">
        <f t="shared" si="753"/>
        <v>-212.68380125838922</v>
      </c>
      <c r="AY212" s="187">
        <f t="shared" si="753"/>
        <v>-194.41860216008473</v>
      </c>
      <c r="AZ212" s="187">
        <f t="shared" si="753"/>
        <v>-219.57948101710838</v>
      </c>
      <c r="BA212" s="187">
        <f t="shared" si="753"/>
        <v>-316.02568227083339</v>
      </c>
      <c r="BB212" s="187">
        <f t="shared" si="753"/>
        <v>-203.11253165536908</v>
      </c>
      <c r="BC212" s="187">
        <f t="shared" si="753"/>
        <v>-184.32377912451844</v>
      </c>
      <c r="BD212" s="187">
        <f t="shared" si="753"/>
        <v>-213.75999353297647</v>
      </c>
      <c r="BE212" s="187">
        <f t="shared" si="753"/>
        <v>-304.51621048903206</v>
      </c>
      <c r="BF212" s="187">
        <f t="shared" si="753"/>
        <v>-200.5479613575861</v>
      </c>
      <c r="BG212" s="187">
        <f t="shared" si="753"/>
        <v>-186.20657282563423</v>
      </c>
      <c r="BH212" s="187">
        <f t="shared" si="753"/>
        <v>-256.62647554112408</v>
      </c>
      <c r="BI212" s="187">
        <f t="shared" si="753"/>
        <v>-329.08423651372152</v>
      </c>
      <c r="BJ212" s="187">
        <f t="shared" si="753"/>
        <v>-205.59483261423952</v>
      </c>
      <c r="BK212" s="187">
        <f t="shared" si="753"/>
        <v>-190.14592659225067</v>
      </c>
      <c r="BL212" s="187">
        <f t="shared" si="753"/>
        <v>-229.42715767505229</v>
      </c>
      <c r="BM212" s="187">
        <f t="shared" si="753"/>
        <v>-339.23227013865113</v>
      </c>
      <c r="BN212" s="187">
        <f t="shared" si="753"/>
        <v>-206.29801057499043</v>
      </c>
      <c r="BO212" s="49"/>
      <c r="BP212" s="44">
        <v>-714</v>
      </c>
      <c r="BQ212" s="161">
        <f>SUM(C212:F212)</f>
        <v>-726</v>
      </c>
      <c r="BR212" s="161">
        <f>SUM(G212:J212)</f>
        <v>-834</v>
      </c>
      <c r="BS212" s="161">
        <f>SUM(K212:N212)</f>
        <v>-746</v>
      </c>
      <c r="BT212" s="161">
        <f>SUM(O212:R212)</f>
        <v>-654</v>
      </c>
      <c r="BU212" s="161">
        <f>SUM(S212:V212)</f>
        <v>-577</v>
      </c>
      <c r="BV212" s="161">
        <f>SUM(W212:Z212)</f>
        <v>-598</v>
      </c>
      <c r="BW212" s="161">
        <f>SUM(AA212:AD212)</f>
        <v>-642</v>
      </c>
      <c r="BX212" s="161">
        <f>SUM(AE212:AH212)</f>
        <v>-609</v>
      </c>
      <c r="BY212" s="161">
        <f>SUM(AI212:AL212)</f>
        <v>-669</v>
      </c>
      <c r="BZ212" s="161">
        <f>SUM(AM212:AP212)</f>
        <v>-594</v>
      </c>
      <c r="CA212" s="161">
        <f>SUM(AQ212:AT212)</f>
        <v>-643</v>
      </c>
      <c r="CB212" s="161">
        <f>SUM(AU212:AX212)</f>
        <v>-898.87789500838926</v>
      </c>
      <c r="CC212" s="161">
        <f>SUM(AY212:BB212)</f>
        <v>-933.13629710339569</v>
      </c>
      <c r="CD212" s="161">
        <f>SUM(BC212:BF212)</f>
        <v>-903.14794450411307</v>
      </c>
      <c r="CE212" s="161">
        <f>SUM(BG212:BJ212)</f>
        <v>-977.5121174947194</v>
      </c>
      <c r="CF212" s="161">
        <f>SUM(BK212:BN212)</f>
        <v>-965.10336498094466</v>
      </c>
      <c r="CG212" s="43"/>
      <c r="CH212" s="43"/>
      <c r="CI212" s="43"/>
    </row>
    <row r="213" spans="1:87" s="50" customFormat="1" ht="12.75" customHeight="1">
      <c r="A213" s="42" t="s">
        <v>115</v>
      </c>
      <c r="B213" s="187">
        <f t="shared" ref="B213:AU213" si="754">B176-B263-B269</f>
        <v>-70</v>
      </c>
      <c r="C213" s="187">
        <f t="shared" si="754"/>
        <v>-62</v>
      </c>
      <c r="D213" s="187">
        <f t="shared" si="754"/>
        <v>-67</v>
      </c>
      <c r="E213" s="187">
        <f t="shared" si="754"/>
        <v>-65</v>
      </c>
      <c r="F213" s="187">
        <f t="shared" si="754"/>
        <v>-67</v>
      </c>
      <c r="G213" s="187">
        <f t="shared" si="754"/>
        <v>-65</v>
      </c>
      <c r="H213" s="187">
        <f t="shared" si="754"/>
        <v>-79</v>
      </c>
      <c r="I213" s="187">
        <f t="shared" si="754"/>
        <v>-87</v>
      </c>
      <c r="J213" s="187">
        <f t="shared" si="754"/>
        <v>-83</v>
      </c>
      <c r="K213" s="187">
        <f t="shared" si="754"/>
        <v>-79</v>
      </c>
      <c r="L213" s="187">
        <f t="shared" si="754"/>
        <v>-90</v>
      </c>
      <c r="M213" s="187">
        <f t="shared" si="754"/>
        <v>-61</v>
      </c>
      <c r="N213" s="187">
        <f t="shared" si="754"/>
        <v>-84</v>
      </c>
      <c r="O213" s="187">
        <f t="shared" si="754"/>
        <v>-79</v>
      </c>
      <c r="P213" s="187">
        <f t="shared" si="754"/>
        <v>-81</v>
      </c>
      <c r="Q213" s="187">
        <f t="shared" si="754"/>
        <v>-83</v>
      </c>
      <c r="R213" s="187">
        <f t="shared" si="754"/>
        <v>-87</v>
      </c>
      <c r="S213" s="187">
        <f t="shared" si="754"/>
        <v>-84</v>
      </c>
      <c r="T213" s="187">
        <f t="shared" si="754"/>
        <v>-86</v>
      </c>
      <c r="U213" s="187">
        <f t="shared" si="754"/>
        <v>-101</v>
      </c>
      <c r="V213" s="187">
        <f t="shared" si="754"/>
        <v>-94</v>
      </c>
      <c r="W213" s="187">
        <f t="shared" si="754"/>
        <v>-84</v>
      </c>
      <c r="X213" s="187">
        <f t="shared" si="754"/>
        <v>-90</v>
      </c>
      <c r="Y213" s="187">
        <f t="shared" si="754"/>
        <v>-86</v>
      </c>
      <c r="Z213" s="187">
        <f t="shared" si="754"/>
        <v>-97</v>
      </c>
      <c r="AA213" s="187">
        <f t="shared" si="754"/>
        <v>-95</v>
      </c>
      <c r="AB213" s="187">
        <f t="shared" si="754"/>
        <v>-99</v>
      </c>
      <c r="AC213" s="187">
        <f t="shared" si="754"/>
        <v>-97</v>
      </c>
      <c r="AD213" s="187">
        <f t="shared" si="754"/>
        <v>-95</v>
      </c>
      <c r="AE213" s="187">
        <f t="shared" si="754"/>
        <v>-93</v>
      </c>
      <c r="AF213" s="187">
        <f t="shared" si="754"/>
        <v>-102</v>
      </c>
      <c r="AG213" s="187">
        <f t="shared" si="754"/>
        <v>-103</v>
      </c>
      <c r="AH213" s="187">
        <f t="shared" si="754"/>
        <v>-110</v>
      </c>
      <c r="AI213" s="187">
        <f t="shared" si="754"/>
        <v>-99</v>
      </c>
      <c r="AJ213" s="187">
        <f t="shared" si="754"/>
        <v>-100</v>
      </c>
      <c r="AK213" s="187">
        <f t="shared" si="754"/>
        <v>-89</v>
      </c>
      <c r="AL213" s="187">
        <f t="shared" si="754"/>
        <v>-109</v>
      </c>
      <c r="AM213" s="187">
        <f t="shared" si="754"/>
        <v>-94</v>
      </c>
      <c r="AN213" s="187">
        <f t="shared" si="754"/>
        <v>-108</v>
      </c>
      <c r="AO213" s="187">
        <f t="shared" si="754"/>
        <v>-106</v>
      </c>
      <c r="AP213" s="187">
        <f t="shared" si="754"/>
        <v>-121</v>
      </c>
      <c r="AQ213" s="187">
        <f t="shared" si="754"/>
        <v>-112</v>
      </c>
      <c r="AR213" s="187">
        <f t="shared" si="754"/>
        <v>-108</v>
      </c>
      <c r="AS213" s="187">
        <f t="shared" si="754"/>
        <v>-124</v>
      </c>
      <c r="AT213" s="187">
        <f t="shared" si="754"/>
        <v>-149</v>
      </c>
      <c r="AU213" s="187">
        <f t="shared" si="754"/>
        <v>-142</v>
      </c>
      <c r="AV213" s="187">
        <f t="shared" ref="AV213" si="755">AV176-AV263-AV269</f>
        <v>-145</v>
      </c>
      <c r="AW213" s="187">
        <f t="shared" ref="AW213:BN213" si="756">AW8*AW225</f>
        <v>-211.05025000000001</v>
      </c>
      <c r="AX213" s="187">
        <f t="shared" si="756"/>
        <v>-170.5204875</v>
      </c>
      <c r="AY213" s="187">
        <f t="shared" si="756"/>
        <v>-153.56482164547435</v>
      </c>
      <c r="AZ213" s="187">
        <f t="shared" si="756"/>
        <v>-142.79056576525127</v>
      </c>
      <c r="BA213" s="187">
        <f t="shared" si="756"/>
        <v>-229.83685983333336</v>
      </c>
      <c r="BB213" s="187">
        <f t="shared" si="756"/>
        <v>-162.84666584999999</v>
      </c>
      <c r="BC213" s="187">
        <f t="shared" si="756"/>
        <v>-147.00192775311876</v>
      </c>
      <c r="BD213" s="187">
        <f t="shared" si="756"/>
        <v>-148.90936081664705</v>
      </c>
      <c r="BE213" s="187">
        <f t="shared" si="756"/>
        <v>-222.81673938221854</v>
      </c>
      <c r="BF213" s="187">
        <f t="shared" si="756"/>
        <v>-162.62120403962084</v>
      </c>
      <c r="BG213" s="187">
        <f t="shared" si="756"/>
        <v>-146.87461920718115</v>
      </c>
      <c r="BH213" s="187">
        <f t="shared" si="756"/>
        <v>-176.02078832584837</v>
      </c>
      <c r="BI213" s="187">
        <f t="shared" si="756"/>
        <v>-232.76689899751031</v>
      </c>
      <c r="BJ213" s="187">
        <f t="shared" si="756"/>
        <v>-169.72883521976559</v>
      </c>
      <c r="BK213" s="187">
        <f t="shared" si="756"/>
        <v>-152.46119921841813</v>
      </c>
      <c r="BL213" s="187">
        <f t="shared" si="756"/>
        <v>-154.80888396267633</v>
      </c>
      <c r="BM213" s="187">
        <f t="shared" si="756"/>
        <v>-231.67081863127393</v>
      </c>
      <c r="BN213" s="187">
        <f t="shared" si="756"/>
        <v>-173.63444452116659</v>
      </c>
      <c r="BO213" s="49"/>
      <c r="BP213" s="44">
        <v>-273</v>
      </c>
      <c r="BQ213" s="161">
        <f>SUM(C213:F213)</f>
        <v>-261</v>
      </c>
      <c r="BR213" s="161">
        <f>SUM(G213:J213)</f>
        <v>-314</v>
      </c>
      <c r="BS213" s="161">
        <f>SUM(K213:N213)</f>
        <v>-314</v>
      </c>
      <c r="BT213" s="161">
        <f>SUM(O213:R213)</f>
        <v>-330</v>
      </c>
      <c r="BU213" s="161">
        <f>SUM(S213:V213)</f>
        <v>-365</v>
      </c>
      <c r="BV213" s="161">
        <f>SUM(W213:Z213)</f>
        <v>-357</v>
      </c>
      <c r="BW213" s="161">
        <f>SUM(AA213:AD213)</f>
        <v>-386</v>
      </c>
      <c r="BX213" s="161">
        <f>SUM(AE213:AH213)</f>
        <v>-408</v>
      </c>
      <c r="BY213" s="161">
        <f>SUM(AI213:AL213)</f>
        <v>-397</v>
      </c>
      <c r="BZ213" s="161">
        <f>SUM(AM213:AP213)</f>
        <v>-429</v>
      </c>
      <c r="CA213" s="161">
        <f>SUM(AQ213:AT213)</f>
        <v>-493</v>
      </c>
      <c r="CB213" s="161">
        <f>SUM(AU213:AX213)</f>
        <v>-668.57073749999995</v>
      </c>
      <c r="CC213" s="161">
        <f>SUM(AY213:BB213)</f>
        <v>-689.03891309405901</v>
      </c>
      <c r="CD213" s="161">
        <f>SUM(BC213:BF213)</f>
        <v>-681.34923199160517</v>
      </c>
      <c r="CE213" s="161">
        <f>SUM(BG213:BJ213)</f>
        <v>-725.39114175030545</v>
      </c>
      <c r="CF213" s="161">
        <f>SUM(BK213:BN213)</f>
        <v>-712.57534633353498</v>
      </c>
      <c r="CG213" s="43"/>
      <c r="CH213" s="43"/>
      <c r="CI213" s="43"/>
    </row>
    <row r="214" spans="1:87" s="50" customFormat="1">
      <c r="A214" s="42" t="s">
        <v>111</v>
      </c>
      <c r="B214" s="187">
        <f t="shared" ref="B214:AU214" si="757">B177-B265</f>
        <v>-283</v>
      </c>
      <c r="C214" s="187">
        <f t="shared" si="757"/>
        <v>-245</v>
      </c>
      <c r="D214" s="187">
        <f t="shared" si="757"/>
        <v>-250</v>
      </c>
      <c r="E214" s="187">
        <f t="shared" si="757"/>
        <v>-244</v>
      </c>
      <c r="F214" s="187">
        <f t="shared" si="757"/>
        <v>-303</v>
      </c>
      <c r="G214" s="187">
        <f t="shared" si="757"/>
        <v>-262</v>
      </c>
      <c r="H214" s="187">
        <f t="shared" si="757"/>
        <v>-290</v>
      </c>
      <c r="I214" s="187">
        <f t="shared" si="757"/>
        <v>-295</v>
      </c>
      <c r="J214" s="187">
        <f t="shared" si="757"/>
        <v>-250</v>
      </c>
      <c r="K214" s="187">
        <f t="shared" si="757"/>
        <v>-260</v>
      </c>
      <c r="L214" s="187">
        <f t="shared" si="757"/>
        <v>-287</v>
      </c>
      <c r="M214" s="187">
        <f t="shared" si="757"/>
        <v>-261</v>
      </c>
      <c r="N214" s="187">
        <f t="shared" si="757"/>
        <v>-265</v>
      </c>
      <c r="O214" s="187">
        <f t="shared" si="757"/>
        <v>-258</v>
      </c>
      <c r="P214" s="187">
        <f t="shared" si="757"/>
        <v>-260</v>
      </c>
      <c r="Q214" s="187">
        <f t="shared" si="757"/>
        <v>-250</v>
      </c>
      <c r="R214" s="187">
        <f t="shared" si="757"/>
        <v>-267</v>
      </c>
      <c r="S214" s="187">
        <f t="shared" si="757"/>
        <v>-249</v>
      </c>
      <c r="T214" s="187">
        <f t="shared" si="757"/>
        <v>-251</v>
      </c>
      <c r="U214" s="187">
        <f t="shared" si="757"/>
        <v>-273</v>
      </c>
      <c r="V214" s="187">
        <f t="shared" si="757"/>
        <v>-275</v>
      </c>
      <c r="W214" s="187">
        <f t="shared" si="757"/>
        <v>-270</v>
      </c>
      <c r="X214" s="187">
        <f t="shared" si="757"/>
        <v>-240</v>
      </c>
      <c r="Y214" s="187">
        <f t="shared" si="757"/>
        <v>-240</v>
      </c>
      <c r="Z214" s="187">
        <f t="shared" si="757"/>
        <v>-256</v>
      </c>
      <c r="AA214" s="187">
        <f t="shared" si="757"/>
        <v>-267</v>
      </c>
      <c r="AB214" s="187">
        <f t="shared" si="757"/>
        <v>-264</v>
      </c>
      <c r="AC214" s="187">
        <f t="shared" si="757"/>
        <v>-258</v>
      </c>
      <c r="AD214" s="187">
        <f t="shared" si="757"/>
        <v>-307</v>
      </c>
      <c r="AE214" s="187">
        <f t="shared" si="757"/>
        <v>-297</v>
      </c>
      <c r="AF214" s="187">
        <f t="shared" si="757"/>
        <v>-295</v>
      </c>
      <c r="AG214" s="187">
        <f t="shared" si="757"/>
        <v>-291</v>
      </c>
      <c r="AH214" s="187">
        <f t="shared" si="757"/>
        <v>-291</v>
      </c>
      <c r="AI214" s="187">
        <f t="shared" si="757"/>
        <v>-315</v>
      </c>
      <c r="AJ214" s="187">
        <f t="shared" si="757"/>
        <v>-300</v>
      </c>
      <c r="AK214" s="187">
        <f t="shared" si="757"/>
        <v>-285</v>
      </c>
      <c r="AL214" s="187">
        <f t="shared" si="757"/>
        <v>-349</v>
      </c>
      <c r="AM214" s="187">
        <f t="shared" si="757"/>
        <v>-332</v>
      </c>
      <c r="AN214" s="187">
        <f t="shared" si="757"/>
        <v>-326</v>
      </c>
      <c r="AO214" s="187">
        <f t="shared" si="757"/>
        <v>-329</v>
      </c>
      <c r="AP214" s="187">
        <f t="shared" si="757"/>
        <v>-343</v>
      </c>
      <c r="AQ214" s="187">
        <f t="shared" si="757"/>
        <v>-372</v>
      </c>
      <c r="AR214" s="187">
        <f t="shared" si="757"/>
        <v>-347</v>
      </c>
      <c r="AS214" s="187">
        <f t="shared" si="757"/>
        <v>-377</v>
      </c>
      <c r="AT214" s="187">
        <f t="shared" si="757"/>
        <v>-397</v>
      </c>
      <c r="AU214" s="187">
        <f t="shared" si="757"/>
        <v>-430</v>
      </c>
      <c r="AV214" s="187">
        <f t="shared" ref="AV214" si="758">AV177-AV265</f>
        <v>-452</v>
      </c>
      <c r="AW214" s="187">
        <f t="shared" ref="AW214:BN214" si="759">AW8*AW226</f>
        <v>-422.10050000000001</v>
      </c>
      <c r="AX214" s="187">
        <f t="shared" si="759"/>
        <v>-520.53622499999994</v>
      </c>
      <c r="AY214" s="187">
        <f t="shared" si="759"/>
        <v>-457.6531279425576</v>
      </c>
      <c r="AZ214" s="187">
        <f t="shared" si="759"/>
        <v>-504.66621816174279</v>
      </c>
      <c r="BA214" s="187">
        <f t="shared" si="759"/>
        <v>-502.76813088541672</v>
      </c>
      <c r="BB214" s="187">
        <f t="shared" si="759"/>
        <v>-514.25262899999996</v>
      </c>
      <c r="BC214" s="187">
        <f t="shared" si="759"/>
        <v>-453.21023435079991</v>
      </c>
      <c r="BD214" s="187">
        <f t="shared" si="759"/>
        <v>-526.29194071382869</v>
      </c>
      <c r="BE214" s="187">
        <f t="shared" si="759"/>
        <v>-519.90572522517664</v>
      </c>
      <c r="BF214" s="187">
        <f t="shared" si="759"/>
        <v>-533.03616879653498</v>
      </c>
      <c r="BG214" s="187">
        <f t="shared" si="759"/>
        <v>-469.57487308350346</v>
      </c>
      <c r="BH214" s="187">
        <f t="shared" si="759"/>
        <v>-637.85594839112082</v>
      </c>
      <c r="BI214" s="187">
        <f t="shared" si="759"/>
        <v>-561.85113551123175</v>
      </c>
      <c r="BJ214" s="187">
        <f t="shared" si="759"/>
        <v>-567.3792491632164</v>
      </c>
      <c r="BK214" s="187">
        <f t="shared" si="759"/>
        <v>-492.57486080312395</v>
      </c>
      <c r="BL214" s="187">
        <f t="shared" si="759"/>
        <v>-575.84890499864696</v>
      </c>
      <c r="BM214" s="187">
        <f t="shared" si="759"/>
        <v>-579.17704657818479</v>
      </c>
      <c r="BN214" s="187">
        <f t="shared" si="759"/>
        <v>-592.39986954280369</v>
      </c>
      <c r="BO214" s="49"/>
      <c r="BP214" s="44">
        <v>-1119</v>
      </c>
      <c r="BQ214" s="161">
        <f>SUM(C214:F214)</f>
        <v>-1042</v>
      </c>
      <c r="BR214" s="161">
        <f>SUM(G214:J214)</f>
        <v>-1097</v>
      </c>
      <c r="BS214" s="161">
        <f>SUM(K214:N214)</f>
        <v>-1073</v>
      </c>
      <c r="BT214" s="161">
        <f>SUM(O214:R214)</f>
        <v>-1035</v>
      </c>
      <c r="BU214" s="161">
        <f>SUM(S214:V214)</f>
        <v>-1048</v>
      </c>
      <c r="BV214" s="161">
        <f>SUM(W214:Z214)</f>
        <v>-1006</v>
      </c>
      <c r="BW214" s="161">
        <f>SUM(AA214:AD214)</f>
        <v>-1096</v>
      </c>
      <c r="BX214" s="161">
        <f>SUM(AE214:AH214)</f>
        <v>-1174</v>
      </c>
      <c r="BY214" s="161">
        <f>SUM(AI214:AL214)</f>
        <v>-1249</v>
      </c>
      <c r="BZ214" s="161">
        <f>SUM(AM214:AP214)</f>
        <v>-1330</v>
      </c>
      <c r="CA214" s="161">
        <f>SUM(AQ214:AT214)</f>
        <v>-1493</v>
      </c>
      <c r="CB214" s="161">
        <f>SUM(AU214:AX214)</f>
        <v>-1824.6367249999998</v>
      </c>
      <c r="CC214" s="161">
        <f>SUM(AY214:BB214)</f>
        <v>-1979.3401059897169</v>
      </c>
      <c r="CD214" s="161">
        <f>SUM(BC214:BF214)</f>
        <v>-2032.4440690863403</v>
      </c>
      <c r="CE214" s="161">
        <f>SUM(BG214:BJ214)</f>
        <v>-2236.6612061490723</v>
      </c>
      <c r="CF214" s="161">
        <f>SUM(BK214:BN214)</f>
        <v>-2240.0006819227592</v>
      </c>
      <c r="CG214" s="43"/>
      <c r="CH214" s="43"/>
      <c r="CI214" s="43"/>
    </row>
    <row r="215" spans="1:87" s="50" customFormat="1">
      <c r="A215" s="42" t="s">
        <v>452</v>
      </c>
      <c r="B215" s="187">
        <f t="shared" ref="B215:AG215" si="760">B214+B212+B213</f>
        <v>-520</v>
      </c>
      <c r="C215" s="187">
        <f t="shared" si="760"/>
        <v>-430</v>
      </c>
      <c r="D215" s="187">
        <f t="shared" si="760"/>
        <v>-484</v>
      </c>
      <c r="E215" s="187">
        <f t="shared" si="760"/>
        <v>-556</v>
      </c>
      <c r="F215" s="187">
        <f t="shared" si="760"/>
        <v>-559</v>
      </c>
      <c r="G215" s="187">
        <f t="shared" si="760"/>
        <v>-462</v>
      </c>
      <c r="H215" s="187">
        <f t="shared" si="760"/>
        <v>-585</v>
      </c>
      <c r="I215" s="187">
        <f t="shared" si="760"/>
        <v>-644</v>
      </c>
      <c r="J215" s="187">
        <f t="shared" si="760"/>
        <v>-554</v>
      </c>
      <c r="K215" s="187">
        <f t="shared" si="760"/>
        <v>-483</v>
      </c>
      <c r="L215" s="187">
        <f t="shared" si="760"/>
        <v>-581</v>
      </c>
      <c r="M215" s="187">
        <f t="shared" si="760"/>
        <v>-529</v>
      </c>
      <c r="N215" s="187">
        <f t="shared" si="760"/>
        <v>-540</v>
      </c>
      <c r="O215" s="187">
        <f t="shared" si="760"/>
        <v>-477</v>
      </c>
      <c r="P215" s="187">
        <f t="shared" si="760"/>
        <v>-499</v>
      </c>
      <c r="Q215" s="187">
        <f t="shared" si="760"/>
        <v>-540</v>
      </c>
      <c r="R215" s="187">
        <f t="shared" si="760"/>
        <v>-503</v>
      </c>
      <c r="S215" s="187">
        <f t="shared" si="760"/>
        <v>-459</v>
      </c>
      <c r="T215" s="187">
        <f t="shared" si="760"/>
        <v>-497</v>
      </c>
      <c r="U215" s="187">
        <f t="shared" si="760"/>
        <v>-521</v>
      </c>
      <c r="V215" s="187">
        <f t="shared" si="760"/>
        <v>-513</v>
      </c>
      <c r="W215" s="187">
        <f t="shared" si="760"/>
        <v>-472</v>
      </c>
      <c r="X215" s="187">
        <f t="shared" si="760"/>
        <v>-479</v>
      </c>
      <c r="Y215" s="187">
        <f t="shared" si="760"/>
        <v>-511</v>
      </c>
      <c r="Z215" s="187">
        <f t="shared" si="760"/>
        <v>-499</v>
      </c>
      <c r="AA215" s="187">
        <f t="shared" si="760"/>
        <v>-483</v>
      </c>
      <c r="AB215" s="187">
        <f t="shared" si="760"/>
        <v>-498</v>
      </c>
      <c r="AC215" s="187">
        <f t="shared" si="760"/>
        <v>-587</v>
      </c>
      <c r="AD215" s="187">
        <f t="shared" si="760"/>
        <v>-556</v>
      </c>
      <c r="AE215" s="187">
        <f t="shared" si="760"/>
        <v>-504</v>
      </c>
      <c r="AF215" s="187">
        <f t="shared" si="760"/>
        <v>-548</v>
      </c>
      <c r="AG215" s="187">
        <f t="shared" si="760"/>
        <v>-616</v>
      </c>
      <c r="AH215" s="187">
        <f t="shared" ref="AH215:BM215" si="761">AH214+AH212+AH213</f>
        <v>-523</v>
      </c>
      <c r="AI215" s="187">
        <f t="shared" si="761"/>
        <v>-547</v>
      </c>
      <c r="AJ215" s="187">
        <f t="shared" si="761"/>
        <v>-537</v>
      </c>
      <c r="AK215" s="187">
        <f t="shared" si="761"/>
        <v>-553</v>
      </c>
      <c r="AL215" s="187">
        <f t="shared" si="761"/>
        <v>-678</v>
      </c>
      <c r="AM215" s="187">
        <f t="shared" si="761"/>
        <v>-529</v>
      </c>
      <c r="AN215" s="187">
        <f t="shared" si="761"/>
        <v>-576</v>
      </c>
      <c r="AO215" s="187">
        <f t="shared" si="761"/>
        <v>-627</v>
      </c>
      <c r="AP215" s="187">
        <f t="shared" si="761"/>
        <v>-621</v>
      </c>
      <c r="AQ215" s="187">
        <f t="shared" si="761"/>
        <v>-594</v>
      </c>
      <c r="AR215" s="187">
        <f t="shared" si="761"/>
        <v>-599</v>
      </c>
      <c r="AS215" s="187">
        <f t="shared" si="761"/>
        <v>-706</v>
      </c>
      <c r="AT215" s="187">
        <f t="shared" si="761"/>
        <v>-730</v>
      </c>
      <c r="AU215" s="187">
        <f t="shared" si="761"/>
        <v>-750</v>
      </c>
      <c r="AV215" s="187">
        <f t="shared" ref="AV215" si="762">AV214+AV212+AV213</f>
        <v>-815</v>
      </c>
      <c r="AW215" s="187">
        <f t="shared" si="761"/>
        <v>-923.34484375000011</v>
      </c>
      <c r="AX215" s="187">
        <f t="shared" si="761"/>
        <v>-903.74051375838917</v>
      </c>
      <c r="AY215" s="187">
        <f t="shared" si="761"/>
        <v>-805.63655174811663</v>
      </c>
      <c r="AZ215" s="187">
        <f t="shared" si="761"/>
        <v>-867.03626494410241</v>
      </c>
      <c r="BA215" s="187">
        <f t="shared" si="761"/>
        <v>-1048.6306729895834</v>
      </c>
      <c r="BB215" s="187">
        <f t="shared" si="761"/>
        <v>-880.211826505369</v>
      </c>
      <c r="BC215" s="187">
        <f t="shared" si="761"/>
        <v>-784.5359412284372</v>
      </c>
      <c r="BD215" s="187">
        <f t="shared" si="761"/>
        <v>-888.9612950634521</v>
      </c>
      <c r="BE215" s="187">
        <f t="shared" si="761"/>
        <v>-1047.2386750964274</v>
      </c>
      <c r="BF215" s="187">
        <f t="shared" si="761"/>
        <v>-896.20533419374192</v>
      </c>
      <c r="BG215" s="187">
        <f t="shared" si="761"/>
        <v>-802.65606511631881</v>
      </c>
      <c r="BH215" s="187">
        <f t="shared" si="761"/>
        <v>-1070.5032122580933</v>
      </c>
      <c r="BI215" s="187">
        <f t="shared" si="761"/>
        <v>-1123.7022710224635</v>
      </c>
      <c r="BJ215" s="187">
        <f t="shared" si="761"/>
        <v>-942.70291699722156</v>
      </c>
      <c r="BK215" s="187">
        <f t="shared" si="761"/>
        <v>-835.18198661379279</v>
      </c>
      <c r="BL215" s="187">
        <f t="shared" si="761"/>
        <v>-960.08494663637555</v>
      </c>
      <c r="BM215" s="187">
        <f t="shared" si="761"/>
        <v>-1150.0801353481099</v>
      </c>
      <c r="BN215" s="187">
        <f t="shared" ref="BN215" si="763">BN214+BN212+BN213</f>
        <v>-972.3323246389607</v>
      </c>
      <c r="BO215" s="49"/>
      <c r="BP215" s="161">
        <f t="shared" ref="BP215:CF215" si="764">BP214+BP212+BP213</f>
        <v>-2106</v>
      </c>
      <c r="BQ215" s="161">
        <f t="shared" si="764"/>
        <v>-2029</v>
      </c>
      <c r="BR215" s="161">
        <f t="shared" si="764"/>
        <v>-2245</v>
      </c>
      <c r="BS215" s="161">
        <f t="shared" si="764"/>
        <v>-2133</v>
      </c>
      <c r="BT215" s="161">
        <f t="shared" si="764"/>
        <v>-2019</v>
      </c>
      <c r="BU215" s="161">
        <f t="shared" si="764"/>
        <v>-1990</v>
      </c>
      <c r="BV215" s="161">
        <f t="shared" si="764"/>
        <v>-1961</v>
      </c>
      <c r="BW215" s="161">
        <f t="shared" si="764"/>
        <v>-2124</v>
      </c>
      <c r="BX215" s="161">
        <f t="shared" si="764"/>
        <v>-2191</v>
      </c>
      <c r="BY215" s="161">
        <f t="shared" si="764"/>
        <v>-2315</v>
      </c>
      <c r="BZ215" s="161">
        <f t="shared" si="764"/>
        <v>-2353</v>
      </c>
      <c r="CA215" s="161">
        <f t="shared" si="764"/>
        <v>-2629</v>
      </c>
      <c r="CB215" s="161">
        <f t="shared" si="764"/>
        <v>-3392.0853575083893</v>
      </c>
      <c r="CC215" s="161">
        <f t="shared" si="764"/>
        <v>-3601.5153161871717</v>
      </c>
      <c r="CD215" s="161">
        <f t="shared" si="764"/>
        <v>-3616.9412455820584</v>
      </c>
      <c r="CE215" s="161">
        <f t="shared" si="764"/>
        <v>-3939.5644653940972</v>
      </c>
      <c r="CF215" s="161">
        <f t="shared" si="764"/>
        <v>-3917.6793932372389</v>
      </c>
      <c r="CG215" s="43"/>
      <c r="CH215" s="43"/>
      <c r="CI215" s="43"/>
    </row>
    <row r="216" spans="1:87" ht="12.75" customHeight="1">
      <c r="A216" s="38"/>
      <c r="B216" s="191"/>
      <c r="C216" s="191"/>
      <c r="D216" s="191"/>
      <c r="E216" s="191"/>
      <c r="F216" s="191"/>
      <c r="G216" s="191"/>
      <c r="H216" s="191"/>
      <c r="I216" s="191"/>
      <c r="J216" s="191"/>
      <c r="K216" s="191"/>
      <c r="L216" s="191"/>
      <c r="M216" s="191"/>
      <c r="N216" s="191"/>
      <c r="O216" s="191"/>
      <c r="P216" s="191"/>
      <c r="Q216" s="191"/>
      <c r="R216" s="191"/>
      <c r="S216" s="191"/>
      <c r="T216" s="191"/>
      <c r="U216" s="191"/>
      <c r="V216" s="191"/>
      <c r="W216" s="191"/>
      <c r="X216" s="191"/>
      <c r="Y216" s="191"/>
      <c r="Z216" s="191"/>
      <c r="AA216" s="191"/>
      <c r="AB216" s="191"/>
      <c r="AC216" s="191"/>
      <c r="AD216" s="191"/>
      <c r="AE216" s="191"/>
      <c r="AF216" s="191"/>
      <c r="AG216" s="191"/>
      <c r="AH216" s="191"/>
      <c r="AI216" s="191"/>
      <c r="AJ216" s="191"/>
      <c r="AK216" s="191"/>
      <c r="AL216" s="191"/>
      <c r="AM216" s="191"/>
      <c r="AN216" s="191"/>
      <c r="AO216" s="191"/>
      <c r="AP216" s="191"/>
      <c r="AQ216" s="191"/>
      <c r="AR216" s="191"/>
      <c r="AS216" s="191"/>
      <c r="AT216" s="191"/>
      <c r="AU216" s="191"/>
      <c r="AV216" s="191"/>
      <c r="AW216" s="191"/>
      <c r="AX216" s="191"/>
      <c r="AY216" s="191"/>
      <c r="AZ216" s="191"/>
      <c r="BA216" s="191"/>
      <c r="BB216" s="191"/>
      <c r="BC216" s="191"/>
      <c r="BD216" s="191"/>
      <c r="BE216" s="191"/>
      <c r="BF216" s="191"/>
      <c r="BG216" s="191"/>
      <c r="BH216" s="191"/>
      <c r="BI216" s="191"/>
      <c r="BJ216" s="191"/>
      <c r="BK216" s="191"/>
      <c r="BL216" s="191"/>
      <c r="BM216" s="191"/>
      <c r="BN216" s="191"/>
      <c r="BO216" s="191"/>
      <c r="BP216" s="191"/>
      <c r="BQ216" s="191"/>
      <c r="BR216" s="191"/>
      <c r="BS216" s="191"/>
      <c r="BT216" s="191"/>
      <c r="BU216" s="191"/>
      <c r="BV216" s="191"/>
      <c r="BW216" s="191"/>
      <c r="BX216" s="191"/>
      <c r="BY216" s="160"/>
      <c r="BZ216" s="191"/>
      <c r="CA216" s="191"/>
      <c r="CB216" s="191"/>
      <c r="CC216" s="191"/>
      <c r="CD216" s="191"/>
      <c r="CE216" s="191"/>
      <c r="CF216" s="191"/>
    </row>
    <row r="217" spans="1:87">
      <c r="A217" s="38" t="s">
        <v>86</v>
      </c>
    </row>
    <row r="218" spans="1:87" s="229" customFormat="1" ht="12.75" customHeight="1">
      <c r="A218" s="194" t="s">
        <v>371</v>
      </c>
      <c r="B218" s="195">
        <f t="shared" ref="B218:AU218" si="765">B8+B211</f>
        <v>554</v>
      </c>
      <c r="C218" s="195">
        <f t="shared" si="765"/>
        <v>321</v>
      </c>
      <c r="D218" s="195">
        <f t="shared" si="765"/>
        <v>523</v>
      </c>
      <c r="E218" s="195">
        <f t="shared" si="765"/>
        <v>828</v>
      </c>
      <c r="F218" s="195">
        <f t="shared" si="765"/>
        <v>670</v>
      </c>
      <c r="G218" s="195">
        <f t="shared" si="765"/>
        <v>288</v>
      </c>
      <c r="H218" s="195">
        <f t="shared" si="765"/>
        <v>610</v>
      </c>
      <c r="I218" s="195">
        <f t="shared" si="765"/>
        <v>1113</v>
      </c>
      <c r="J218" s="195">
        <f t="shared" si="765"/>
        <v>631</v>
      </c>
      <c r="K218" s="195">
        <f t="shared" si="765"/>
        <v>302</v>
      </c>
      <c r="L218" s="195">
        <f t="shared" si="765"/>
        <v>649</v>
      </c>
      <c r="M218" s="195">
        <f t="shared" si="765"/>
        <v>776</v>
      </c>
      <c r="N218" s="195">
        <f t="shared" si="765"/>
        <v>773</v>
      </c>
      <c r="O218" s="195">
        <f t="shared" si="765"/>
        <v>316</v>
      </c>
      <c r="P218" s="195">
        <f t="shared" si="765"/>
        <v>642</v>
      </c>
      <c r="Q218" s="195">
        <f t="shared" si="765"/>
        <v>1071</v>
      </c>
      <c r="R218" s="195">
        <f t="shared" si="765"/>
        <v>707</v>
      </c>
      <c r="S218" s="195">
        <f t="shared" si="765"/>
        <v>544</v>
      </c>
      <c r="T218" s="195">
        <f t="shared" si="765"/>
        <v>806</v>
      </c>
      <c r="U218" s="195">
        <f t="shared" si="765"/>
        <v>1040</v>
      </c>
      <c r="V218" s="195">
        <f t="shared" si="765"/>
        <v>676</v>
      </c>
      <c r="W218" s="195">
        <f t="shared" si="765"/>
        <v>532</v>
      </c>
      <c r="X218" s="195">
        <f t="shared" si="765"/>
        <v>749</v>
      </c>
      <c r="Y218" s="195">
        <f t="shared" si="765"/>
        <v>1269</v>
      </c>
      <c r="Z218" s="195">
        <f t="shared" si="765"/>
        <v>711</v>
      </c>
      <c r="AA218" s="195">
        <f t="shared" si="765"/>
        <v>517</v>
      </c>
      <c r="AB218" s="195">
        <f t="shared" si="765"/>
        <v>710</v>
      </c>
      <c r="AC218" s="195">
        <f t="shared" si="765"/>
        <v>1572</v>
      </c>
      <c r="AD218" s="195">
        <f t="shared" si="765"/>
        <v>891</v>
      </c>
      <c r="AE218" s="195">
        <f t="shared" si="765"/>
        <v>622</v>
      </c>
      <c r="AF218" s="195">
        <f t="shared" si="765"/>
        <v>791</v>
      </c>
      <c r="AG218" s="195">
        <f t="shared" si="765"/>
        <v>1470</v>
      </c>
      <c r="AH218" s="195">
        <f t="shared" si="765"/>
        <v>1024.1602522615385</v>
      </c>
      <c r="AI218" s="195">
        <f t="shared" si="765"/>
        <v>585</v>
      </c>
      <c r="AJ218" s="195">
        <f t="shared" si="765"/>
        <v>850</v>
      </c>
      <c r="AK218" s="195">
        <f t="shared" si="765"/>
        <v>1246</v>
      </c>
      <c r="AL218" s="195">
        <f t="shared" si="765"/>
        <v>1137</v>
      </c>
      <c r="AM218" s="195">
        <f t="shared" si="765"/>
        <v>637</v>
      </c>
      <c r="AN218" s="195">
        <f t="shared" si="765"/>
        <v>947</v>
      </c>
      <c r="AO218" s="195">
        <f t="shared" si="765"/>
        <v>1562</v>
      </c>
      <c r="AP218" s="195">
        <f t="shared" si="765"/>
        <v>1034</v>
      </c>
      <c r="AQ218" s="195">
        <f t="shared" si="765"/>
        <v>1103</v>
      </c>
      <c r="AR218" s="195">
        <f t="shared" si="765"/>
        <v>626</v>
      </c>
      <c r="AS218" s="195">
        <f t="shared" si="765"/>
        <v>1800</v>
      </c>
      <c r="AT218" s="195">
        <f t="shared" si="765"/>
        <v>1176</v>
      </c>
      <c r="AU218" s="195">
        <f t="shared" si="765"/>
        <v>1044</v>
      </c>
      <c r="AV218" s="195">
        <f>AV8+AV211</f>
        <v>1381</v>
      </c>
      <c r="AW218" s="195">
        <f t="shared" ref="AW218:BN218" si="766">AW219*AW8</f>
        <v>2057.7399375</v>
      </c>
      <c r="AX218" s="195">
        <f t="shared" si="766"/>
        <v>1416.6873422818792</v>
      </c>
      <c r="AY218" s="195">
        <f t="shared" si="766"/>
        <v>1183.2435057357143</v>
      </c>
      <c r="AZ218" s="195">
        <f t="shared" si="766"/>
        <v>1450.73089973539</v>
      </c>
      <c r="BA218" s="195">
        <f t="shared" si="766"/>
        <v>2238.0364226270835</v>
      </c>
      <c r="BB218" s="195">
        <f t="shared" si="766"/>
        <v>1351.2189156304025</v>
      </c>
      <c r="BC218" s="195">
        <f t="shared" si="766"/>
        <v>1194.5460754798987</v>
      </c>
      <c r="BD218" s="195">
        <f t="shared" si="766"/>
        <v>1516.9579617272179</v>
      </c>
      <c r="BE218" s="195">
        <f t="shared" si="766"/>
        <v>2320.2649794335025</v>
      </c>
      <c r="BF218" s="195">
        <f t="shared" si="766"/>
        <v>1427.9257385877193</v>
      </c>
      <c r="BG218" s="195">
        <f t="shared" si="766"/>
        <v>1260.4915663727347</v>
      </c>
      <c r="BH218" s="195">
        <f t="shared" si="766"/>
        <v>1858.9153822821431</v>
      </c>
      <c r="BI218" s="195">
        <f t="shared" si="766"/>
        <v>2510.6719312559044</v>
      </c>
      <c r="BJ218" s="195">
        <f t="shared" si="766"/>
        <v>1534.8563923098695</v>
      </c>
      <c r="BK218" s="195">
        <f t="shared" si="766"/>
        <v>1346.1365064021079</v>
      </c>
      <c r="BL218" s="195">
        <f t="shared" si="766"/>
        <v>1695.8451012964924</v>
      </c>
      <c r="BM218" s="195">
        <f t="shared" si="766"/>
        <v>2589.7487939853122</v>
      </c>
      <c r="BN218" s="195">
        <f t="shared" si="766"/>
        <v>1617.3777738865633</v>
      </c>
      <c r="BO218" s="196"/>
      <c r="BP218" s="196">
        <f t="shared" ref="BP218:CF218" si="767">BP8+BP211</f>
        <v>1826</v>
      </c>
      <c r="BQ218" s="196">
        <f t="shared" si="767"/>
        <v>2342</v>
      </c>
      <c r="BR218" s="196">
        <f t="shared" si="767"/>
        <v>2642</v>
      </c>
      <c r="BS218" s="196">
        <f t="shared" si="767"/>
        <v>2500</v>
      </c>
      <c r="BT218" s="196">
        <f t="shared" si="767"/>
        <v>2736</v>
      </c>
      <c r="BU218" s="196">
        <f t="shared" si="767"/>
        <v>3066</v>
      </c>
      <c r="BV218" s="196">
        <f t="shared" si="767"/>
        <v>3261</v>
      </c>
      <c r="BW218" s="196">
        <f t="shared" si="767"/>
        <v>3690</v>
      </c>
      <c r="BX218" s="196">
        <f t="shared" si="767"/>
        <v>3907.1602522615385</v>
      </c>
      <c r="BY218" s="196">
        <f t="shared" si="767"/>
        <v>3818</v>
      </c>
      <c r="BZ218" s="196">
        <f t="shared" si="767"/>
        <v>4180</v>
      </c>
      <c r="CA218" s="196">
        <f t="shared" si="767"/>
        <v>4705</v>
      </c>
      <c r="CB218" s="196">
        <f t="shared" si="767"/>
        <v>5899.4272797818785</v>
      </c>
      <c r="CC218" s="196">
        <f t="shared" si="767"/>
        <v>6223.2297437285897</v>
      </c>
      <c r="CD218" s="196">
        <f t="shared" si="767"/>
        <v>6459.6947552283382</v>
      </c>
      <c r="CE218" s="196">
        <f t="shared" si="767"/>
        <v>7164.9352722206522</v>
      </c>
      <c r="CF218" s="196">
        <f t="shared" si="767"/>
        <v>7249.1081755704745</v>
      </c>
      <c r="CG218" s="227"/>
      <c r="CH218" s="228"/>
      <c r="CI218" s="228"/>
    </row>
    <row r="219" spans="1:87" s="200" customFormat="1" ht="12.75" customHeight="1">
      <c r="A219" s="69" t="s">
        <v>88</v>
      </c>
      <c r="B219" s="34">
        <f t="shared" ref="B219:AU219" si="768">B218/B8</f>
        <v>0.65176470588235291</v>
      </c>
      <c r="C219" s="34">
        <f t="shared" si="768"/>
        <v>0.59554730983302406</v>
      </c>
      <c r="D219" s="34">
        <f t="shared" si="768"/>
        <v>0.59162895927601811</v>
      </c>
      <c r="E219" s="34">
        <f t="shared" si="768"/>
        <v>0.58723404255319145</v>
      </c>
      <c r="F219" s="34">
        <f t="shared" si="768"/>
        <v>0.6733668341708543</v>
      </c>
      <c r="G219" s="34">
        <f t="shared" si="768"/>
        <v>0.54961832061068705</v>
      </c>
      <c r="H219" s="34">
        <f t="shared" si="768"/>
        <v>0.58994197292069628</v>
      </c>
      <c r="I219" s="34">
        <f t="shared" si="768"/>
        <v>0.67413688673531191</v>
      </c>
      <c r="J219" s="34">
        <f t="shared" si="768"/>
        <v>0.64585465711361312</v>
      </c>
      <c r="K219" s="34">
        <f t="shared" si="768"/>
        <v>0.61507128309572301</v>
      </c>
      <c r="L219" s="34">
        <f t="shared" si="768"/>
        <v>0.60092592592592597</v>
      </c>
      <c r="M219" s="34">
        <f t="shared" si="768"/>
        <v>0.65651438240270732</v>
      </c>
      <c r="N219" s="34">
        <f t="shared" si="768"/>
        <v>0.74326923076923079</v>
      </c>
      <c r="O219" s="34">
        <f t="shared" si="768"/>
        <v>0.63838383838383839</v>
      </c>
      <c r="P219" s="34">
        <f t="shared" si="768"/>
        <v>0.61730769230769234</v>
      </c>
      <c r="Q219" s="34">
        <f t="shared" si="768"/>
        <v>0.68129770992366412</v>
      </c>
      <c r="R219" s="34">
        <f t="shared" si="768"/>
        <v>0.7735229759299781</v>
      </c>
      <c r="S219" s="34">
        <f t="shared" si="768"/>
        <v>0.70193548387096771</v>
      </c>
      <c r="T219" s="34">
        <f t="shared" si="768"/>
        <v>0.66065573770491803</v>
      </c>
      <c r="U219" s="34">
        <f t="shared" si="768"/>
        <v>0.72829131652661061</v>
      </c>
      <c r="V219" s="34">
        <f t="shared" si="768"/>
        <v>0.7544642857142857</v>
      </c>
      <c r="W219" s="34">
        <f t="shared" si="768"/>
        <v>0.76767676767676762</v>
      </c>
      <c r="X219" s="34">
        <f t="shared" si="768"/>
        <v>0.65357766143106455</v>
      </c>
      <c r="Y219" s="34">
        <f t="shared" si="768"/>
        <v>0.70382695507487525</v>
      </c>
      <c r="Z219" s="34">
        <f t="shared" si="768"/>
        <v>0.76948051948051943</v>
      </c>
      <c r="AA219" s="34">
        <f t="shared" si="768"/>
        <v>0.75806451612903225</v>
      </c>
      <c r="AB219" s="34">
        <f t="shared" si="768"/>
        <v>0.6466302367941712</v>
      </c>
      <c r="AC219" s="34">
        <f t="shared" si="768"/>
        <v>0.75942028985507248</v>
      </c>
      <c r="AD219" s="34">
        <f t="shared" si="768"/>
        <v>0.81593406593406592</v>
      </c>
      <c r="AE219" s="34">
        <f t="shared" si="768"/>
        <v>0.80258064516129035</v>
      </c>
      <c r="AF219" s="34">
        <f t="shared" si="768"/>
        <v>0.67090754877014414</v>
      </c>
      <c r="AG219" s="34">
        <f t="shared" si="768"/>
        <v>0.74581430745814303</v>
      </c>
      <c r="AH219" s="34">
        <f t="shared" si="768"/>
        <v>0.81606394602513033</v>
      </c>
      <c r="AI219" s="34">
        <f t="shared" si="768"/>
        <v>0.78104138851802407</v>
      </c>
      <c r="AJ219" s="34">
        <f t="shared" si="768"/>
        <v>0.69558101472995093</v>
      </c>
      <c r="AK219" s="34">
        <f t="shared" si="768"/>
        <v>0.77439403356121816</v>
      </c>
      <c r="AL219" s="34">
        <f t="shared" si="768"/>
        <v>0.83357771260997071</v>
      </c>
      <c r="AM219" s="34">
        <f t="shared" si="768"/>
        <v>0.81457800511508949</v>
      </c>
      <c r="AN219" s="34">
        <f t="shared" si="768"/>
        <v>0.72124904798172129</v>
      </c>
      <c r="AO219" s="34">
        <f t="shared" si="768"/>
        <v>0.77288471053933694</v>
      </c>
      <c r="AP219" s="34">
        <f t="shared" si="768"/>
        <v>0.82324840764331209</v>
      </c>
      <c r="AQ219" s="34">
        <f t="shared" si="768"/>
        <v>0.79352517985611515</v>
      </c>
      <c r="AR219" s="34">
        <f t="shared" si="768"/>
        <v>0.68791208791208791</v>
      </c>
      <c r="AS219" s="34">
        <f t="shared" si="768"/>
        <v>0.75</v>
      </c>
      <c r="AT219" s="34">
        <f t="shared" si="768"/>
        <v>0.78926174496644297</v>
      </c>
      <c r="AU219" s="34">
        <f t="shared" si="768"/>
        <v>0.78143712574850299</v>
      </c>
      <c r="AV219" s="34">
        <f t="shared" ref="AV219" si="769">AV218/AV8</f>
        <v>0.74608319827120473</v>
      </c>
      <c r="AW219" s="34">
        <f t="shared" ref="AW219:BN219" si="770">AS219+AW220/10000</f>
        <v>0.78</v>
      </c>
      <c r="AX219" s="34">
        <f t="shared" si="770"/>
        <v>0.78926174496644297</v>
      </c>
      <c r="AY219" s="34">
        <f t="shared" si="770"/>
        <v>0.78043712574850299</v>
      </c>
      <c r="AZ219" s="34">
        <f t="shared" si="770"/>
        <v>0.74508319827120473</v>
      </c>
      <c r="BA219" s="34">
        <f t="shared" si="770"/>
        <v>0.77900000000000003</v>
      </c>
      <c r="BB219" s="34">
        <f t="shared" si="770"/>
        <v>0.78826174496644297</v>
      </c>
      <c r="BC219" s="34">
        <f t="shared" si="770"/>
        <v>0.78243712574850299</v>
      </c>
      <c r="BD219" s="34">
        <f t="shared" si="770"/>
        <v>0.74708319827120473</v>
      </c>
      <c r="BE219" s="34">
        <f t="shared" si="770"/>
        <v>0.78100000000000003</v>
      </c>
      <c r="BF219" s="34">
        <f t="shared" si="770"/>
        <v>0.79026174496644297</v>
      </c>
      <c r="BG219" s="34">
        <f t="shared" si="770"/>
        <v>0.78343712574850299</v>
      </c>
      <c r="BH219" s="34">
        <f t="shared" si="770"/>
        <v>0.74808319827120473</v>
      </c>
      <c r="BI219" s="34">
        <f t="shared" si="770"/>
        <v>0.78200000000000003</v>
      </c>
      <c r="BJ219" s="34">
        <f t="shared" si="770"/>
        <v>0.79126174496644297</v>
      </c>
      <c r="BK219" s="34">
        <f t="shared" si="770"/>
        <v>0.78393712574850294</v>
      </c>
      <c r="BL219" s="34">
        <f t="shared" si="770"/>
        <v>0.74858319827120468</v>
      </c>
      <c r="BM219" s="34">
        <f t="shared" si="770"/>
        <v>0.78249999999999997</v>
      </c>
      <c r="BN219" s="34">
        <f t="shared" si="770"/>
        <v>0.79176174496644292</v>
      </c>
      <c r="BO219" s="35"/>
      <c r="BP219" s="35">
        <f t="shared" ref="BP219:CF219" si="771">BP218/BP8</f>
        <v>0.49579147434156939</v>
      </c>
      <c r="BQ219" s="35">
        <f t="shared" si="771"/>
        <v>0.61180773249738762</v>
      </c>
      <c r="BR219" s="35">
        <f t="shared" si="771"/>
        <v>0.63115145723841382</v>
      </c>
      <c r="BS219" s="35">
        <f t="shared" si="771"/>
        <v>0.65910888478776697</v>
      </c>
      <c r="BT219" s="35">
        <f t="shared" si="771"/>
        <v>0.68042775428997759</v>
      </c>
      <c r="BU219" s="35">
        <f t="shared" si="771"/>
        <v>0.70988654781199356</v>
      </c>
      <c r="BV219" s="35">
        <f t="shared" si="771"/>
        <v>0.71419185282523001</v>
      </c>
      <c r="BW219" s="35">
        <f t="shared" si="771"/>
        <v>0.74666127074059085</v>
      </c>
      <c r="BX219" s="35">
        <f t="shared" si="771"/>
        <v>0.75427804097713103</v>
      </c>
      <c r="BY219" s="35">
        <f t="shared" si="771"/>
        <v>0.7722491909385113</v>
      </c>
      <c r="BZ219" s="35">
        <f t="shared" si="771"/>
        <v>0.77810871183916608</v>
      </c>
      <c r="CA219" s="35">
        <f t="shared" si="771"/>
        <v>0.76009693053311789</v>
      </c>
      <c r="CB219" s="35">
        <f t="shared" si="771"/>
        <v>0.77419486355918687</v>
      </c>
      <c r="CC219" s="35">
        <f t="shared" si="771"/>
        <v>0.77303958631203284</v>
      </c>
      <c r="CD219" s="35">
        <f t="shared" si="771"/>
        <v>0.77500849449925691</v>
      </c>
      <c r="CE219" s="35">
        <f t="shared" si="771"/>
        <v>0.77507647149250691</v>
      </c>
      <c r="CF219" s="35">
        <f t="shared" si="771"/>
        <v>0.7765601296386857</v>
      </c>
      <c r="CG219" s="77"/>
      <c r="CH219" s="77"/>
      <c r="CI219" s="77"/>
    </row>
    <row r="220" spans="1:87" s="200" customFormat="1" ht="12.75" customHeight="1">
      <c r="A220" s="69" t="s">
        <v>89</v>
      </c>
      <c r="B220" s="34" t="s">
        <v>17</v>
      </c>
      <c r="C220" s="34" t="s">
        <v>17</v>
      </c>
      <c r="D220" s="34" t="s">
        <v>17</v>
      </c>
      <c r="E220" s="34" t="s">
        <v>17</v>
      </c>
      <c r="F220" s="197">
        <f t="shared" ref="F220:AV220" si="772">(F219-B219)*10000</f>
        <v>216.02128288501387</v>
      </c>
      <c r="G220" s="197">
        <f t="shared" si="772"/>
        <v>-459.28989222337015</v>
      </c>
      <c r="H220" s="197">
        <f t="shared" si="772"/>
        <v>-16.869863553218288</v>
      </c>
      <c r="I220" s="197">
        <f t="shared" si="772"/>
        <v>869.02844182120464</v>
      </c>
      <c r="J220" s="197">
        <f t="shared" si="772"/>
        <v>-275.12177057241183</v>
      </c>
      <c r="K220" s="197">
        <f t="shared" si="772"/>
        <v>654.5296248503596</v>
      </c>
      <c r="L220" s="197">
        <f t="shared" si="772"/>
        <v>109.83953005229696</v>
      </c>
      <c r="M220" s="197">
        <f t="shared" si="772"/>
        <v>-176.22504332604595</v>
      </c>
      <c r="N220" s="197">
        <f t="shared" si="772"/>
        <v>974.14573655617676</v>
      </c>
      <c r="O220" s="197">
        <f t="shared" si="772"/>
        <v>233.12555288115377</v>
      </c>
      <c r="P220" s="197">
        <f t="shared" si="772"/>
        <v>163.8176638176636</v>
      </c>
      <c r="Q220" s="197">
        <f t="shared" si="772"/>
        <v>247.833275209568</v>
      </c>
      <c r="R220" s="197">
        <f t="shared" si="772"/>
        <v>302.53745160747303</v>
      </c>
      <c r="S220" s="197">
        <f t="shared" si="772"/>
        <v>635.51645487129326</v>
      </c>
      <c r="T220" s="197">
        <f t="shared" si="772"/>
        <v>433.48045397225701</v>
      </c>
      <c r="U220" s="197">
        <f t="shared" si="772"/>
        <v>469.93606602946494</v>
      </c>
      <c r="V220" s="197">
        <f t="shared" si="772"/>
        <v>-190.58690215692397</v>
      </c>
      <c r="W220" s="197">
        <f t="shared" si="772"/>
        <v>657.41283805799912</v>
      </c>
      <c r="X220" s="197">
        <f t="shared" si="772"/>
        <v>-70.780762738534847</v>
      </c>
      <c r="Y220" s="197">
        <f t="shared" si="772"/>
        <v>-244.64361451735363</v>
      </c>
      <c r="Z220" s="197">
        <f t="shared" si="772"/>
        <v>150.16233766233734</v>
      </c>
      <c r="AA220" s="197">
        <f t="shared" si="772"/>
        <v>-96.12251547735373</v>
      </c>
      <c r="AB220" s="197">
        <f t="shared" si="772"/>
        <v>-69.474246368933507</v>
      </c>
      <c r="AC220" s="197">
        <f t="shared" si="772"/>
        <v>555.93334780197233</v>
      </c>
      <c r="AD220" s="197">
        <f t="shared" si="772"/>
        <v>464.53546453546488</v>
      </c>
      <c r="AE220" s="197">
        <f t="shared" si="772"/>
        <v>445.16129032258101</v>
      </c>
      <c r="AF220" s="197">
        <f t="shared" si="772"/>
        <v>242.77311975972938</v>
      </c>
      <c r="AG220" s="197">
        <f t="shared" si="772"/>
        <v>-136.05982396929451</v>
      </c>
      <c r="AH220" s="197">
        <f t="shared" si="772"/>
        <v>1.298800910644049</v>
      </c>
      <c r="AI220" s="197">
        <f t="shared" si="772"/>
        <v>-215.39256643266279</v>
      </c>
      <c r="AJ220" s="197">
        <f t="shared" si="772"/>
        <v>246.73465959806796</v>
      </c>
      <c r="AK220" s="197">
        <f t="shared" si="772"/>
        <v>285.79726103075132</v>
      </c>
      <c r="AL220" s="197">
        <f t="shared" si="772"/>
        <v>175.13766584840386</v>
      </c>
      <c r="AM220" s="197">
        <f t="shared" si="772"/>
        <v>335.36616597065415</v>
      </c>
      <c r="AN220" s="197">
        <f t="shared" si="772"/>
        <v>256.68033251770362</v>
      </c>
      <c r="AO220" s="197">
        <f t="shared" si="772"/>
        <v>-15.093230218812259</v>
      </c>
      <c r="AP220" s="197">
        <f t="shared" si="772"/>
        <v>-103.29304966658626</v>
      </c>
      <c r="AQ220" s="197">
        <f t="shared" si="772"/>
        <v>-210.5282525897434</v>
      </c>
      <c r="AR220" s="197">
        <f t="shared" si="772"/>
        <v>-333.3696006963338</v>
      </c>
      <c r="AS220" s="197">
        <f t="shared" si="772"/>
        <v>-228.84710539336939</v>
      </c>
      <c r="AT220" s="197">
        <f t="shared" si="772"/>
        <v>-339.86662676869116</v>
      </c>
      <c r="AU220" s="197">
        <f t="shared" si="772"/>
        <v>-120.88054107612156</v>
      </c>
      <c r="AV220" s="197">
        <f t="shared" si="772"/>
        <v>581.71110359116813</v>
      </c>
      <c r="AW220" s="230">
        <v>300</v>
      </c>
      <c r="AX220" s="230">
        <v>0</v>
      </c>
      <c r="AY220" s="230">
        <v>-10</v>
      </c>
      <c r="AZ220" s="230">
        <v>-10</v>
      </c>
      <c r="BA220" s="230">
        <v>-10</v>
      </c>
      <c r="BB220" s="230">
        <v>-10</v>
      </c>
      <c r="BC220" s="230">
        <v>20</v>
      </c>
      <c r="BD220" s="230">
        <v>20</v>
      </c>
      <c r="BE220" s="230">
        <v>20</v>
      </c>
      <c r="BF220" s="230">
        <v>20</v>
      </c>
      <c r="BG220" s="230">
        <v>10</v>
      </c>
      <c r="BH220" s="230">
        <v>10</v>
      </c>
      <c r="BI220" s="230">
        <v>10</v>
      </c>
      <c r="BJ220" s="230">
        <v>10</v>
      </c>
      <c r="BK220" s="230">
        <v>5</v>
      </c>
      <c r="BL220" s="230">
        <v>5</v>
      </c>
      <c r="BM220" s="230">
        <v>5</v>
      </c>
      <c r="BN220" s="230">
        <v>5</v>
      </c>
      <c r="BO220" s="231"/>
      <c r="BP220" s="35" t="s">
        <v>17</v>
      </c>
      <c r="BQ220" s="35" t="s">
        <v>17</v>
      </c>
      <c r="BR220" s="199">
        <f t="shared" ref="BR220:CF220" si="773">(BR219-BQ219)*10000</f>
        <v>193.4372474102619</v>
      </c>
      <c r="BS220" s="199">
        <f t="shared" si="773"/>
        <v>279.57427549353156</v>
      </c>
      <c r="BT220" s="199">
        <f t="shared" si="773"/>
        <v>213.18869502210623</v>
      </c>
      <c r="BU220" s="199">
        <f t="shared" si="773"/>
        <v>294.58793522015969</v>
      </c>
      <c r="BV220" s="199">
        <f t="shared" si="773"/>
        <v>43.05305013236449</v>
      </c>
      <c r="BW220" s="199">
        <f t="shared" si="773"/>
        <v>324.69417915360845</v>
      </c>
      <c r="BX220" s="199">
        <f t="shared" si="773"/>
        <v>76.167702365401709</v>
      </c>
      <c r="BY220" s="199">
        <f t="shared" si="773"/>
        <v>179.71149961380272</v>
      </c>
      <c r="BZ220" s="199">
        <f t="shared" si="773"/>
        <v>58.595209006547798</v>
      </c>
      <c r="CA220" s="199">
        <f t="shared" si="773"/>
        <v>-180.11781306048192</v>
      </c>
      <c r="CB220" s="199">
        <f t="shared" si="773"/>
        <v>140.97933026068986</v>
      </c>
      <c r="CC220" s="199">
        <f t="shared" si="773"/>
        <v>-11.552772471540296</v>
      </c>
      <c r="CD220" s="199">
        <f t="shared" si="773"/>
        <v>19.68908187224061</v>
      </c>
      <c r="CE220" s="199">
        <f t="shared" si="773"/>
        <v>0.67976993250007389</v>
      </c>
      <c r="CF220" s="199">
        <f t="shared" si="773"/>
        <v>14.836581461787901</v>
      </c>
      <c r="CG220" s="77"/>
      <c r="CH220" s="43"/>
      <c r="CI220" s="43"/>
    </row>
    <row r="221" spans="1:87" s="50" customFormat="1">
      <c r="A221" s="42"/>
      <c r="B221" s="187"/>
      <c r="C221" s="187"/>
      <c r="D221" s="187"/>
      <c r="E221" s="187"/>
      <c r="F221" s="187"/>
      <c r="G221" s="187"/>
      <c r="H221" s="187"/>
      <c r="I221" s="187"/>
      <c r="J221" s="187"/>
      <c r="K221" s="187"/>
      <c r="L221" s="187"/>
      <c r="M221" s="187"/>
      <c r="N221" s="187"/>
      <c r="O221" s="187"/>
      <c r="P221" s="187"/>
      <c r="Q221" s="187"/>
      <c r="R221" s="187"/>
      <c r="S221" s="187"/>
      <c r="T221" s="187"/>
      <c r="U221" s="187"/>
      <c r="V221" s="187"/>
      <c r="W221" s="187"/>
      <c r="X221" s="187"/>
      <c r="Y221" s="187"/>
      <c r="Z221" s="187"/>
      <c r="AA221" s="187"/>
      <c r="AB221" s="187"/>
      <c r="AC221" s="187"/>
      <c r="AD221" s="187"/>
      <c r="AE221" s="187"/>
      <c r="AF221" s="187"/>
      <c r="AG221" s="187"/>
      <c r="AH221" s="187"/>
      <c r="AI221" s="187"/>
      <c r="AJ221" s="187"/>
      <c r="AK221" s="187"/>
      <c r="AL221" s="187"/>
      <c r="AM221" s="187"/>
      <c r="AN221" s="187"/>
      <c r="AO221" s="187"/>
      <c r="AP221" s="187"/>
      <c r="AQ221" s="187"/>
      <c r="AR221" s="187"/>
      <c r="AS221" s="187"/>
      <c r="AT221" s="187"/>
      <c r="AU221" s="187"/>
      <c r="AV221" s="187"/>
      <c r="AW221" s="187"/>
      <c r="AX221" s="187"/>
      <c r="AY221" s="187"/>
      <c r="AZ221" s="187"/>
      <c r="BA221" s="187"/>
      <c r="BB221" s="187"/>
      <c r="BC221" s="187"/>
      <c r="BD221" s="187"/>
      <c r="BE221" s="187"/>
      <c r="BF221" s="187"/>
      <c r="BG221" s="187"/>
      <c r="BH221" s="187"/>
      <c r="BI221" s="187"/>
      <c r="BJ221" s="187"/>
      <c r="BK221" s="187"/>
      <c r="BL221" s="187"/>
      <c r="BM221" s="187"/>
      <c r="BN221" s="187"/>
      <c r="BO221" s="49"/>
      <c r="BP221" s="161"/>
      <c r="BQ221" s="161"/>
      <c r="BR221" s="161"/>
      <c r="BS221" s="161"/>
      <c r="BT221" s="161"/>
      <c r="BU221" s="161"/>
      <c r="BV221" s="161"/>
      <c r="BW221" s="161"/>
      <c r="BX221" s="161"/>
      <c r="BY221" s="161"/>
      <c r="BZ221" s="161"/>
      <c r="CA221" s="161"/>
      <c r="CB221" s="161"/>
      <c r="CC221" s="161"/>
      <c r="CD221" s="161"/>
      <c r="CE221" s="161"/>
      <c r="CF221" s="161"/>
      <c r="CG221" s="43"/>
      <c r="CH221" s="43"/>
      <c r="CI221" s="43"/>
    </row>
    <row r="222" spans="1:87" s="50" customFormat="1" ht="12.75" customHeight="1">
      <c r="A222" s="25" t="s">
        <v>451</v>
      </c>
      <c r="B222" s="187"/>
      <c r="C222" s="187"/>
      <c r="D222" s="187"/>
      <c r="E222" s="187"/>
      <c r="F222" s="187"/>
      <c r="G222" s="187"/>
      <c r="H222" s="187"/>
      <c r="I222" s="187"/>
      <c r="J222" s="187"/>
      <c r="K222" s="187"/>
      <c r="L222" s="187"/>
      <c r="M222" s="187"/>
      <c r="N222" s="187"/>
      <c r="O222" s="187"/>
      <c r="P222" s="187"/>
      <c r="Q222" s="187"/>
      <c r="R222" s="187"/>
      <c r="S222" s="187"/>
      <c r="T222" s="187"/>
      <c r="U222" s="187"/>
      <c r="V222" s="187"/>
      <c r="W222" s="187"/>
      <c r="X222" s="187"/>
      <c r="Y222" s="187"/>
      <c r="Z222" s="187"/>
      <c r="AA222" s="187"/>
      <c r="AB222" s="187"/>
      <c r="AC222" s="187"/>
      <c r="AD222" s="187"/>
      <c r="AE222" s="187"/>
      <c r="AF222" s="187"/>
      <c r="AG222" s="187"/>
      <c r="AH222" s="187"/>
      <c r="AI222" s="187"/>
      <c r="AJ222" s="187"/>
      <c r="AK222" s="187"/>
      <c r="AL222" s="187"/>
      <c r="AM222" s="187"/>
      <c r="AN222" s="187"/>
      <c r="AO222" s="187"/>
      <c r="AP222" s="187"/>
      <c r="AQ222" s="187"/>
      <c r="AR222" s="187"/>
      <c r="AS222" s="187"/>
      <c r="AT222" s="187"/>
      <c r="AU222" s="187"/>
      <c r="AV222" s="187"/>
      <c r="AW222" s="187"/>
      <c r="AX222" s="187"/>
      <c r="AY222" s="187"/>
      <c r="AZ222" s="187"/>
      <c r="BA222" s="187"/>
      <c r="BB222" s="187"/>
      <c r="BC222" s="187"/>
      <c r="BD222" s="187"/>
      <c r="BE222" s="187"/>
      <c r="BF222" s="187"/>
      <c r="BG222" s="187"/>
      <c r="BH222" s="187"/>
      <c r="BI222" s="187"/>
      <c r="BJ222" s="187"/>
      <c r="BK222" s="187"/>
      <c r="BL222" s="187"/>
      <c r="BM222" s="187"/>
      <c r="BN222" s="187"/>
      <c r="BO222" s="49"/>
      <c r="BP222" s="44"/>
      <c r="BQ222" s="161"/>
      <c r="BR222" s="161"/>
      <c r="BS222" s="161"/>
      <c r="BT222" s="161"/>
      <c r="BU222" s="161"/>
      <c r="BV222" s="161"/>
      <c r="BW222" s="161"/>
      <c r="BX222" s="161"/>
      <c r="BY222" s="161"/>
      <c r="BZ222" s="161"/>
      <c r="CA222" s="161"/>
      <c r="CB222" s="161"/>
      <c r="CC222" s="161"/>
      <c r="CD222" s="161"/>
      <c r="CE222" s="161"/>
      <c r="CF222" s="161"/>
      <c r="CG222" s="43"/>
      <c r="CH222" s="232"/>
      <c r="CI222" s="232"/>
    </row>
    <row r="223" spans="1:87" s="234" customFormat="1" ht="12.75" customHeight="1">
      <c r="A223" s="69" t="s">
        <v>121</v>
      </c>
      <c r="B223" s="34">
        <f t="shared" ref="B223:AG223" si="774">B211/B8</f>
        <v>-0.34823529411764703</v>
      </c>
      <c r="C223" s="34">
        <f t="shared" si="774"/>
        <v>-0.40445269016697588</v>
      </c>
      <c r="D223" s="34">
        <f t="shared" si="774"/>
        <v>-0.40837104072398189</v>
      </c>
      <c r="E223" s="34">
        <f t="shared" si="774"/>
        <v>-0.4127659574468085</v>
      </c>
      <c r="F223" s="34">
        <f t="shared" si="774"/>
        <v>-0.32663316582914576</v>
      </c>
      <c r="G223" s="34">
        <f t="shared" si="774"/>
        <v>-0.45038167938931295</v>
      </c>
      <c r="H223" s="34">
        <f t="shared" si="774"/>
        <v>-0.41005802707930367</v>
      </c>
      <c r="I223" s="34">
        <f t="shared" si="774"/>
        <v>-0.32586311326468809</v>
      </c>
      <c r="J223" s="34">
        <f t="shared" si="774"/>
        <v>-0.35414534288638688</v>
      </c>
      <c r="K223" s="34">
        <f t="shared" si="774"/>
        <v>-0.38492871690427699</v>
      </c>
      <c r="L223" s="34">
        <f t="shared" si="774"/>
        <v>-0.39907407407407408</v>
      </c>
      <c r="M223" s="34">
        <f t="shared" si="774"/>
        <v>-0.34348561759729274</v>
      </c>
      <c r="N223" s="34">
        <f t="shared" si="774"/>
        <v>-0.25673076923076921</v>
      </c>
      <c r="O223" s="34">
        <f t="shared" si="774"/>
        <v>-0.36161616161616161</v>
      </c>
      <c r="P223" s="34">
        <f t="shared" si="774"/>
        <v>-0.38269230769230766</v>
      </c>
      <c r="Q223" s="34">
        <f t="shared" si="774"/>
        <v>-0.31870229007633588</v>
      </c>
      <c r="R223" s="34">
        <f t="shared" si="774"/>
        <v>-0.22647702407002188</v>
      </c>
      <c r="S223" s="34">
        <f t="shared" si="774"/>
        <v>-0.29806451612903223</v>
      </c>
      <c r="T223" s="34">
        <f t="shared" si="774"/>
        <v>-0.33934426229508197</v>
      </c>
      <c r="U223" s="34">
        <f t="shared" si="774"/>
        <v>-0.27170868347338933</v>
      </c>
      <c r="V223" s="34">
        <f t="shared" si="774"/>
        <v>-0.24553571428571427</v>
      </c>
      <c r="W223" s="34">
        <f t="shared" si="774"/>
        <v>-0.23232323232323232</v>
      </c>
      <c r="X223" s="34">
        <f t="shared" si="774"/>
        <v>-0.34642233856893545</v>
      </c>
      <c r="Y223" s="34">
        <f t="shared" si="774"/>
        <v>-0.29617304492512481</v>
      </c>
      <c r="Z223" s="34">
        <f t="shared" si="774"/>
        <v>-0.23051948051948051</v>
      </c>
      <c r="AA223" s="34">
        <f t="shared" si="774"/>
        <v>-0.24193548387096775</v>
      </c>
      <c r="AB223" s="34">
        <f t="shared" si="774"/>
        <v>-0.3533697632058288</v>
      </c>
      <c r="AC223" s="34">
        <f t="shared" si="774"/>
        <v>-0.24057971014492754</v>
      </c>
      <c r="AD223" s="34">
        <f t="shared" si="774"/>
        <v>-0.18406593406593408</v>
      </c>
      <c r="AE223" s="34">
        <f t="shared" si="774"/>
        <v>-0.19741935483870968</v>
      </c>
      <c r="AF223" s="34">
        <f t="shared" si="774"/>
        <v>-0.32909245122985581</v>
      </c>
      <c r="AG223" s="34">
        <f t="shared" si="774"/>
        <v>-0.25418569254185691</v>
      </c>
      <c r="AH223" s="34">
        <f t="shared" ref="AH223:BN223" si="775">AH211/AH8</f>
        <v>-0.18393605397486976</v>
      </c>
      <c r="AI223" s="34">
        <f t="shared" si="775"/>
        <v>-0.21895861148197596</v>
      </c>
      <c r="AJ223" s="34">
        <f t="shared" si="775"/>
        <v>-0.30441898527004913</v>
      </c>
      <c r="AK223" s="34">
        <f t="shared" si="775"/>
        <v>-0.22560596643878186</v>
      </c>
      <c r="AL223" s="34">
        <f t="shared" si="775"/>
        <v>-0.16642228739002932</v>
      </c>
      <c r="AM223" s="34">
        <f t="shared" si="775"/>
        <v>-0.18542199488491048</v>
      </c>
      <c r="AN223" s="34">
        <f t="shared" si="775"/>
        <v>-0.27875095201827876</v>
      </c>
      <c r="AO223" s="34">
        <f t="shared" si="775"/>
        <v>-0.22711528946066303</v>
      </c>
      <c r="AP223" s="34">
        <f t="shared" si="775"/>
        <v>-0.17675159235668789</v>
      </c>
      <c r="AQ223" s="34">
        <f t="shared" si="775"/>
        <v>-0.20647482014388488</v>
      </c>
      <c r="AR223" s="34">
        <f t="shared" si="775"/>
        <v>-0.31208791208791209</v>
      </c>
      <c r="AS223" s="34">
        <f t="shared" si="775"/>
        <v>-0.25</v>
      </c>
      <c r="AT223" s="34">
        <f t="shared" si="775"/>
        <v>-0.21073825503355706</v>
      </c>
      <c r="AU223" s="34">
        <f t="shared" si="775"/>
        <v>-0.21856287425149701</v>
      </c>
      <c r="AV223" s="34">
        <f t="shared" ref="AV223" si="776">AV211/AV8</f>
        <v>-0.25391680172879527</v>
      </c>
      <c r="AW223" s="34">
        <f t="shared" si="775"/>
        <v>-0.22000000000000006</v>
      </c>
      <c r="AX223" s="34">
        <f t="shared" si="775"/>
        <v>-0.210738255033557</v>
      </c>
      <c r="AY223" s="34">
        <f t="shared" si="775"/>
        <v>-0.21956287425149709</v>
      </c>
      <c r="AZ223" s="34">
        <f t="shared" si="775"/>
        <v>-0.25491680172879533</v>
      </c>
      <c r="BA223" s="34">
        <f t="shared" si="775"/>
        <v>-0.22100000000000003</v>
      </c>
      <c r="BB223" s="34">
        <f t="shared" si="775"/>
        <v>-0.21173825503355703</v>
      </c>
      <c r="BC223" s="34">
        <f t="shared" si="775"/>
        <v>-0.21756287425149692</v>
      </c>
      <c r="BD223" s="34">
        <f t="shared" si="775"/>
        <v>-0.25291680172879527</v>
      </c>
      <c r="BE223" s="34">
        <f t="shared" si="775"/>
        <v>-0.21900000000000003</v>
      </c>
      <c r="BF223" s="34">
        <f t="shared" si="775"/>
        <v>-0.20973825503355706</v>
      </c>
      <c r="BG223" s="34">
        <f t="shared" si="775"/>
        <v>-0.21656287425149706</v>
      </c>
      <c r="BH223" s="34">
        <f t="shared" si="775"/>
        <v>-0.25191680172879527</v>
      </c>
      <c r="BI223" s="34">
        <f t="shared" si="775"/>
        <v>-0.218</v>
      </c>
      <c r="BJ223" s="34">
        <f t="shared" si="775"/>
        <v>-0.20873825503355703</v>
      </c>
      <c r="BK223" s="34">
        <f t="shared" si="775"/>
        <v>-0.21606287425149709</v>
      </c>
      <c r="BL223" s="34">
        <f t="shared" si="775"/>
        <v>-0.25141680172879527</v>
      </c>
      <c r="BM223" s="34">
        <f t="shared" si="775"/>
        <v>-0.21750000000000003</v>
      </c>
      <c r="BN223" s="34">
        <f t="shared" si="775"/>
        <v>-0.20823825503355711</v>
      </c>
      <c r="BO223" s="35"/>
      <c r="BP223" s="35" t="s">
        <v>17</v>
      </c>
      <c r="BQ223" s="35">
        <f t="shared" ref="BQ223:CF223" si="777">BQ211/BQ8</f>
        <v>-0.38819226750261232</v>
      </c>
      <c r="BR223" s="35">
        <f t="shared" si="777"/>
        <v>-0.36884854276158624</v>
      </c>
      <c r="BS223" s="35">
        <f t="shared" si="777"/>
        <v>-0.34089111521223309</v>
      </c>
      <c r="BT223" s="35">
        <f t="shared" si="777"/>
        <v>-0.31957224571002241</v>
      </c>
      <c r="BU223" s="35">
        <f t="shared" si="777"/>
        <v>-0.29011345218800649</v>
      </c>
      <c r="BV223" s="35">
        <f t="shared" si="777"/>
        <v>-0.28580814717477004</v>
      </c>
      <c r="BW223" s="35">
        <f t="shared" si="777"/>
        <v>-0.25333872925940915</v>
      </c>
      <c r="BX223" s="35">
        <f t="shared" si="777"/>
        <v>-0.245721959022869</v>
      </c>
      <c r="BY223" s="35">
        <f t="shared" si="777"/>
        <v>-0.22775080906148867</v>
      </c>
      <c r="BZ223" s="35">
        <f t="shared" si="777"/>
        <v>-0.22189128816083395</v>
      </c>
      <c r="CA223" s="35">
        <f t="shared" si="777"/>
        <v>-0.23990306946688206</v>
      </c>
      <c r="CB223" s="35">
        <f t="shared" si="777"/>
        <v>-0.22580513644081304</v>
      </c>
      <c r="CC223" s="35">
        <f t="shared" si="777"/>
        <v>-0.22696041368796718</v>
      </c>
      <c r="CD223" s="35">
        <f t="shared" si="777"/>
        <v>-0.22499150550074309</v>
      </c>
      <c r="CE223" s="35">
        <f t="shared" si="777"/>
        <v>-0.22492352850749311</v>
      </c>
      <c r="CF223" s="35">
        <f t="shared" si="777"/>
        <v>-0.22343987036131432</v>
      </c>
      <c r="CG223" s="233"/>
      <c r="CH223" s="3"/>
      <c r="CI223" s="3"/>
    </row>
    <row r="224" spans="1:87" ht="12.75" customHeight="1">
      <c r="A224" s="42" t="s">
        <v>110</v>
      </c>
      <c r="B224" s="235">
        <f t="shared" ref="B224:AU224" si="778">B212/B8</f>
        <v>-0.19647058823529412</v>
      </c>
      <c r="C224" s="235">
        <f t="shared" si="778"/>
        <v>-0.22820037105751392</v>
      </c>
      <c r="D224" s="235">
        <f t="shared" si="778"/>
        <v>-0.18891402714932126</v>
      </c>
      <c r="E224" s="235">
        <f t="shared" si="778"/>
        <v>-0.17517730496453901</v>
      </c>
      <c r="F224" s="235">
        <f t="shared" si="778"/>
        <v>-0.18994974874371859</v>
      </c>
      <c r="G224" s="235">
        <f t="shared" si="778"/>
        <v>-0.25763358778625955</v>
      </c>
      <c r="H224" s="235">
        <f t="shared" si="778"/>
        <v>-0.20889748549323017</v>
      </c>
      <c r="I224" s="235">
        <f t="shared" si="778"/>
        <v>-0.15869170199878863</v>
      </c>
      <c r="J224" s="235">
        <f t="shared" si="778"/>
        <v>-0.2262026612077789</v>
      </c>
      <c r="K224" s="235">
        <f t="shared" si="778"/>
        <v>-0.29327902240325865</v>
      </c>
      <c r="L224" s="235">
        <f t="shared" si="778"/>
        <v>-0.18888888888888888</v>
      </c>
      <c r="M224" s="235">
        <f t="shared" si="778"/>
        <v>-0.17512690355329949</v>
      </c>
      <c r="N224" s="235">
        <f t="shared" si="778"/>
        <v>-0.18365384615384617</v>
      </c>
      <c r="O224" s="235">
        <f t="shared" si="778"/>
        <v>-0.28282828282828282</v>
      </c>
      <c r="P224" s="235">
        <f t="shared" si="778"/>
        <v>-0.15192307692307691</v>
      </c>
      <c r="Q224" s="235">
        <f t="shared" si="778"/>
        <v>-0.1316793893129771</v>
      </c>
      <c r="R224" s="235">
        <f t="shared" si="778"/>
        <v>-0.16301969365426697</v>
      </c>
      <c r="S224" s="235">
        <f t="shared" si="778"/>
        <v>-0.16258064516129031</v>
      </c>
      <c r="T224" s="235">
        <f t="shared" si="778"/>
        <v>-0.13114754098360656</v>
      </c>
      <c r="U224" s="235">
        <f t="shared" si="778"/>
        <v>-0.10294117647058823</v>
      </c>
      <c r="V224" s="235">
        <f t="shared" si="778"/>
        <v>-0.16071428571428573</v>
      </c>
      <c r="W224" s="235">
        <f t="shared" si="778"/>
        <v>-0.17027417027417027</v>
      </c>
      <c r="X224" s="235">
        <f t="shared" si="778"/>
        <v>-0.13001745200698081</v>
      </c>
      <c r="Y224" s="235">
        <f t="shared" si="778"/>
        <v>-0.10260676650027732</v>
      </c>
      <c r="Z224" s="235">
        <f t="shared" si="778"/>
        <v>-0.15800865800865802</v>
      </c>
      <c r="AA224" s="235">
        <f t="shared" si="778"/>
        <v>-0.17741935483870969</v>
      </c>
      <c r="AB224" s="235">
        <f t="shared" si="778"/>
        <v>-0.12295081967213115</v>
      </c>
      <c r="AC224" s="235">
        <f t="shared" si="778"/>
        <v>-0.11207729468599034</v>
      </c>
      <c r="AD224" s="235">
        <f t="shared" si="778"/>
        <v>-0.14102564102564102</v>
      </c>
      <c r="AE224" s="235">
        <f t="shared" si="778"/>
        <v>-0.14709677419354839</v>
      </c>
      <c r="AF224" s="235">
        <f t="shared" si="778"/>
        <v>-0.12807463952502121</v>
      </c>
      <c r="AG224" s="235">
        <f t="shared" si="778"/>
        <v>-0.11263318112633181</v>
      </c>
      <c r="AH224" s="235">
        <f t="shared" si="778"/>
        <v>-9.7211155378486055E-2</v>
      </c>
      <c r="AI224" s="235">
        <f t="shared" si="778"/>
        <v>-0.17757009345794392</v>
      </c>
      <c r="AJ224" s="235">
        <f t="shared" si="778"/>
        <v>-0.11211129296235679</v>
      </c>
      <c r="AK224" s="235">
        <f t="shared" si="778"/>
        <v>-0.11124922311995028</v>
      </c>
      <c r="AL224" s="235">
        <f t="shared" si="778"/>
        <v>-0.16129032258064516</v>
      </c>
      <c r="AM224" s="235">
        <f t="shared" si="778"/>
        <v>-0.13171355498721227</v>
      </c>
      <c r="AN224" s="235">
        <f t="shared" si="778"/>
        <v>-0.10814927646610815</v>
      </c>
      <c r="AO224" s="235">
        <f t="shared" si="778"/>
        <v>-9.5002474022761005E-2</v>
      </c>
      <c r="AP224" s="235">
        <f t="shared" si="778"/>
        <v>-0.125</v>
      </c>
      <c r="AQ224" s="235">
        <f t="shared" si="778"/>
        <v>-7.9136690647482008E-2</v>
      </c>
      <c r="AR224" s="235">
        <f t="shared" si="778"/>
        <v>-0.15824175824175823</v>
      </c>
      <c r="AS224" s="235">
        <f t="shared" si="778"/>
        <v>-8.5416666666666669E-2</v>
      </c>
      <c r="AT224" s="235">
        <f t="shared" si="778"/>
        <v>-0.12348993288590604</v>
      </c>
      <c r="AU224" s="235">
        <f t="shared" si="778"/>
        <v>-0.13323353293413173</v>
      </c>
      <c r="AV224" s="235">
        <f t="shared" ref="AV224" si="779">AV212/AV8</f>
        <v>-0.11777417612101566</v>
      </c>
      <c r="AW224" s="236">
        <v>-0.11</v>
      </c>
      <c r="AX224" s="236">
        <f>AT224+0.5%</f>
        <v>-0.11848993288590604</v>
      </c>
      <c r="AY224" s="236">
        <f>AU224+0.5%</f>
        <v>-0.12823353293413173</v>
      </c>
      <c r="AZ224" s="236">
        <f>AV224+0.5%</f>
        <v>-0.11277417612101566</v>
      </c>
      <c r="BA224" s="236">
        <f>AW224</f>
        <v>-0.11</v>
      </c>
      <c r="BB224" s="236">
        <f>AX224</f>
        <v>-0.11848993288590604</v>
      </c>
      <c r="BC224" s="236">
        <f>AY224+0.75%</f>
        <v>-0.12073353293413172</v>
      </c>
      <c r="BD224" s="236">
        <f>AZ224+0.75%</f>
        <v>-0.10527417612101567</v>
      </c>
      <c r="BE224" s="236">
        <f>BA224+0.75%</f>
        <v>-0.10250000000000001</v>
      </c>
      <c r="BF224" s="236">
        <f>BB224+0.75%</f>
        <v>-0.11098993288590603</v>
      </c>
      <c r="BG224" s="236">
        <f>BC224+0.5%</f>
        <v>-0.11573353293413172</v>
      </c>
      <c r="BH224" s="236">
        <f>BD224+0.2%</f>
        <v>-0.10327417612101567</v>
      </c>
      <c r="BI224" s="236">
        <f>BE224</f>
        <v>-0.10250000000000001</v>
      </c>
      <c r="BJ224" s="236">
        <f>BF224+0.5%</f>
        <v>-0.10598993288590602</v>
      </c>
      <c r="BK224" s="236">
        <f>BG224+0.5%</f>
        <v>-0.11073353293413171</v>
      </c>
      <c r="BL224" s="236">
        <f>BH224+0.2%</f>
        <v>-0.10127417612101566</v>
      </c>
      <c r="BM224" s="236">
        <f>BI224</f>
        <v>-0.10250000000000001</v>
      </c>
      <c r="BN224" s="236">
        <f>BJ224+0.5%</f>
        <v>-0.10098993288590602</v>
      </c>
      <c r="BO224" s="237"/>
      <c r="BP224" s="160" t="s">
        <v>17</v>
      </c>
      <c r="BQ224" s="160">
        <f t="shared" ref="BQ224:CF224" si="780">BQ212/BQ8</f>
        <v>-0.18965517241379309</v>
      </c>
      <c r="BR224" s="160">
        <f t="shared" si="780"/>
        <v>-0.19923554706163402</v>
      </c>
      <c r="BS224" s="160">
        <f t="shared" si="780"/>
        <v>-0.19667809122066965</v>
      </c>
      <c r="BT224" s="160">
        <f t="shared" si="780"/>
        <v>-0.16264610793334991</v>
      </c>
      <c r="BU224" s="160">
        <f t="shared" si="780"/>
        <v>-0.13359573975457281</v>
      </c>
      <c r="BV224" s="160">
        <f t="shared" si="780"/>
        <v>-0.13096802452912834</v>
      </c>
      <c r="BW224" s="160">
        <f t="shared" si="780"/>
        <v>-0.12990692027519224</v>
      </c>
      <c r="BX224" s="160">
        <f t="shared" si="780"/>
        <v>-0.11756756756756757</v>
      </c>
      <c r="BY224" s="160">
        <f t="shared" si="780"/>
        <v>-0.13531553398058252</v>
      </c>
      <c r="BZ224" s="160">
        <f t="shared" si="780"/>
        <v>-0.11057334326135518</v>
      </c>
      <c r="CA224" s="160">
        <f t="shared" si="780"/>
        <v>-0.10387722132471729</v>
      </c>
      <c r="CB224" s="160">
        <f t="shared" si="780"/>
        <v>-0.11796173022885691</v>
      </c>
      <c r="CC224" s="160">
        <f t="shared" si="780"/>
        <v>-0.11591268951825009</v>
      </c>
      <c r="CD224" s="160">
        <f t="shared" si="780"/>
        <v>-0.10835609967695591</v>
      </c>
      <c r="CE224" s="160">
        <f t="shared" si="780"/>
        <v>-0.10574368282243476</v>
      </c>
      <c r="CF224" s="160">
        <f t="shared" si="780"/>
        <v>-0.10338662026730684</v>
      </c>
    </row>
    <row r="225" spans="1:87" ht="12.75" customHeight="1">
      <c r="A225" s="42" t="s">
        <v>115</v>
      </c>
      <c r="B225" s="235">
        <f t="shared" ref="B225:AU225" si="781">B213/B8</f>
        <v>-8.2352941176470587E-2</v>
      </c>
      <c r="C225" s="235">
        <f t="shared" si="781"/>
        <v>-0.11502782931354361</v>
      </c>
      <c r="D225" s="235">
        <f t="shared" si="781"/>
        <v>-7.5791855203619904E-2</v>
      </c>
      <c r="E225" s="235">
        <f t="shared" si="781"/>
        <v>-4.6099290780141841E-2</v>
      </c>
      <c r="F225" s="235">
        <f t="shared" si="781"/>
        <v>-6.733668341708543E-2</v>
      </c>
      <c r="G225" s="235">
        <f t="shared" si="781"/>
        <v>-0.12404580152671756</v>
      </c>
      <c r="H225" s="235">
        <f t="shared" si="781"/>
        <v>-7.6402321083172145E-2</v>
      </c>
      <c r="I225" s="235">
        <f t="shared" si="781"/>
        <v>-5.2695336159903086E-2</v>
      </c>
      <c r="J225" s="235">
        <f t="shared" si="781"/>
        <v>-8.4953940634595701E-2</v>
      </c>
      <c r="K225" s="235">
        <f t="shared" si="781"/>
        <v>-0.16089613034623218</v>
      </c>
      <c r="L225" s="235">
        <f t="shared" si="781"/>
        <v>-8.3333333333333329E-2</v>
      </c>
      <c r="M225" s="235">
        <f t="shared" si="781"/>
        <v>-5.1607445008460234E-2</v>
      </c>
      <c r="N225" s="235">
        <f t="shared" si="781"/>
        <v>-8.0769230769230774E-2</v>
      </c>
      <c r="O225" s="235">
        <f t="shared" si="781"/>
        <v>-0.1595959595959596</v>
      </c>
      <c r="P225" s="235">
        <f t="shared" si="781"/>
        <v>-7.7884615384615385E-2</v>
      </c>
      <c r="Q225" s="235">
        <f t="shared" si="781"/>
        <v>-5.2798982188295165E-2</v>
      </c>
      <c r="R225" s="235">
        <f t="shared" si="781"/>
        <v>-9.5185995623632391E-2</v>
      </c>
      <c r="S225" s="235">
        <f t="shared" si="781"/>
        <v>-0.10838709677419354</v>
      </c>
      <c r="T225" s="235">
        <f t="shared" si="781"/>
        <v>-7.0491803278688522E-2</v>
      </c>
      <c r="U225" s="235">
        <f t="shared" si="781"/>
        <v>-7.0728291316526609E-2</v>
      </c>
      <c r="V225" s="235">
        <f t="shared" si="781"/>
        <v>-0.10491071428571429</v>
      </c>
      <c r="W225" s="235">
        <f t="shared" si="781"/>
        <v>-0.12121212121212122</v>
      </c>
      <c r="X225" s="235">
        <f t="shared" si="781"/>
        <v>-7.8534031413612565E-2</v>
      </c>
      <c r="Y225" s="235">
        <f t="shared" si="781"/>
        <v>-4.7698280643372157E-2</v>
      </c>
      <c r="Z225" s="235">
        <f t="shared" si="781"/>
        <v>-0.10497835497835498</v>
      </c>
      <c r="AA225" s="235">
        <f t="shared" si="781"/>
        <v>-0.13929618768328444</v>
      </c>
      <c r="AB225" s="235">
        <f t="shared" si="781"/>
        <v>-9.0163934426229511E-2</v>
      </c>
      <c r="AC225" s="235">
        <f t="shared" si="781"/>
        <v>-4.6859903381642511E-2</v>
      </c>
      <c r="AD225" s="235">
        <f t="shared" si="781"/>
        <v>-8.6996336996336993E-2</v>
      </c>
      <c r="AE225" s="235">
        <f t="shared" si="781"/>
        <v>-0.12</v>
      </c>
      <c r="AF225" s="235">
        <f t="shared" si="781"/>
        <v>-8.6513994910941472E-2</v>
      </c>
      <c r="AG225" s="235">
        <f t="shared" si="781"/>
        <v>-5.2257737189244036E-2</v>
      </c>
      <c r="AH225" s="235">
        <f t="shared" si="781"/>
        <v>-8.7649402390438252E-2</v>
      </c>
      <c r="AI225" s="235">
        <f t="shared" si="781"/>
        <v>-0.1321762349799733</v>
      </c>
      <c r="AJ225" s="235">
        <f t="shared" si="781"/>
        <v>-8.1833060556464818E-2</v>
      </c>
      <c r="AK225" s="235">
        <f t="shared" si="781"/>
        <v>-5.531385954008701E-2</v>
      </c>
      <c r="AL225" s="235">
        <f t="shared" si="781"/>
        <v>-7.9912023460410556E-2</v>
      </c>
      <c r="AM225" s="235">
        <f t="shared" si="781"/>
        <v>-0.12020460358056266</v>
      </c>
      <c r="AN225" s="235">
        <f t="shared" si="781"/>
        <v>-8.225437928408226E-2</v>
      </c>
      <c r="AO225" s="235">
        <f t="shared" si="781"/>
        <v>-5.2449282533399311E-2</v>
      </c>
      <c r="AP225" s="235">
        <f t="shared" si="781"/>
        <v>-9.6337579617834401E-2</v>
      </c>
      <c r="AQ225" s="235">
        <f t="shared" si="781"/>
        <v>-8.0575539568345317E-2</v>
      </c>
      <c r="AR225" s="235">
        <f t="shared" si="781"/>
        <v>-0.11868131868131868</v>
      </c>
      <c r="AS225" s="235">
        <f t="shared" si="781"/>
        <v>-5.1666666666666666E-2</v>
      </c>
      <c r="AT225" s="235">
        <f t="shared" si="781"/>
        <v>-0.1</v>
      </c>
      <c r="AU225" s="235">
        <f t="shared" si="781"/>
        <v>-0.1062874251497006</v>
      </c>
      <c r="AV225" s="235">
        <f t="shared" ref="AV225" si="782">AV213/AV8</f>
        <v>-7.833603457590492E-2</v>
      </c>
      <c r="AW225" s="236">
        <v>-0.08</v>
      </c>
      <c r="AX225" s="236">
        <v>-9.5000000000000001E-2</v>
      </c>
      <c r="AY225" s="236">
        <f>AU225+0.005</f>
        <v>-0.1012874251497006</v>
      </c>
      <c r="AZ225" s="236">
        <f>AV225+0.005</f>
        <v>-7.3336034575904915E-2</v>
      </c>
      <c r="BA225" s="236">
        <f>AW225</f>
        <v>-0.08</v>
      </c>
      <c r="BB225" s="236">
        <f>AX225</f>
        <v>-9.5000000000000001E-2</v>
      </c>
      <c r="BC225" s="236">
        <f>AY225+0.5%</f>
        <v>-9.6287425149700595E-2</v>
      </c>
      <c r="BD225" s="236">
        <f>AZ225</f>
        <v>-7.3336034575904915E-2</v>
      </c>
      <c r="BE225" s="236">
        <f>BA225+0.5%</f>
        <v>-7.4999999999999997E-2</v>
      </c>
      <c r="BF225" s="236">
        <f t="shared" ref="BF225" si="783">BB225+0.5%</f>
        <v>-0.09</v>
      </c>
      <c r="BG225" s="236">
        <f t="shared" ref="BG225" si="784">BC225+0.5%</f>
        <v>-9.1287425149700591E-2</v>
      </c>
      <c r="BH225" s="236">
        <f t="shared" ref="BH225:BJ225" si="785">BD225+0.0025</f>
        <v>-7.0836034575904913E-2</v>
      </c>
      <c r="BI225" s="236">
        <f t="shared" si="785"/>
        <v>-7.2499999999999995E-2</v>
      </c>
      <c r="BJ225" s="236">
        <f t="shared" si="785"/>
        <v>-8.7499999999999994E-2</v>
      </c>
      <c r="BK225" s="236">
        <f>BG225+0.0025</f>
        <v>-8.8787425149700588E-2</v>
      </c>
      <c r="BL225" s="236">
        <f>BH225+0.0025</f>
        <v>-6.8336034575904911E-2</v>
      </c>
      <c r="BM225" s="236">
        <f>BI225+0.0025</f>
        <v>-6.9999999999999993E-2</v>
      </c>
      <c r="BN225" s="236">
        <f>BJ225+0.0025</f>
        <v>-8.4999999999999992E-2</v>
      </c>
      <c r="BO225" s="237"/>
      <c r="BP225" s="160" t="s">
        <v>17</v>
      </c>
      <c r="BQ225" s="160">
        <f t="shared" ref="BQ225:BX225" si="786">BQ213/BQ8</f>
        <v>-6.8181818181818177E-2</v>
      </c>
      <c r="BR225" s="160">
        <f t="shared" si="786"/>
        <v>-7.5011944577161968E-2</v>
      </c>
      <c r="BS225" s="160">
        <f t="shared" si="786"/>
        <v>-8.2784075929343531E-2</v>
      </c>
      <c r="BT225" s="160">
        <f t="shared" si="786"/>
        <v>-8.2069137030589406E-2</v>
      </c>
      <c r="BU225" s="160">
        <f t="shared" si="786"/>
        <v>-8.4510303310951607E-2</v>
      </c>
      <c r="BV225" s="160">
        <f t="shared" si="786"/>
        <v>-7.8186596583442833E-2</v>
      </c>
      <c r="BW225" s="160">
        <f t="shared" si="786"/>
        <v>-7.8106029947389716E-2</v>
      </c>
      <c r="BX225" s="160">
        <f t="shared" si="786"/>
        <v>-7.8764478764478771E-2</v>
      </c>
      <c r="BY225" s="160">
        <f>BY213/BX8</f>
        <v>-7.6640926640926643E-2</v>
      </c>
      <c r="BZ225" s="160">
        <f t="shared" ref="BZ225:CF225" si="787">BZ213/BZ8</f>
        <v>-7.985852568875651E-2</v>
      </c>
      <c r="CA225" s="160">
        <f t="shared" si="787"/>
        <v>-7.9644588045234249E-2</v>
      </c>
      <c r="CB225" s="160">
        <f t="shared" si="787"/>
        <v>-8.7738013598773437E-2</v>
      </c>
      <c r="CC225" s="160">
        <f t="shared" si="787"/>
        <v>-8.5591305200953302E-2</v>
      </c>
      <c r="CD225" s="160">
        <f t="shared" si="787"/>
        <v>-8.1745571969425543E-2</v>
      </c>
      <c r="CE225" s="160">
        <f t="shared" si="787"/>
        <v>-7.84701585204262E-2</v>
      </c>
      <c r="CF225" s="160">
        <f t="shared" si="787"/>
        <v>-7.6334576602252777E-2</v>
      </c>
    </row>
    <row r="226" spans="1:87">
      <c r="A226" s="42" t="s">
        <v>111</v>
      </c>
      <c r="B226" s="235">
        <f t="shared" ref="B226:AU226" si="788">B214/B8</f>
        <v>-0.33294117647058824</v>
      </c>
      <c r="C226" s="235">
        <f t="shared" si="788"/>
        <v>-0.45454545454545453</v>
      </c>
      <c r="D226" s="235">
        <f t="shared" si="788"/>
        <v>-0.28280542986425339</v>
      </c>
      <c r="E226" s="235">
        <f t="shared" si="788"/>
        <v>-0.17304964539007092</v>
      </c>
      <c r="F226" s="235">
        <f t="shared" si="788"/>
        <v>-0.30452261306532663</v>
      </c>
      <c r="G226" s="235">
        <f t="shared" si="788"/>
        <v>-0.5</v>
      </c>
      <c r="H226" s="235">
        <f t="shared" si="788"/>
        <v>-0.28046421663442939</v>
      </c>
      <c r="I226" s="235">
        <f t="shared" si="788"/>
        <v>-0.17867958812840704</v>
      </c>
      <c r="J226" s="235">
        <f t="shared" si="788"/>
        <v>-0.25588536335721596</v>
      </c>
      <c r="K226" s="235">
        <f t="shared" si="788"/>
        <v>-0.52953156822810588</v>
      </c>
      <c r="L226" s="235">
        <f t="shared" si="788"/>
        <v>-0.26574074074074072</v>
      </c>
      <c r="M226" s="235">
        <f t="shared" si="788"/>
        <v>-0.22081218274111675</v>
      </c>
      <c r="N226" s="235">
        <f t="shared" si="788"/>
        <v>-0.25480769230769229</v>
      </c>
      <c r="O226" s="235">
        <f t="shared" si="788"/>
        <v>-0.52121212121212124</v>
      </c>
      <c r="P226" s="235">
        <f t="shared" si="788"/>
        <v>-0.25</v>
      </c>
      <c r="Q226" s="235">
        <f t="shared" si="788"/>
        <v>-0.15903307888040713</v>
      </c>
      <c r="R226" s="235">
        <f t="shared" si="788"/>
        <v>-0.2921225382932166</v>
      </c>
      <c r="S226" s="235">
        <f t="shared" si="788"/>
        <v>-0.32129032258064516</v>
      </c>
      <c r="T226" s="235">
        <f t="shared" si="788"/>
        <v>-0.20573770491803278</v>
      </c>
      <c r="U226" s="235">
        <f t="shared" si="788"/>
        <v>-0.19117647058823528</v>
      </c>
      <c r="V226" s="235">
        <f t="shared" si="788"/>
        <v>-0.30691964285714285</v>
      </c>
      <c r="W226" s="235">
        <f t="shared" si="788"/>
        <v>-0.38961038961038963</v>
      </c>
      <c r="X226" s="235">
        <f t="shared" si="788"/>
        <v>-0.20942408376963351</v>
      </c>
      <c r="Y226" s="235">
        <f t="shared" si="788"/>
        <v>-0.13311148086522462</v>
      </c>
      <c r="Z226" s="235">
        <f t="shared" si="788"/>
        <v>-0.27705627705627706</v>
      </c>
      <c r="AA226" s="235">
        <f t="shared" si="788"/>
        <v>-0.39149560117302051</v>
      </c>
      <c r="AB226" s="235">
        <f t="shared" si="788"/>
        <v>-0.24043715846994534</v>
      </c>
      <c r="AC226" s="235">
        <f t="shared" si="788"/>
        <v>-0.1246376811594203</v>
      </c>
      <c r="AD226" s="235">
        <f t="shared" si="788"/>
        <v>-0.28113553113553114</v>
      </c>
      <c r="AE226" s="235">
        <f t="shared" si="788"/>
        <v>-0.38322580645161292</v>
      </c>
      <c r="AF226" s="235">
        <f t="shared" si="788"/>
        <v>-0.25021204410517389</v>
      </c>
      <c r="AG226" s="235">
        <f t="shared" si="788"/>
        <v>-0.14764079147640791</v>
      </c>
      <c r="AH226" s="235">
        <f t="shared" si="788"/>
        <v>-0.23187250996015937</v>
      </c>
      <c r="AI226" s="235">
        <f t="shared" si="788"/>
        <v>-0.42056074766355139</v>
      </c>
      <c r="AJ226" s="235">
        <f t="shared" si="788"/>
        <v>-0.24549918166939444</v>
      </c>
      <c r="AK226" s="235">
        <f t="shared" si="788"/>
        <v>-0.17712865133623368</v>
      </c>
      <c r="AL226" s="235">
        <f t="shared" si="788"/>
        <v>-0.25586510263929618</v>
      </c>
      <c r="AM226" s="235">
        <f t="shared" si="788"/>
        <v>-0.42455242966751916</v>
      </c>
      <c r="AN226" s="235">
        <f t="shared" si="788"/>
        <v>-0.24828636709824828</v>
      </c>
      <c r="AO226" s="235">
        <f t="shared" si="788"/>
        <v>-0.16279069767441862</v>
      </c>
      <c r="AP226" s="235">
        <f t="shared" si="788"/>
        <v>-0.27308917197452232</v>
      </c>
      <c r="AQ226" s="235">
        <f t="shared" si="788"/>
        <v>-0.26762589928057556</v>
      </c>
      <c r="AR226" s="235">
        <f t="shared" si="788"/>
        <v>-0.3813186813186813</v>
      </c>
      <c r="AS226" s="235">
        <f t="shared" si="788"/>
        <v>-0.15708333333333332</v>
      </c>
      <c r="AT226" s="235">
        <f t="shared" si="788"/>
        <v>-0.26644295302013421</v>
      </c>
      <c r="AU226" s="235">
        <f t="shared" si="788"/>
        <v>-0.32185628742514971</v>
      </c>
      <c r="AV226" s="235">
        <f t="shared" ref="AV226" si="789">AV214/AV8</f>
        <v>-0.2441923284710967</v>
      </c>
      <c r="AW226" s="236">
        <v>-0.16</v>
      </c>
      <c r="AX226" s="236">
        <v>-0.28999999999999998</v>
      </c>
      <c r="AY226" s="236">
        <f>AU226+0.02</f>
        <v>-0.30185628742514969</v>
      </c>
      <c r="AZ226" s="236">
        <f>AV226-0.015</f>
        <v>-0.25919232847109669</v>
      </c>
      <c r="BA226" s="236">
        <f>AW226-0.015</f>
        <v>-0.17499999999999999</v>
      </c>
      <c r="BB226" s="236">
        <f>AX226-0.01</f>
        <v>-0.3</v>
      </c>
      <c r="BC226" s="236">
        <f>AY226+0.005</f>
        <v>-0.29685628742514969</v>
      </c>
      <c r="BD226" s="236">
        <f>AZ226</f>
        <v>-0.25919232847109669</v>
      </c>
      <c r="BE226" s="236">
        <f>BA226</f>
        <v>-0.17499999999999999</v>
      </c>
      <c r="BF226" s="236">
        <f t="shared" ref="BF226" si="790">BB226+0.005</f>
        <v>-0.29499999999999998</v>
      </c>
      <c r="BG226" s="236">
        <f>BC226+0.005</f>
        <v>-0.29185628742514969</v>
      </c>
      <c r="BH226" s="236">
        <f>BD226+0.0025</f>
        <v>-0.25669232847109669</v>
      </c>
      <c r="BI226" s="236">
        <f>BE226</f>
        <v>-0.17499999999999999</v>
      </c>
      <c r="BJ226" s="236">
        <f>BF226+0.0025</f>
        <v>-0.29249999999999998</v>
      </c>
      <c r="BK226" s="236">
        <f>BG226+0.005</f>
        <v>-0.28685628742514968</v>
      </c>
      <c r="BL226" s="236">
        <f>BH226+0.0025</f>
        <v>-0.25419232847109668</v>
      </c>
      <c r="BM226" s="236">
        <f>BI226</f>
        <v>-0.17499999999999999</v>
      </c>
      <c r="BN226" s="236">
        <f>BJ226+0.0025</f>
        <v>-0.28999999999999998</v>
      </c>
      <c r="BO226" s="237"/>
      <c r="BP226" s="160" t="s">
        <v>17</v>
      </c>
      <c r="BQ226" s="160">
        <f t="shared" ref="BQ226:CF226" si="791">BQ214/BQ8</f>
        <v>-0.2722048066875653</v>
      </c>
      <c r="BR226" s="160">
        <f t="shared" si="791"/>
        <v>-0.26206402293358816</v>
      </c>
      <c r="BS226" s="160">
        <f t="shared" si="791"/>
        <v>-0.28288953335090955</v>
      </c>
      <c r="BT226" s="160">
        <f t="shared" si="791"/>
        <v>-0.25739865705048498</v>
      </c>
      <c r="BU226" s="160">
        <f t="shared" si="791"/>
        <v>-0.24264876128733504</v>
      </c>
      <c r="BV226" s="160">
        <f t="shared" si="791"/>
        <v>-0.22032413491020586</v>
      </c>
      <c r="BW226" s="160">
        <f t="shared" si="791"/>
        <v>-0.22177256171590448</v>
      </c>
      <c r="BX226" s="160">
        <f t="shared" si="791"/>
        <v>-0.22664092664092664</v>
      </c>
      <c r="BY226" s="160">
        <f t="shared" si="791"/>
        <v>-0.25262944983818769</v>
      </c>
      <c r="BZ226" s="160">
        <f t="shared" si="791"/>
        <v>-0.24758004467609829</v>
      </c>
      <c r="CA226" s="160">
        <f t="shared" si="791"/>
        <v>-0.24119547657512116</v>
      </c>
      <c r="CB226" s="160">
        <f t="shared" si="791"/>
        <v>-0.23945110488906407</v>
      </c>
      <c r="CC226" s="160">
        <f t="shared" si="791"/>
        <v>-0.24587044343767966</v>
      </c>
      <c r="CD226" s="160">
        <f t="shared" si="791"/>
        <v>-0.24384455888749951</v>
      </c>
      <c r="CE226" s="160">
        <f t="shared" si="791"/>
        <v>-0.24195382229167051</v>
      </c>
      <c r="CF226" s="160">
        <f t="shared" si="791"/>
        <v>-0.23995989269504744</v>
      </c>
      <c r="CH226" s="77"/>
      <c r="CI226" s="77"/>
    </row>
    <row r="227" spans="1:87" s="200" customFormat="1">
      <c r="A227" s="42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40"/>
      <c r="BP227" s="35"/>
      <c r="BQ227" s="35"/>
      <c r="BR227" s="35"/>
      <c r="BS227" s="35"/>
      <c r="BT227" s="35"/>
      <c r="BU227" s="35"/>
      <c r="BV227" s="35"/>
      <c r="BW227" s="35"/>
      <c r="BX227" s="35"/>
      <c r="BY227" s="35"/>
      <c r="BZ227" s="35"/>
      <c r="CA227" s="35"/>
      <c r="CB227" s="35"/>
      <c r="CC227" s="35"/>
      <c r="CD227" s="35"/>
      <c r="CE227" s="35"/>
      <c r="CF227" s="35"/>
      <c r="CG227" s="77"/>
      <c r="CH227" s="77"/>
      <c r="CI227" s="77"/>
    </row>
    <row r="228" spans="1:87" s="200" customFormat="1">
      <c r="A228" s="11" t="s">
        <v>290</v>
      </c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40"/>
      <c r="BP228" s="35"/>
      <c r="BQ228" s="35"/>
      <c r="BR228" s="35"/>
      <c r="BS228" s="35"/>
      <c r="BT228" s="35"/>
      <c r="BU228" s="35"/>
      <c r="BV228" s="35"/>
      <c r="BW228" s="35"/>
      <c r="BX228" s="35"/>
      <c r="BY228" s="35"/>
      <c r="BZ228" s="35"/>
      <c r="CA228" s="35"/>
      <c r="CB228" s="35"/>
      <c r="CC228" s="35"/>
      <c r="CD228" s="35"/>
      <c r="CE228" s="35"/>
      <c r="CF228" s="35"/>
      <c r="CG228" s="77"/>
      <c r="CH228" s="3"/>
      <c r="CI228" s="3"/>
    </row>
    <row r="229" spans="1:87" ht="12.75" customHeight="1">
      <c r="A229" s="42" t="s">
        <v>110</v>
      </c>
      <c r="B229" s="235" t="s">
        <v>17</v>
      </c>
      <c r="C229" s="235" t="s">
        <v>17</v>
      </c>
      <c r="D229" s="235" t="s">
        <v>17</v>
      </c>
      <c r="E229" s="235" t="s">
        <v>17</v>
      </c>
      <c r="F229" s="235">
        <f t="shared" ref="F229:O232" si="792">IF(AND(B212&lt;0,F212&gt;0),"n/a",F212/B212-1)</f>
        <v>0.13173652694610771</v>
      </c>
      <c r="G229" s="235">
        <f t="shared" si="792"/>
        <v>9.7560975609756184E-2</v>
      </c>
      <c r="H229" s="235">
        <f t="shared" si="792"/>
        <v>0.29341317365269459</v>
      </c>
      <c r="I229" s="235">
        <f t="shared" si="792"/>
        <v>6.0728744939271273E-2</v>
      </c>
      <c r="J229" s="235">
        <f t="shared" si="792"/>
        <v>0.1693121693121693</v>
      </c>
      <c r="K229" s="235">
        <f t="shared" si="792"/>
        <v>6.6666666666666652E-2</v>
      </c>
      <c r="L229" s="235">
        <f t="shared" si="792"/>
        <v>-5.555555555555558E-2</v>
      </c>
      <c r="M229" s="235">
        <f t="shared" si="792"/>
        <v>-0.20992366412213737</v>
      </c>
      <c r="N229" s="235">
        <f t="shared" si="792"/>
        <v>-0.13574660633484159</v>
      </c>
      <c r="O229" s="235">
        <f t="shared" si="792"/>
        <v>-2.777777777777779E-2</v>
      </c>
      <c r="P229" s="235">
        <f t="shared" ref="P229:Y232" si="793">IF(AND(L212&lt;0,P212&gt;0),"n/a",P212/L212-1)</f>
        <v>-0.22549019607843135</v>
      </c>
      <c r="Q229" s="235">
        <f t="shared" si="793"/>
        <v>0</v>
      </c>
      <c r="R229" s="235">
        <f t="shared" si="793"/>
        <v>-0.21989528795811519</v>
      </c>
      <c r="S229" s="235">
        <f t="shared" si="793"/>
        <v>-9.9999999999999978E-2</v>
      </c>
      <c r="T229" s="235">
        <f t="shared" si="793"/>
        <v>1.2658227848101333E-2</v>
      </c>
      <c r="U229" s="235">
        <f t="shared" si="793"/>
        <v>-0.28985507246376807</v>
      </c>
      <c r="V229" s="235">
        <f t="shared" si="793"/>
        <v>-3.3557046979865723E-2</v>
      </c>
      <c r="W229" s="235">
        <f t="shared" si="793"/>
        <v>-6.3492063492063489E-2</v>
      </c>
      <c r="X229" s="235">
        <f t="shared" si="793"/>
        <v>-6.8749999999999978E-2</v>
      </c>
      <c r="Y229" s="235">
        <f t="shared" si="793"/>
        <v>0.25850340136054428</v>
      </c>
      <c r="Z229" s="235">
        <f t="shared" ref="Z229:AI232" si="794">IF(AND(V212&lt;0,Z212&gt;0),"n/a",Z212/V212-1)</f>
        <v>1.388888888888884E-2</v>
      </c>
      <c r="AA229" s="235">
        <f t="shared" si="794"/>
        <v>2.5423728813559254E-2</v>
      </c>
      <c r="AB229" s="235">
        <f t="shared" si="794"/>
        <v>-9.3959731543624136E-2</v>
      </c>
      <c r="AC229" s="235">
        <f t="shared" si="794"/>
        <v>0.25405405405405412</v>
      </c>
      <c r="AD229" s="235">
        <f t="shared" si="794"/>
        <v>5.4794520547945202E-2</v>
      </c>
      <c r="AE229" s="235">
        <f t="shared" si="794"/>
        <v>-5.7851239669421517E-2</v>
      </c>
      <c r="AF229" s="235">
        <f t="shared" si="794"/>
        <v>0.11851851851851847</v>
      </c>
      <c r="AG229" s="235">
        <f t="shared" si="794"/>
        <v>-4.31034482758621E-2</v>
      </c>
      <c r="AH229" s="235">
        <f t="shared" si="794"/>
        <v>-0.20779220779220775</v>
      </c>
      <c r="AI229" s="235">
        <f t="shared" si="794"/>
        <v>0.16666666666666674</v>
      </c>
      <c r="AJ229" s="235">
        <f t="shared" ref="AJ229:AS232" si="795">IF(AND(AF212&lt;0,AJ212&gt;0),"n/a",AJ212/AF212-1)</f>
        <v>-9.27152317880795E-2</v>
      </c>
      <c r="AK229" s="235">
        <f t="shared" si="795"/>
        <v>-0.19369369369369371</v>
      </c>
      <c r="AL229" s="235">
        <f t="shared" si="795"/>
        <v>0.80327868852459017</v>
      </c>
      <c r="AM229" s="235">
        <f t="shared" si="795"/>
        <v>-0.22556390977443608</v>
      </c>
      <c r="AN229" s="235">
        <f t="shared" si="795"/>
        <v>3.649635036496357E-2</v>
      </c>
      <c r="AO229" s="235">
        <f t="shared" si="795"/>
        <v>7.2625698324022325E-2</v>
      </c>
      <c r="AP229" s="235">
        <f t="shared" si="795"/>
        <v>-0.28636363636363638</v>
      </c>
      <c r="AQ229" s="235">
        <f t="shared" si="795"/>
        <v>6.7961165048543659E-2</v>
      </c>
      <c r="AR229" s="235">
        <f t="shared" si="795"/>
        <v>1.4084507042253502E-2</v>
      </c>
      <c r="AS229" s="235">
        <f t="shared" si="795"/>
        <v>6.7708333333333259E-2</v>
      </c>
      <c r="AT229" s="235">
        <f t="shared" ref="AT229:BC232" si="796">IF(AND(AP212&lt;0,AT212&gt;0),"n/a",AT212/AP212-1)</f>
        <v>0.17197452229299359</v>
      </c>
      <c r="AU229" s="235">
        <f t="shared" si="796"/>
        <v>0.61818181818181817</v>
      </c>
      <c r="AV229" s="235">
        <f t="shared" si="796"/>
        <v>0.51388888888888884</v>
      </c>
      <c r="AW229" s="235">
        <f t="shared" si="796"/>
        <v>0.41558094512195143</v>
      </c>
      <c r="AX229" s="235">
        <f t="shared" si="796"/>
        <v>0.15589022423037613</v>
      </c>
      <c r="AY229" s="235">
        <f t="shared" si="796"/>
        <v>9.223933797800421E-2</v>
      </c>
      <c r="AZ229" s="235">
        <f t="shared" si="796"/>
        <v>7.2453257665521242E-3</v>
      </c>
      <c r="BA229" s="235">
        <f t="shared" si="796"/>
        <v>8.9014866522704184E-2</v>
      </c>
      <c r="BB229" s="235">
        <f t="shared" si="796"/>
        <v>-4.500234407317194E-2</v>
      </c>
      <c r="BC229" s="235">
        <f t="shared" si="796"/>
        <v>-5.1923133503728125E-2</v>
      </c>
      <c r="BD229" s="235">
        <f t="shared" ref="BD229:BM232" si="797">IF(AND(AZ212&lt;0,BD212&gt;0),"n/a",BD212/AZ212-1)</f>
        <v>-2.6502874754852357E-2</v>
      </c>
      <c r="BE229" s="235">
        <f t="shared" si="797"/>
        <v>-3.6419419140554909E-2</v>
      </c>
      <c r="BF229" s="235">
        <f t="shared" si="797"/>
        <v>-1.2626351889180376E-2</v>
      </c>
      <c r="BG229" s="235">
        <f t="shared" si="797"/>
        <v>1.0214600145778796E-2</v>
      </c>
      <c r="BH229" s="235">
        <f t="shared" si="797"/>
        <v>0.20053556935355465</v>
      </c>
      <c r="BI229" s="235">
        <f t="shared" si="797"/>
        <v>8.0678877440497843E-2</v>
      </c>
      <c r="BJ229" s="235">
        <f t="shared" si="797"/>
        <v>2.5165407927805417E-2</v>
      </c>
      <c r="BK229" s="235">
        <f t="shared" si="797"/>
        <v>2.1155825526660177E-2</v>
      </c>
      <c r="BL229" s="235">
        <f t="shared" si="797"/>
        <v>-0.10598796483768547</v>
      </c>
      <c r="BM229" s="235">
        <f t="shared" si="797"/>
        <v>3.0837191511926099E-2</v>
      </c>
      <c r="BN229" s="235">
        <f t="shared" ref="BN229:BN232" si="798">IF(AND(BJ212&lt;0,BN212&gt;0),"n/a",BN212/BJ212-1)</f>
        <v>3.4202122291191461E-3</v>
      </c>
      <c r="BO229" s="160"/>
      <c r="BP229" s="160" t="s">
        <v>17</v>
      </c>
      <c r="BQ229" s="160">
        <f t="shared" ref="BQ229:CF229" si="799">IF(AND(BP212&lt;0,BQ212&gt;0),"n/a",BQ212/BP212-1)</f>
        <v>1.6806722689075571E-2</v>
      </c>
      <c r="BR229" s="160">
        <f t="shared" si="799"/>
        <v>0.14876033057851235</v>
      </c>
      <c r="BS229" s="160">
        <f t="shared" si="799"/>
        <v>-0.10551558752997603</v>
      </c>
      <c r="BT229" s="160">
        <f t="shared" si="799"/>
        <v>-0.12332439678284179</v>
      </c>
      <c r="BU229" s="160">
        <f t="shared" si="799"/>
        <v>-0.11773700305810397</v>
      </c>
      <c r="BV229" s="160">
        <f t="shared" si="799"/>
        <v>3.6395147313691423E-2</v>
      </c>
      <c r="BW229" s="160">
        <f t="shared" si="799"/>
        <v>7.3578595317725703E-2</v>
      </c>
      <c r="BX229" s="160">
        <f t="shared" si="799"/>
        <v>-5.1401869158878455E-2</v>
      </c>
      <c r="BY229" s="160">
        <f t="shared" si="799"/>
        <v>9.8522167487684831E-2</v>
      </c>
      <c r="BZ229" s="160">
        <f t="shared" si="799"/>
        <v>-0.11210762331838564</v>
      </c>
      <c r="CA229" s="160">
        <f t="shared" si="799"/>
        <v>8.2491582491582394E-2</v>
      </c>
      <c r="CB229" s="160">
        <f t="shared" si="799"/>
        <v>0.39794384915768166</v>
      </c>
      <c r="CC229" s="160">
        <f t="shared" si="799"/>
        <v>3.8112409132818437E-2</v>
      </c>
      <c r="CD229" s="160">
        <f t="shared" si="799"/>
        <v>-3.2137162269189723E-2</v>
      </c>
      <c r="CE229" s="160">
        <f t="shared" si="799"/>
        <v>8.2338860917672951E-2</v>
      </c>
      <c r="CF229" s="160">
        <f t="shared" si="799"/>
        <v>-1.2694218610381336E-2</v>
      </c>
    </row>
    <row r="230" spans="1:87">
      <c r="A230" s="42" t="s">
        <v>115</v>
      </c>
      <c r="B230" s="235" t="s">
        <v>17</v>
      </c>
      <c r="C230" s="235" t="s">
        <v>17</v>
      </c>
      <c r="D230" s="235" t="s">
        <v>17</v>
      </c>
      <c r="E230" s="235" t="s">
        <v>17</v>
      </c>
      <c r="F230" s="235">
        <f t="shared" si="792"/>
        <v>-4.2857142857142816E-2</v>
      </c>
      <c r="G230" s="235">
        <f t="shared" si="792"/>
        <v>4.8387096774193505E-2</v>
      </c>
      <c r="H230" s="235">
        <f t="shared" si="792"/>
        <v>0.17910447761194037</v>
      </c>
      <c r="I230" s="235">
        <f t="shared" si="792"/>
        <v>0.33846153846153837</v>
      </c>
      <c r="J230" s="235">
        <f t="shared" si="792"/>
        <v>0.23880597014925375</v>
      </c>
      <c r="K230" s="235">
        <f t="shared" si="792"/>
        <v>0.21538461538461529</v>
      </c>
      <c r="L230" s="235">
        <f t="shared" si="792"/>
        <v>0.139240506329114</v>
      </c>
      <c r="M230" s="235">
        <f t="shared" si="792"/>
        <v>-0.29885057471264365</v>
      </c>
      <c r="N230" s="235">
        <f t="shared" si="792"/>
        <v>1.2048192771084265E-2</v>
      </c>
      <c r="O230" s="235">
        <f t="shared" si="792"/>
        <v>0</v>
      </c>
      <c r="P230" s="235">
        <f t="shared" si="793"/>
        <v>-9.9999999999999978E-2</v>
      </c>
      <c r="Q230" s="235">
        <f t="shared" si="793"/>
        <v>0.36065573770491799</v>
      </c>
      <c r="R230" s="235">
        <f t="shared" si="793"/>
        <v>3.5714285714285809E-2</v>
      </c>
      <c r="S230" s="235">
        <f t="shared" si="793"/>
        <v>6.3291139240506222E-2</v>
      </c>
      <c r="T230" s="235">
        <f t="shared" si="793"/>
        <v>6.1728395061728447E-2</v>
      </c>
      <c r="U230" s="235">
        <f t="shared" si="793"/>
        <v>0.2168674698795181</v>
      </c>
      <c r="V230" s="235">
        <f t="shared" si="793"/>
        <v>8.0459770114942541E-2</v>
      </c>
      <c r="W230" s="235">
        <f t="shared" si="793"/>
        <v>0</v>
      </c>
      <c r="X230" s="235">
        <f t="shared" si="793"/>
        <v>4.6511627906976827E-2</v>
      </c>
      <c r="Y230" s="235">
        <f t="shared" si="793"/>
        <v>-0.14851485148514854</v>
      </c>
      <c r="Z230" s="235">
        <f t="shared" si="794"/>
        <v>3.1914893617021267E-2</v>
      </c>
      <c r="AA230" s="235">
        <f t="shared" si="794"/>
        <v>0.13095238095238093</v>
      </c>
      <c r="AB230" s="235">
        <f t="shared" si="794"/>
        <v>0.10000000000000009</v>
      </c>
      <c r="AC230" s="235">
        <f t="shared" si="794"/>
        <v>0.12790697674418605</v>
      </c>
      <c r="AD230" s="235">
        <f t="shared" si="794"/>
        <v>-2.0618556701030966E-2</v>
      </c>
      <c r="AE230" s="235">
        <f t="shared" si="794"/>
        <v>-2.1052631578947323E-2</v>
      </c>
      <c r="AF230" s="235">
        <f t="shared" si="794"/>
        <v>3.0303030303030276E-2</v>
      </c>
      <c r="AG230" s="235">
        <f t="shared" si="794"/>
        <v>6.1855670103092786E-2</v>
      </c>
      <c r="AH230" s="235">
        <f t="shared" si="794"/>
        <v>0.15789473684210531</v>
      </c>
      <c r="AI230" s="235">
        <f t="shared" si="794"/>
        <v>6.4516129032258007E-2</v>
      </c>
      <c r="AJ230" s="235">
        <f t="shared" si="795"/>
        <v>-1.9607843137254943E-2</v>
      </c>
      <c r="AK230" s="235">
        <f t="shared" si="795"/>
        <v>-0.13592233009708743</v>
      </c>
      <c r="AL230" s="235">
        <f t="shared" si="795"/>
        <v>-9.0909090909090384E-3</v>
      </c>
      <c r="AM230" s="235">
        <f t="shared" si="795"/>
        <v>-5.0505050505050497E-2</v>
      </c>
      <c r="AN230" s="235">
        <f t="shared" si="795"/>
        <v>8.0000000000000071E-2</v>
      </c>
      <c r="AO230" s="235">
        <f t="shared" si="795"/>
        <v>0.1910112359550562</v>
      </c>
      <c r="AP230" s="235">
        <f t="shared" si="795"/>
        <v>0.11009174311926606</v>
      </c>
      <c r="AQ230" s="235">
        <f t="shared" si="795"/>
        <v>0.1914893617021276</v>
      </c>
      <c r="AR230" s="235">
        <f t="shared" si="795"/>
        <v>0</v>
      </c>
      <c r="AS230" s="235">
        <f t="shared" si="795"/>
        <v>0.16981132075471694</v>
      </c>
      <c r="AT230" s="235">
        <f t="shared" si="796"/>
        <v>0.23140495867768585</v>
      </c>
      <c r="AU230" s="235">
        <f t="shared" si="796"/>
        <v>0.26785714285714279</v>
      </c>
      <c r="AV230" s="235">
        <f t="shared" si="796"/>
        <v>0.34259259259259256</v>
      </c>
      <c r="AW230" s="235">
        <f t="shared" si="796"/>
        <v>0.70201814516129035</v>
      </c>
      <c r="AX230" s="235">
        <f t="shared" si="796"/>
        <v>0.1444328020134229</v>
      </c>
      <c r="AY230" s="235">
        <f t="shared" si="796"/>
        <v>8.1442405954044839E-2</v>
      </c>
      <c r="AZ230" s="235">
        <f t="shared" si="796"/>
        <v>-1.5237477481025663E-2</v>
      </c>
      <c r="BA230" s="235">
        <f t="shared" si="796"/>
        <v>8.9014866522704184E-2</v>
      </c>
      <c r="BB230" s="235">
        <f t="shared" si="796"/>
        <v>-4.500234407317194E-2</v>
      </c>
      <c r="BC230" s="235">
        <f t="shared" si="796"/>
        <v>-4.2736961642862004E-2</v>
      </c>
      <c r="BD230" s="235">
        <f t="shared" si="797"/>
        <v>4.2851535874261604E-2</v>
      </c>
      <c r="BE230" s="235">
        <f t="shared" si="797"/>
        <v>-3.0543927793851178E-2</v>
      </c>
      <c r="BF230" s="235">
        <f t="shared" si="797"/>
        <v>-1.3845036937190081E-3</v>
      </c>
      <c r="BG230" s="235">
        <f t="shared" si="797"/>
        <v>-8.6603317305755656E-4</v>
      </c>
      <c r="BH230" s="235">
        <f t="shared" si="797"/>
        <v>0.18206664349720625</v>
      </c>
      <c r="BI230" s="235">
        <f t="shared" si="797"/>
        <v>4.4656248192481263E-2</v>
      </c>
      <c r="BJ230" s="235">
        <f t="shared" si="797"/>
        <v>4.3706669263210429E-2</v>
      </c>
      <c r="BK230" s="235">
        <f t="shared" si="797"/>
        <v>3.8036388052564485E-2</v>
      </c>
      <c r="BL230" s="235">
        <f t="shared" si="797"/>
        <v>-0.12050795002636117</v>
      </c>
      <c r="BM230" s="235">
        <f t="shared" si="797"/>
        <v>-4.7089185402091616E-3</v>
      </c>
      <c r="BN230" s="235">
        <f t="shared" si="798"/>
        <v>2.3010876710159556E-2</v>
      </c>
      <c r="BO230" s="160"/>
      <c r="BP230" s="160" t="s">
        <v>17</v>
      </c>
      <c r="BQ230" s="160">
        <f t="shared" ref="BQ230:CF230" si="800">IF(AND(BP213&lt;0,BQ213&gt;0),"n/a",BQ213/BP213-1)</f>
        <v>-4.3956043956043911E-2</v>
      </c>
      <c r="BR230" s="160">
        <f t="shared" si="800"/>
        <v>0.2030651340996168</v>
      </c>
      <c r="BS230" s="160">
        <f t="shared" si="800"/>
        <v>0</v>
      </c>
      <c r="BT230" s="160">
        <f t="shared" si="800"/>
        <v>5.0955414012738842E-2</v>
      </c>
      <c r="BU230" s="160">
        <f t="shared" si="800"/>
        <v>0.10606060606060597</v>
      </c>
      <c r="BV230" s="160">
        <f t="shared" si="800"/>
        <v>-2.1917808219178103E-2</v>
      </c>
      <c r="BW230" s="160">
        <f t="shared" si="800"/>
        <v>8.1232492997198813E-2</v>
      </c>
      <c r="BX230" s="160">
        <f t="shared" si="800"/>
        <v>5.6994818652849721E-2</v>
      </c>
      <c r="BY230" s="160">
        <f t="shared" si="800"/>
        <v>-2.6960784313725505E-2</v>
      </c>
      <c r="BZ230" s="160">
        <f t="shared" si="800"/>
        <v>8.0604534005037864E-2</v>
      </c>
      <c r="CA230" s="160">
        <f t="shared" si="800"/>
        <v>0.14918414918414924</v>
      </c>
      <c r="CB230" s="160">
        <f t="shared" si="800"/>
        <v>0.35612725659229194</v>
      </c>
      <c r="CC230" s="160">
        <f t="shared" si="800"/>
        <v>3.0614824200347224E-2</v>
      </c>
      <c r="CD230" s="160">
        <f t="shared" si="800"/>
        <v>-1.1160009915730518E-2</v>
      </c>
      <c r="CE230" s="160">
        <f t="shared" si="800"/>
        <v>6.4639259414682737E-2</v>
      </c>
      <c r="CF230" s="160">
        <f t="shared" si="800"/>
        <v>-1.7667427514826084E-2</v>
      </c>
    </row>
    <row r="231" spans="1:87">
      <c r="A231" s="42" t="s">
        <v>111</v>
      </c>
      <c r="B231" s="235" t="s">
        <v>17</v>
      </c>
      <c r="C231" s="235" t="s">
        <v>17</v>
      </c>
      <c r="D231" s="235" t="s">
        <v>17</v>
      </c>
      <c r="E231" s="235" t="s">
        <v>17</v>
      </c>
      <c r="F231" s="235">
        <f t="shared" si="792"/>
        <v>7.067137809187285E-2</v>
      </c>
      <c r="G231" s="235">
        <f t="shared" si="792"/>
        <v>6.938775510204076E-2</v>
      </c>
      <c r="H231" s="235">
        <f t="shared" si="792"/>
        <v>0.15999999999999992</v>
      </c>
      <c r="I231" s="235">
        <f t="shared" si="792"/>
        <v>0.20901639344262302</v>
      </c>
      <c r="J231" s="235">
        <f t="shared" si="792"/>
        <v>-0.17491749174917492</v>
      </c>
      <c r="K231" s="235">
        <f t="shared" si="792"/>
        <v>-7.6335877862595547E-3</v>
      </c>
      <c r="L231" s="235">
        <f t="shared" si="792"/>
        <v>-1.0344827586206917E-2</v>
      </c>
      <c r="M231" s="235">
        <f t="shared" si="792"/>
        <v>-0.11525423728813555</v>
      </c>
      <c r="N231" s="235">
        <f t="shared" si="792"/>
        <v>6.0000000000000053E-2</v>
      </c>
      <c r="O231" s="235">
        <f t="shared" si="792"/>
        <v>-7.692307692307665E-3</v>
      </c>
      <c r="P231" s="235">
        <f t="shared" si="793"/>
        <v>-9.4076655052264813E-2</v>
      </c>
      <c r="Q231" s="235">
        <f t="shared" si="793"/>
        <v>-4.2145593869731823E-2</v>
      </c>
      <c r="R231" s="235">
        <f t="shared" si="793"/>
        <v>7.547169811320753E-3</v>
      </c>
      <c r="S231" s="235">
        <f t="shared" si="793"/>
        <v>-3.4883720930232509E-2</v>
      </c>
      <c r="T231" s="235">
        <f t="shared" si="793"/>
        <v>-3.4615384615384603E-2</v>
      </c>
      <c r="U231" s="235">
        <f t="shared" si="793"/>
        <v>9.2000000000000082E-2</v>
      </c>
      <c r="V231" s="235">
        <f t="shared" si="793"/>
        <v>2.9962546816479474E-2</v>
      </c>
      <c r="W231" s="235">
        <f t="shared" si="793"/>
        <v>8.43373493975903E-2</v>
      </c>
      <c r="X231" s="235">
        <f t="shared" si="793"/>
        <v>-4.3824701195219085E-2</v>
      </c>
      <c r="Y231" s="235">
        <f t="shared" si="793"/>
        <v>-0.12087912087912089</v>
      </c>
      <c r="Z231" s="235">
        <f t="shared" si="794"/>
        <v>-6.9090909090909092E-2</v>
      </c>
      <c r="AA231" s="235">
        <f t="shared" si="794"/>
        <v>-1.1111111111111072E-2</v>
      </c>
      <c r="AB231" s="235">
        <f t="shared" si="794"/>
        <v>0.10000000000000009</v>
      </c>
      <c r="AC231" s="235">
        <f t="shared" si="794"/>
        <v>7.4999999999999956E-2</v>
      </c>
      <c r="AD231" s="235">
        <f t="shared" si="794"/>
        <v>0.19921875</v>
      </c>
      <c r="AE231" s="235">
        <f t="shared" si="794"/>
        <v>0.11235955056179781</v>
      </c>
      <c r="AF231" s="235">
        <f t="shared" si="794"/>
        <v>0.11742424242424243</v>
      </c>
      <c r="AG231" s="235">
        <f t="shared" si="794"/>
        <v>0.12790697674418605</v>
      </c>
      <c r="AH231" s="235">
        <f t="shared" si="794"/>
        <v>-5.2117263843648232E-2</v>
      </c>
      <c r="AI231" s="235">
        <f t="shared" si="794"/>
        <v>6.0606060606060552E-2</v>
      </c>
      <c r="AJ231" s="235">
        <f t="shared" si="795"/>
        <v>1.6949152542372836E-2</v>
      </c>
      <c r="AK231" s="235">
        <f t="shared" si="795"/>
        <v>-2.0618556701030966E-2</v>
      </c>
      <c r="AL231" s="235">
        <f t="shared" si="795"/>
        <v>0.19931271477663226</v>
      </c>
      <c r="AM231" s="235">
        <f t="shared" si="795"/>
        <v>5.3968253968253999E-2</v>
      </c>
      <c r="AN231" s="235">
        <f t="shared" si="795"/>
        <v>8.666666666666667E-2</v>
      </c>
      <c r="AO231" s="235">
        <f t="shared" si="795"/>
        <v>0.15438596491228074</v>
      </c>
      <c r="AP231" s="235">
        <f t="shared" si="795"/>
        <v>-1.7191977077363862E-2</v>
      </c>
      <c r="AQ231" s="235">
        <f t="shared" si="795"/>
        <v>0.12048192771084332</v>
      </c>
      <c r="AR231" s="235">
        <f t="shared" si="795"/>
        <v>6.4417177914110502E-2</v>
      </c>
      <c r="AS231" s="235">
        <f t="shared" si="795"/>
        <v>0.14589665653495443</v>
      </c>
      <c r="AT231" s="235">
        <f t="shared" si="796"/>
        <v>0.1574344023323615</v>
      </c>
      <c r="AU231" s="235">
        <f t="shared" si="796"/>
        <v>0.15591397849462374</v>
      </c>
      <c r="AV231" s="235">
        <f t="shared" si="796"/>
        <v>0.30259365994236309</v>
      </c>
      <c r="AW231" s="235">
        <f t="shared" si="796"/>
        <v>0.1196299734748012</v>
      </c>
      <c r="AX231" s="235">
        <f t="shared" si="796"/>
        <v>0.31117437027707795</v>
      </c>
      <c r="AY231" s="235">
        <f t="shared" si="796"/>
        <v>6.4309599866412936E-2</v>
      </c>
      <c r="AZ231" s="235">
        <f t="shared" si="796"/>
        <v>0.11651818177376727</v>
      </c>
      <c r="BA231" s="235">
        <f t="shared" si="796"/>
        <v>0.19111001025920782</v>
      </c>
      <c r="BB231" s="235">
        <f t="shared" si="796"/>
        <v>-1.2071390420522632E-2</v>
      </c>
      <c r="BC231" s="235">
        <f t="shared" si="796"/>
        <v>-9.7079935009541929E-3</v>
      </c>
      <c r="BD231" s="235">
        <f t="shared" si="797"/>
        <v>4.2851535874261604E-2</v>
      </c>
      <c r="BE231" s="235">
        <f t="shared" si="797"/>
        <v>3.4086477019892314E-2</v>
      </c>
      <c r="BF231" s="235">
        <f t="shared" si="797"/>
        <v>3.652589940679718E-2</v>
      </c>
      <c r="BG231" s="235">
        <f t="shared" si="797"/>
        <v>3.610827270073691E-2</v>
      </c>
      <c r="BH231" s="235">
        <f t="shared" si="797"/>
        <v>0.21198122001635422</v>
      </c>
      <c r="BI231" s="235">
        <f t="shared" si="797"/>
        <v>8.0678877440497621E-2</v>
      </c>
      <c r="BJ231" s="235">
        <f t="shared" si="797"/>
        <v>6.4429174560930225E-2</v>
      </c>
      <c r="BK231" s="235">
        <f t="shared" si="797"/>
        <v>4.8980448141505262E-2</v>
      </c>
      <c r="BL231" s="235">
        <f t="shared" si="797"/>
        <v>-9.721167224179017E-2</v>
      </c>
      <c r="BM231" s="235">
        <f t="shared" si="797"/>
        <v>3.0837191511926099E-2</v>
      </c>
      <c r="BN231" s="235">
        <f t="shared" si="798"/>
        <v>4.4098582062153779E-2</v>
      </c>
      <c r="BO231" s="160"/>
      <c r="BP231" s="160" t="s">
        <v>17</v>
      </c>
      <c r="BQ231" s="160">
        <f t="shared" ref="BQ231:CF231" si="801">IF(AND(BP214&lt;0,BQ214&gt;0),"n/a",BQ214/BP214-1)</f>
        <v>-6.8811438784629142E-2</v>
      </c>
      <c r="BR231" s="160">
        <f t="shared" si="801"/>
        <v>5.2783109404990425E-2</v>
      </c>
      <c r="BS231" s="160">
        <f t="shared" si="801"/>
        <v>-2.1877848678213296E-2</v>
      </c>
      <c r="BT231" s="160">
        <f t="shared" si="801"/>
        <v>-3.5414725069897512E-2</v>
      </c>
      <c r="BU231" s="160">
        <f t="shared" si="801"/>
        <v>1.2560386473430052E-2</v>
      </c>
      <c r="BV231" s="160">
        <f t="shared" si="801"/>
        <v>-4.0076335877862634E-2</v>
      </c>
      <c r="BW231" s="160">
        <f t="shared" si="801"/>
        <v>8.9463220675944255E-2</v>
      </c>
      <c r="BX231" s="160">
        <f t="shared" si="801"/>
        <v>7.1167883211678884E-2</v>
      </c>
      <c r="BY231" s="160">
        <f t="shared" si="801"/>
        <v>6.3884156729131281E-2</v>
      </c>
      <c r="BZ231" s="160">
        <f t="shared" si="801"/>
        <v>6.4851881505204156E-2</v>
      </c>
      <c r="CA231" s="160">
        <f t="shared" si="801"/>
        <v>0.12255639097744364</v>
      </c>
      <c r="CB231" s="160">
        <f t="shared" si="801"/>
        <v>0.22212774614869391</v>
      </c>
      <c r="CC231" s="160">
        <f t="shared" si="801"/>
        <v>8.4785852915306714E-2</v>
      </c>
      <c r="CD231" s="160">
        <f t="shared" si="801"/>
        <v>2.6829124987628239E-2</v>
      </c>
      <c r="CE231" s="160">
        <f t="shared" si="801"/>
        <v>0.10047860119198027</v>
      </c>
      <c r="CF231" s="160">
        <f t="shared" si="801"/>
        <v>1.4930628583829098E-3</v>
      </c>
    </row>
    <row r="232" spans="1:87">
      <c r="A232" s="8" t="s">
        <v>177</v>
      </c>
      <c r="B232" s="235" t="s">
        <v>17</v>
      </c>
      <c r="C232" s="235" t="s">
        <v>17</v>
      </c>
      <c r="D232" s="235" t="s">
        <v>17</v>
      </c>
      <c r="E232" s="235" t="s">
        <v>17</v>
      </c>
      <c r="F232" s="235">
        <f t="shared" si="792"/>
        <v>7.4999999999999956E-2</v>
      </c>
      <c r="G232" s="235">
        <f t="shared" si="792"/>
        <v>7.441860465116279E-2</v>
      </c>
      <c r="H232" s="235">
        <f t="shared" si="792"/>
        <v>0.20867768595041314</v>
      </c>
      <c r="I232" s="235">
        <f t="shared" si="792"/>
        <v>0.15827338129496393</v>
      </c>
      <c r="J232" s="235">
        <f t="shared" si="792"/>
        <v>-8.9445438282647061E-3</v>
      </c>
      <c r="K232" s="235">
        <f t="shared" si="792"/>
        <v>4.5454545454545414E-2</v>
      </c>
      <c r="L232" s="235">
        <f t="shared" si="792"/>
        <v>-6.8376068376068133E-3</v>
      </c>
      <c r="M232" s="235">
        <f t="shared" si="792"/>
        <v>-0.1785714285714286</v>
      </c>
      <c r="N232" s="235">
        <f t="shared" si="792"/>
        <v>-2.5270758122743708E-2</v>
      </c>
      <c r="O232" s="235">
        <f t="shared" si="792"/>
        <v>-1.2422360248447228E-2</v>
      </c>
      <c r="P232" s="235">
        <f t="shared" si="793"/>
        <v>-0.14113597246127363</v>
      </c>
      <c r="Q232" s="235">
        <f t="shared" si="793"/>
        <v>2.0793950850661602E-2</v>
      </c>
      <c r="R232" s="235">
        <f t="shared" si="793"/>
        <v>-6.8518518518518534E-2</v>
      </c>
      <c r="S232" s="235">
        <f t="shared" si="793"/>
        <v>-3.7735849056603765E-2</v>
      </c>
      <c r="T232" s="235">
        <f t="shared" si="793"/>
        <v>-4.0080160320641323E-3</v>
      </c>
      <c r="U232" s="235">
        <f t="shared" si="793"/>
        <v>-3.5185185185185208E-2</v>
      </c>
      <c r="V232" s="235">
        <f t="shared" si="793"/>
        <v>1.9880715705765439E-2</v>
      </c>
      <c r="W232" s="235">
        <f t="shared" si="793"/>
        <v>2.8322440087146017E-2</v>
      </c>
      <c r="X232" s="235">
        <f t="shared" si="793"/>
        <v>-3.6217303822937641E-2</v>
      </c>
      <c r="Y232" s="235">
        <f t="shared" si="793"/>
        <v>-1.9193857965451033E-2</v>
      </c>
      <c r="Z232" s="235">
        <f t="shared" si="794"/>
        <v>-2.7290448343079921E-2</v>
      </c>
      <c r="AA232" s="235">
        <f t="shared" si="794"/>
        <v>2.3305084745762761E-2</v>
      </c>
      <c r="AB232" s="235">
        <f t="shared" si="794"/>
        <v>3.9665970772442494E-2</v>
      </c>
      <c r="AC232" s="235">
        <f t="shared" si="794"/>
        <v>0.14872798434442269</v>
      </c>
      <c r="AD232" s="235">
        <f t="shared" si="794"/>
        <v>0.11422845691382766</v>
      </c>
      <c r="AE232" s="235">
        <f t="shared" si="794"/>
        <v>4.3478260869565188E-2</v>
      </c>
      <c r="AF232" s="235">
        <f t="shared" si="794"/>
        <v>0.10040160642570273</v>
      </c>
      <c r="AG232" s="235">
        <f t="shared" si="794"/>
        <v>4.9403747870528036E-2</v>
      </c>
      <c r="AH232" s="235">
        <f t="shared" si="794"/>
        <v>-5.9352517985611475E-2</v>
      </c>
      <c r="AI232" s="235">
        <f t="shared" si="794"/>
        <v>8.5317460317460236E-2</v>
      </c>
      <c r="AJ232" s="235">
        <f t="shared" si="795"/>
        <v>-2.007299270072993E-2</v>
      </c>
      <c r="AK232" s="235">
        <f t="shared" si="795"/>
        <v>-0.10227272727272729</v>
      </c>
      <c r="AL232" s="235">
        <f t="shared" si="795"/>
        <v>0.29636711281070749</v>
      </c>
      <c r="AM232" s="235">
        <f t="shared" si="795"/>
        <v>-3.2906764168190161E-2</v>
      </c>
      <c r="AN232" s="235">
        <f t="shared" si="795"/>
        <v>7.2625698324022325E-2</v>
      </c>
      <c r="AO232" s="235">
        <f t="shared" si="795"/>
        <v>0.13381555153707048</v>
      </c>
      <c r="AP232" s="235">
        <f t="shared" si="795"/>
        <v>-8.4070796460177011E-2</v>
      </c>
      <c r="AQ232" s="235">
        <f t="shared" si="795"/>
        <v>0.12287334593572785</v>
      </c>
      <c r="AR232" s="235">
        <f t="shared" si="795"/>
        <v>3.993055555555558E-2</v>
      </c>
      <c r="AS232" s="235">
        <f t="shared" si="795"/>
        <v>0.12599681020733655</v>
      </c>
      <c r="AT232" s="235">
        <f t="shared" si="796"/>
        <v>0.17552334943639281</v>
      </c>
      <c r="AU232" s="235">
        <f t="shared" si="796"/>
        <v>0.26262626262626254</v>
      </c>
      <c r="AV232" s="235">
        <f t="shared" si="796"/>
        <v>0.36060100166944897</v>
      </c>
      <c r="AW232" s="235">
        <f t="shared" si="796"/>
        <v>0.30785388633144484</v>
      </c>
      <c r="AX232" s="235">
        <f t="shared" si="796"/>
        <v>0.23800070377861537</v>
      </c>
      <c r="AY232" s="235">
        <f t="shared" si="796"/>
        <v>7.4182068997488804E-2</v>
      </c>
      <c r="AZ232" s="235">
        <f t="shared" si="796"/>
        <v>6.3848177845524434E-2</v>
      </c>
      <c r="BA232" s="235">
        <f t="shared" si="796"/>
        <v>0.13568693223082007</v>
      </c>
      <c r="BB232" s="235">
        <f t="shared" si="796"/>
        <v>-2.6034781991980505E-2</v>
      </c>
      <c r="BC232" s="235">
        <f t="shared" si="796"/>
        <v>-2.6191227885445478E-2</v>
      </c>
      <c r="BD232" s="235">
        <f t="shared" si="797"/>
        <v>2.5287327653778391E-2</v>
      </c>
      <c r="BE232" s="235">
        <f t="shared" si="797"/>
        <v>-1.3274434259943346E-3</v>
      </c>
      <c r="BF232" s="235">
        <f t="shared" si="797"/>
        <v>1.8170066802976947E-2</v>
      </c>
      <c r="BG232" s="235">
        <f t="shared" si="797"/>
        <v>2.3096614107326774E-2</v>
      </c>
      <c r="BH232" s="235">
        <f t="shared" si="797"/>
        <v>0.20421802186751359</v>
      </c>
      <c r="BI232" s="235">
        <f t="shared" si="797"/>
        <v>7.3014488238791975E-2</v>
      </c>
      <c r="BJ232" s="235">
        <f t="shared" si="797"/>
        <v>5.1882733821608573E-2</v>
      </c>
      <c r="BK232" s="235">
        <f t="shared" si="797"/>
        <v>4.0522862669405413E-2</v>
      </c>
      <c r="BL232" s="235">
        <f t="shared" si="797"/>
        <v>-0.10314613198479261</v>
      </c>
      <c r="BM232" s="235">
        <f t="shared" si="797"/>
        <v>2.3474068715412466E-2</v>
      </c>
      <c r="BN232" s="235">
        <f t="shared" si="798"/>
        <v>3.1430270456908493E-2</v>
      </c>
      <c r="BO232" s="160"/>
      <c r="BP232" s="160" t="s">
        <v>17</v>
      </c>
      <c r="BQ232" s="160">
        <f t="shared" ref="BQ232:CF232" si="802">IF(AND(BP215&lt;0,BQ215&gt;0),"n/a",BQ215/BP215-1)</f>
        <v>-3.6562203228869938E-2</v>
      </c>
      <c r="BR232" s="160">
        <f t="shared" si="802"/>
        <v>0.10645638245441114</v>
      </c>
      <c r="BS232" s="160">
        <f t="shared" si="802"/>
        <v>-4.9888641425389735E-2</v>
      </c>
      <c r="BT232" s="160">
        <f t="shared" si="802"/>
        <v>-5.3445850914205395E-2</v>
      </c>
      <c r="BU232" s="160">
        <f t="shared" si="802"/>
        <v>-1.4363546310054431E-2</v>
      </c>
      <c r="BV232" s="160">
        <f t="shared" si="802"/>
        <v>-1.4572864321608092E-2</v>
      </c>
      <c r="BW232" s="160">
        <f t="shared" si="802"/>
        <v>8.3120856705762414E-2</v>
      </c>
      <c r="BX232" s="160">
        <f t="shared" si="802"/>
        <v>3.1544256120527248E-2</v>
      </c>
      <c r="BY232" s="160">
        <f t="shared" si="802"/>
        <v>5.6595162026471968E-2</v>
      </c>
      <c r="BZ232" s="160">
        <f t="shared" si="802"/>
        <v>1.6414686825054092E-2</v>
      </c>
      <c r="CA232" s="160">
        <f t="shared" si="802"/>
        <v>0.11729706757331071</v>
      </c>
      <c r="CB232" s="160">
        <f t="shared" si="802"/>
        <v>0.29025688760303892</v>
      </c>
      <c r="CC232" s="160">
        <f t="shared" si="802"/>
        <v>6.1740769056771727E-2</v>
      </c>
      <c r="CD232" s="160">
        <f t="shared" si="802"/>
        <v>4.2831775074103628E-3</v>
      </c>
      <c r="CE232" s="160">
        <f t="shared" si="802"/>
        <v>8.9197804970182926E-2</v>
      </c>
      <c r="CF232" s="160">
        <f t="shared" si="802"/>
        <v>-5.5552009236302657E-3</v>
      </c>
    </row>
    <row r="234" spans="1:87">
      <c r="A234" s="11" t="s">
        <v>368</v>
      </c>
    </row>
    <row r="235" spans="1:87" ht="12.75" customHeight="1">
      <c r="A235" s="42" t="s">
        <v>110</v>
      </c>
      <c r="B235" s="235" t="s">
        <v>17</v>
      </c>
      <c r="C235" s="235">
        <f t="shared" ref="C235:AH235" si="803">IF(AND(B212&lt;0,C212&gt;0),"n/a",C212/B212-1)</f>
        <v>-0.26347305389221554</v>
      </c>
      <c r="D235" s="235">
        <f t="shared" si="803"/>
        <v>0.35772357723577231</v>
      </c>
      <c r="E235" s="235">
        <f t="shared" si="803"/>
        <v>0.47904191616766467</v>
      </c>
      <c r="F235" s="235">
        <f t="shared" si="803"/>
        <v>-0.23481781376518218</v>
      </c>
      <c r="G235" s="235">
        <f t="shared" si="803"/>
        <v>-0.2857142857142857</v>
      </c>
      <c r="H235" s="235">
        <f t="shared" si="803"/>
        <v>0.60000000000000009</v>
      </c>
      <c r="I235" s="235">
        <f t="shared" si="803"/>
        <v>0.21296296296296302</v>
      </c>
      <c r="J235" s="235">
        <f t="shared" si="803"/>
        <v>-0.15648854961832059</v>
      </c>
      <c r="K235" s="235">
        <f t="shared" si="803"/>
        <v>-0.34841628959276016</v>
      </c>
      <c r="L235" s="235">
        <f t="shared" si="803"/>
        <v>0.41666666666666674</v>
      </c>
      <c r="M235" s="235">
        <f t="shared" si="803"/>
        <v>1.4705882352941124E-2</v>
      </c>
      <c r="N235" s="235">
        <f t="shared" si="803"/>
        <v>-7.7294685990338174E-2</v>
      </c>
      <c r="O235" s="235">
        <f t="shared" si="803"/>
        <v>-0.26701570680628273</v>
      </c>
      <c r="P235" s="235">
        <f t="shared" si="803"/>
        <v>0.12857142857142856</v>
      </c>
      <c r="Q235" s="235">
        <f t="shared" si="803"/>
        <v>0.31012658227848111</v>
      </c>
      <c r="R235" s="235">
        <f t="shared" si="803"/>
        <v>-0.28019323671497587</v>
      </c>
      <c r="S235" s="235">
        <f t="shared" si="803"/>
        <v>-0.15436241610738255</v>
      </c>
      <c r="T235" s="235">
        <f t="shared" si="803"/>
        <v>0.26984126984126977</v>
      </c>
      <c r="U235" s="235">
        <f t="shared" si="803"/>
        <v>-8.1250000000000044E-2</v>
      </c>
      <c r="V235" s="235">
        <f t="shared" si="803"/>
        <v>-2.0408163265306145E-2</v>
      </c>
      <c r="W235" s="235">
        <f t="shared" si="803"/>
        <v>-0.18055555555555558</v>
      </c>
      <c r="X235" s="235">
        <f t="shared" si="803"/>
        <v>0.26271186440677963</v>
      </c>
      <c r="Y235" s="235">
        <f t="shared" si="803"/>
        <v>0.24161073825503365</v>
      </c>
      <c r="Z235" s="235">
        <f t="shared" si="803"/>
        <v>-0.21081081081081077</v>
      </c>
      <c r="AA235" s="235">
        <f t="shared" si="803"/>
        <v>-0.17123287671232879</v>
      </c>
      <c r="AB235" s="235">
        <f t="shared" si="803"/>
        <v>0.11570247933884303</v>
      </c>
      <c r="AC235" s="235">
        <f t="shared" si="803"/>
        <v>0.71851851851851856</v>
      </c>
      <c r="AD235" s="235">
        <f t="shared" si="803"/>
        <v>-0.33620689655172409</v>
      </c>
      <c r="AE235" s="235">
        <f t="shared" si="803"/>
        <v>-0.25974025974025972</v>
      </c>
      <c r="AF235" s="235">
        <f t="shared" si="803"/>
        <v>0.32456140350877183</v>
      </c>
      <c r="AG235" s="235">
        <f t="shared" si="803"/>
        <v>0.4701986754966887</v>
      </c>
      <c r="AH235" s="235">
        <f t="shared" si="803"/>
        <v>-0.4504504504504504</v>
      </c>
      <c r="AI235" s="235">
        <f t="shared" ref="AI235:BN235" si="804">IF(AND(AH212&lt;0,AI212&gt;0),"n/a",AI212/AH212-1)</f>
        <v>9.0163934426229497E-2</v>
      </c>
      <c r="AJ235" s="235">
        <f t="shared" si="804"/>
        <v>3.007518796992481E-2</v>
      </c>
      <c r="AK235" s="235">
        <f t="shared" si="804"/>
        <v>0.3065693430656935</v>
      </c>
      <c r="AL235" s="235">
        <f t="shared" si="804"/>
        <v>0.22905027932960897</v>
      </c>
      <c r="AM235" s="235">
        <f t="shared" si="804"/>
        <v>-0.53181818181818175</v>
      </c>
      <c r="AN235" s="235">
        <f t="shared" si="804"/>
        <v>0.37864077669902918</v>
      </c>
      <c r="AO235" s="235">
        <f t="shared" si="804"/>
        <v>0.352112676056338</v>
      </c>
      <c r="AP235" s="235">
        <f t="shared" si="804"/>
        <v>-0.18229166666666663</v>
      </c>
      <c r="AQ235" s="235">
        <f t="shared" si="804"/>
        <v>-0.29936305732484081</v>
      </c>
      <c r="AR235" s="235">
        <f t="shared" si="804"/>
        <v>0.30909090909090908</v>
      </c>
      <c r="AS235" s="235">
        <f t="shared" si="804"/>
        <v>0.42361111111111116</v>
      </c>
      <c r="AT235" s="235">
        <f t="shared" si="804"/>
        <v>-0.10243902439024388</v>
      </c>
      <c r="AU235" s="235">
        <f t="shared" si="804"/>
        <v>-3.2608695652173947E-2</v>
      </c>
      <c r="AV235" s="235">
        <f t="shared" si="804"/>
        <v>0.22471910112359561</v>
      </c>
      <c r="AW235" s="235">
        <f t="shared" si="804"/>
        <v>0.33116556766055072</v>
      </c>
      <c r="AX235" s="235">
        <f t="shared" si="804"/>
        <v>-0.26709810489246322</v>
      </c>
      <c r="AY235" s="235">
        <f t="shared" si="804"/>
        <v>-8.587959680161128E-2</v>
      </c>
      <c r="AZ235" s="235">
        <f t="shared" si="804"/>
        <v>0.12941600534863484</v>
      </c>
      <c r="BA235" s="235">
        <f t="shared" si="804"/>
        <v>0.4392313926919722</v>
      </c>
      <c r="BB235" s="235">
        <f t="shared" si="804"/>
        <v>-0.35729105876495804</v>
      </c>
      <c r="BC235" s="235">
        <f t="shared" si="804"/>
        <v>-9.2504152145227669E-2</v>
      </c>
      <c r="BD235" s="235">
        <f t="shared" si="804"/>
        <v>0.15969840976715566</v>
      </c>
      <c r="BE235" s="235">
        <f t="shared" si="804"/>
        <v>0.42457063857486865</v>
      </c>
      <c r="BF235" s="235">
        <f t="shared" si="804"/>
        <v>-0.34142106577669584</v>
      </c>
      <c r="BG235" s="235">
        <f t="shared" si="804"/>
        <v>-7.1511016291911034E-2</v>
      </c>
      <c r="BH235" s="235">
        <f t="shared" si="804"/>
        <v>0.37818161650733884</v>
      </c>
      <c r="BI235" s="235">
        <f t="shared" si="804"/>
        <v>0.28234717723419833</v>
      </c>
      <c r="BJ235" s="235">
        <f t="shared" si="804"/>
        <v>-0.37525165352103695</v>
      </c>
      <c r="BK235" s="235">
        <f t="shared" si="804"/>
        <v>-7.5142482063135563E-2</v>
      </c>
      <c r="BL235" s="235">
        <f t="shared" si="804"/>
        <v>0.20658465730394715</v>
      </c>
      <c r="BM235" s="235">
        <f t="shared" si="804"/>
        <v>0.47860555644907832</v>
      </c>
      <c r="BN235" s="235">
        <f t="shared" si="804"/>
        <v>-0.39186796559574877</v>
      </c>
      <c r="BO235" s="160"/>
      <c r="BP235" s="160" t="s">
        <v>17</v>
      </c>
      <c r="BQ235" s="160" t="s">
        <v>17</v>
      </c>
      <c r="BR235" s="160" t="s">
        <v>17</v>
      </c>
      <c r="BS235" s="160" t="s">
        <v>17</v>
      </c>
      <c r="BT235" s="160" t="s">
        <v>17</v>
      </c>
      <c r="BU235" s="160" t="s">
        <v>17</v>
      </c>
      <c r="BV235" s="160" t="s">
        <v>17</v>
      </c>
      <c r="BW235" s="160" t="s">
        <v>17</v>
      </c>
      <c r="BX235" s="160" t="s">
        <v>17</v>
      </c>
      <c r="BY235" s="160" t="s">
        <v>17</v>
      </c>
      <c r="BZ235" s="160" t="s">
        <v>17</v>
      </c>
      <c r="CA235" s="160" t="s">
        <v>17</v>
      </c>
      <c r="CB235" s="160" t="s">
        <v>17</v>
      </c>
      <c r="CC235" s="160" t="s">
        <v>17</v>
      </c>
      <c r="CD235" s="160" t="s">
        <v>17</v>
      </c>
      <c r="CE235" s="160" t="s">
        <v>17</v>
      </c>
      <c r="CF235" s="160" t="s">
        <v>17</v>
      </c>
    </row>
    <row r="236" spans="1:87">
      <c r="A236" s="42" t="s">
        <v>115</v>
      </c>
      <c r="B236" s="235" t="s">
        <v>17</v>
      </c>
      <c r="C236" s="235">
        <f t="shared" ref="C236:AH236" si="805">IF(AND(B213&lt;0,C213&gt;0),"n/a",C213/B213-1)</f>
        <v>-0.11428571428571432</v>
      </c>
      <c r="D236" s="235">
        <f t="shared" si="805"/>
        <v>8.0645161290322509E-2</v>
      </c>
      <c r="E236" s="235">
        <f t="shared" si="805"/>
        <v>-2.9850746268656692E-2</v>
      </c>
      <c r="F236" s="235">
        <f t="shared" si="805"/>
        <v>3.076923076923066E-2</v>
      </c>
      <c r="G236" s="235">
        <f t="shared" si="805"/>
        <v>-2.9850746268656692E-2</v>
      </c>
      <c r="H236" s="235">
        <f t="shared" si="805"/>
        <v>0.21538461538461529</v>
      </c>
      <c r="I236" s="235">
        <f t="shared" si="805"/>
        <v>0.10126582278481022</v>
      </c>
      <c r="J236" s="235">
        <f t="shared" si="805"/>
        <v>-4.5977011494252928E-2</v>
      </c>
      <c r="K236" s="235">
        <f t="shared" si="805"/>
        <v>-4.8192771084337394E-2</v>
      </c>
      <c r="L236" s="235">
        <f t="shared" si="805"/>
        <v>0.139240506329114</v>
      </c>
      <c r="M236" s="235">
        <f t="shared" si="805"/>
        <v>-0.32222222222222219</v>
      </c>
      <c r="N236" s="235">
        <f t="shared" si="805"/>
        <v>0.37704918032786883</v>
      </c>
      <c r="O236" s="235">
        <f t="shared" si="805"/>
        <v>-5.9523809523809534E-2</v>
      </c>
      <c r="P236" s="235">
        <f t="shared" si="805"/>
        <v>2.5316455696202445E-2</v>
      </c>
      <c r="Q236" s="235">
        <f t="shared" si="805"/>
        <v>2.4691358024691468E-2</v>
      </c>
      <c r="R236" s="235">
        <f t="shared" si="805"/>
        <v>4.8192771084337283E-2</v>
      </c>
      <c r="S236" s="235">
        <f t="shared" si="805"/>
        <v>-3.4482758620689613E-2</v>
      </c>
      <c r="T236" s="235">
        <f t="shared" si="805"/>
        <v>2.3809523809523725E-2</v>
      </c>
      <c r="U236" s="235">
        <f t="shared" si="805"/>
        <v>0.17441860465116288</v>
      </c>
      <c r="V236" s="235">
        <f t="shared" si="805"/>
        <v>-6.9306930693069257E-2</v>
      </c>
      <c r="W236" s="235">
        <f t="shared" si="805"/>
        <v>-0.1063829787234043</v>
      </c>
      <c r="X236" s="235">
        <f t="shared" si="805"/>
        <v>7.1428571428571397E-2</v>
      </c>
      <c r="Y236" s="235">
        <f t="shared" si="805"/>
        <v>-4.4444444444444398E-2</v>
      </c>
      <c r="Z236" s="235">
        <f t="shared" si="805"/>
        <v>0.12790697674418605</v>
      </c>
      <c r="AA236" s="235">
        <f t="shared" si="805"/>
        <v>-2.0618556701030966E-2</v>
      </c>
      <c r="AB236" s="235">
        <f t="shared" si="805"/>
        <v>4.2105263157894646E-2</v>
      </c>
      <c r="AC236" s="235">
        <f t="shared" si="805"/>
        <v>-2.0202020202020221E-2</v>
      </c>
      <c r="AD236" s="235">
        <f t="shared" si="805"/>
        <v>-2.0618556701030966E-2</v>
      </c>
      <c r="AE236" s="235">
        <f t="shared" si="805"/>
        <v>-2.1052631578947323E-2</v>
      </c>
      <c r="AF236" s="235">
        <f t="shared" si="805"/>
        <v>9.6774193548387011E-2</v>
      </c>
      <c r="AG236" s="235">
        <f t="shared" si="805"/>
        <v>9.8039215686274161E-3</v>
      </c>
      <c r="AH236" s="235">
        <f t="shared" si="805"/>
        <v>6.7961165048543659E-2</v>
      </c>
      <c r="AI236" s="235">
        <f t="shared" ref="AI236:BN236" si="806">IF(AND(AH213&lt;0,AI213&gt;0),"n/a",AI213/AH213-1)</f>
        <v>-9.9999999999999978E-2</v>
      </c>
      <c r="AJ236" s="235">
        <f t="shared" si="806"/>
        <v>1.0101010101010166E-2</v>
      </c>
      <c r="AK236" s="235">
        <f t="shared" si="806"/>
        <v>-0.10999999999999999</v>
      </c>
      <c r="AL236" s="235">
        <f t="shared" si="806"/>
        <v>0.22471910112359561</v>
      </c>
      <c r="AM236" s="235">
        <f t="shared" si="806"/>
        <v>-0.13761467889908252</v>
      </c>
      <c r="AN236" s="235">
        <f t="shared" si="806"/>
        <v>0.14893617021276606</v>
      </c>
      <c r="AO236" s="235">
        <f t="shared" si="806"/>
        <v>-1.851851851851849E-2</v>
      </c>
      <c r="AP236" s="235">
        <f t="shared" si="806"/>
        <v>0.14150943396226423</v>
      </c>
      <c r="AQ236" s="235">
        <f t="shared" si="806"/>
        <v>-7.4380165289256173E-2</v>
      </c>
      <c r="AR236" s="235">
        <f t="shared" si="806"/>
        <v>-3.5714285714285698E-2</v>
      </c>
      <c r="AS236" s="235">
        <f t="shared" si="806"/>
        <v>0.14814814814814814</v>
      </c>
      <c r="AT236" s="235">
        <f t="shared" si="806"/>
        <v>0.20161290322580649</v>
      </c>
      <c r="AU236" s="235">
        <f t="shared" si="806"/>
        <v>-4.6979865771812124E-2</v>
      </c>
      <c r="AV236" s="235">
        <f t="shared" si="806"/>
        <v>2.1126760563380254E-2</v>
      </c>
      <c r="AW236" s="235">
        <f t="shared" si="806"/>
        <v>0.45551896551724136</v>
      </c>
      <c r="AX236" s="235">
        <f t="shared" si="806"/>
        <v>-0.19203844818947147</v>
      </c>
      <c r="AY236" s="235">
        <f t="shared" si="806"/>
        <v>-9.9434772343854894E-2</v>
      </c>
      <c r="AZ236" s="235">
        <f t="shared" si="806"/>
        <v>-7.0160963720564462E-2</v>
      </c>
      <c r="BA236" s="235">
        <f t="shared" si="806"/>
        <v>0.60960816004599927</v>
      </c>
      <c r="BB236" s="235">
        <f t="shared" si="806"/>
        <v>-0.29146845302320712</v>
      </c>
      <c r="BC236" s="235">
        <f t="shared" si="806"/>
        <v>-9.7298510928532034E-2</v>
      </c>
      <c r="BD236" s="235">
        <f t="shared" si="806"/>
        <v>1.2975564964914588E-2</v>
      </c>
      <c r="BE236" s="235">
        <f t="shared" si="806"/>
        <v>0.49632459746149915</v>
      </c>
      <c r="BF236" s="235">
        <f t="shared" si="806"/>
        <v>-0.27015715026391551</v>
      </c>
      <c r="BG236" s="235">
        <f t="shared" si="806"/>
        <v>-9.6829837938004704E-2</v>
      </c>
      <c r="BH236" s="235">
        <f t="shared" si="806"/>
        <v>0.19844251699848603</v>
      </c>
      <c r="BI236" s="235">
        <f t="shared" si="806"/>
        <v>0.32238300493583716</v>
      </c>
      <c r="BJ236" s="235">
        <f t="shared" si="806"/>
        <v>-0.27082056791253206</v>
      </c>
      <c r="BK236" s="235">
        <f t="shared" si="806"/>
        <v>-0.10173660815493868</v>
      </c>
      <c r="BL236" s="235">
        <f t="shared" si="806"/>
        <v>1.5398571940227646E-2</v>
      </c>
      <c r="BM236" s="235">
        <f t="shared" si="806"/>
        <v>0.49649563191172308</v>
      </c>
      <c r="BN236" s="235">
        <f t="shared" si="806"/>
        <v>-0.25051223305977843</v>
      </c>
      <c r="BO236" s="160"/>
      <c r="BP236" s="160" t="s">
        <v>17</v>
      </c>
      <c r="BQ236" s="160" t="s">
        <v>17</v>
      </c>
      <c r="BR236" s="160" t="s">
        <v>17</v>
      </c>
      <c r="BS236" s="160" t="s">
        <v>17</v>
      </c>
      <c r="BT236" s="160" t="s">
        <v>17</v>
      </c>
      <c r="BU236" s="160" t="s">
        <v>17</v>
      </c>
      <c r="BV236" s="160" t="s">
        <v>17</v>
      </c>
      <c r="BW236" s="160" t="s">
        <v>17</v>
      </c>
      <c r="BX236" s="160" t="s">
        <v>17</v>
      </c>
      <c r="BY236" s="160" t="s">
        <v>17</v>
      </c>
      <c r="BZ236" s="160" t="s">
        <v>17</v>
      </c>
      <c r="CA236" s="160" t="s">
        <v>17</v>
      </c>
      <c r="CB236" s="160" t="s">
        <v>17</v>
      </c>
      <c r="CC236" s="160" t="s">
        <v>17</v>
      </c>
      <c r="CD236" s="160" t="s">
        <v>17</v>
      </c>
      <c r="CE236" s="160" t="s">
        <v>17</v>
      </c>
      <c r="CF236" s="160" t="s">
        <v>17</v>
      </c>
    </row>
    <row r="237" spans="1:87">
      <c r="A237" s="42" t="s">
        <v>111</v>
      </c>
      <c r="B237" s="235" t="s">
        <v>17</v>
      </c>
      <c r="C237" s="235">
        <f t="shared" ref="C237:AH237" si="807">IF(AND(B214&lt;0,C214&gt;0),"n/a",C214/B214-1)</f>
        <v>-0.13427561837455826</v>
      </c>
      <c r="D237" s="235">
        <f t="shared" si="807"/>
        <v>2.0408163265306145E-2</v>
      </c>
      <c r="E237" s="235">
        <f t="shared" si="807"/>
        <v>-2.4000000000000021E-2</v>
      </c>
      <c r="F237" s="235">
        <f t="shared" si="807"/>
        <v>0.24180327868852469</v>
      </c>
      <c r="G237" s="235">
        <f t="shared" si="807"/>
        <v>-0.13531353135313529</v>
      </c>
      <c r="H237" s="235">
        <f t="shared" si="807"/>
        <v>0.10687022900763354</v>
      </c>
      <c r="I237" s="235">
        <f t="shared" si="807"/>
        <v>1.7241379310344751E-2</v>
      </c>
      <c r="J237" s="235">
        <f t="shared" si="807"/>
        <v>-0.15254237288135597</v>
      </c>
      <c r="K237" s="235">
        <f t="shared" si="807"/>
        <v>4.0000000000000036E-2</v>
      </c>
      <c r="L237" s="235">
        <f t="shared" si="807"/>
        <v>0.10384615384615392</v>
      </c>
      <c r="M237" s="235">
        <f t="shared" si="807"/>
        <v>-9.0592334494773552E-2</v>
      </c>
      <c r="N237" s="235">
        <f t="shared" si="807"/>
        <v>1.5325670498084198E-2</v>
      </c>
      <c r="O237" s="235">
        <f t="shared" si="807"/>
        <v>-2.6415094339622636E-2</v>
      </c>
      <c r="P237" s="235">
        <f t="shared" si="807"/>
        <v>7.7519379844961378E-3</v>
      </c>
      <c r="Q237" s="235">
        <f t="shared" si="807"/>
        <v>-3.8461538461538436E-2</v>
      </c>
      <c r="R237" s="235">
        <f t="shared" si="807"/>
        <v>6.800000000000006E-2</v>
      </c>
      <c r="S237" s="235">
        <f t="shared" si="807"/>
        <v>-6.7415730337078705E-2</v>
      </c>
      <c r="T237" s="235">
        <f t="shared" si="807"/>
        <v>8.0321285140563248E-3</v>
      </c>
      <c r="U237" s="235">
        <f t="shared" si="807"/>
        <v>8.7649402390438169E-2</v>
      </c>
      <c r="V237" s="235">
        <f t="shared" si="807"/>
        <v>7.3260073260073E-3</v>
      </c>
      <c r="W237" s="235">
        <f t="shared" si="807"/>
        <v>-1.8181818181818188E-2</v>
      </c>
      <c r="X237" s="235">
        <f t="shared" si="807"/>
        <v>-0.11111111111111116</v>
      </c>
      <c r="Y237" s="235">
        <f t="shared" si="807"/>
        <v>0</v>
      </c>
      <c r="Z237" s="235">
        <f t="shared" si="807"/>
        <v>6.6666666666666652E-2</v>
      </c>
      <c r="AA237" s="235">
        <f t="shared" si="807"/>
        <v>4.296875E-2</v>
      </c>
      <c r="AB237" s="235">
        <f t="shared" si="807"/>
        <v>-1.1235955056179803E-2</v>
      </c>
      <c r="AC237" s="235">
        <f t="shared" si="807"/>
        <v>-2.2727272727272707E-2</v>
      </c>
      <c r="AD237" s="235">
        <f t="shared" si="807"/>
        <v>0.18992248062015493</v>
      </c>
      <c r="AE237" s="235">
        <f t="shared" si="807"/>
        <v>-3.2573289902280145E-2</v>
      </c>
      <c r="AF237" s="235">
        <f t="shared" si="807"/>
        <v>-6.7340067340067034E-3</v>
      </c>
      <c r="AG237" s="235">
        <f t="shared" si="807"/>
        <v>-1.3559322033898313E-2</v>
      </c>
      <c r="AH237" s="235">
        <f t="shared" si="807"/>
        <v>0</v>
      </c>
      <c r="AI237" s="235">
        <f t="shared" ref="AI237:BN237" si="808">IF(AND(AH214&lt;0,AI214&gt;0),"n/a",AI214/AH214-1)</f>
        <v>8.247422680412364E-2</v>
      </c>
      <c r="AJ237" s="235">
        <f t="shared" si="808"/>
        <v>-4.7619047619047672E-2</v>
      </c>
      <c r="AK237" s="235">
        <f t="shared" si="808"/>
        <v>-5.0000000000000044E-2</v>
      </c>
      <c r="AL237" s="235">
        <f t="shared" si="808"/>
        <v>0.22456140350877196</v>
      </c>
      <c r="AM237" s="235">
        <f t="shared" si="808"/>
        <v>-4.8710601719197721E-2</v>
      </c>
      <c r="AN237" s="235">
        <f t="shared" si="808"/>
        <v>-1.8072289156626509E-2</v>
      </c>
      <c r="AO237" s="235">
        <f t="shared" si="808"/>
        <v>9.2024539877300082E-3</v>
      </c>
      <c r="AP237" s="235">
        <f t="shared" si="808"/>
        <v>4.2553191489361764E-2</v>
      </c>
      <c r="AQ237" s="235">
        <f t="shared" si="808"/>
        <v>8.4548104956268189E-2</v>
      </c>
      <c r="AR237" s="235">
        <f t="shared" si="808"/>
        <v>-6.7204301075268869E-2</v>
      </c>
      <c r="AS237" s="235">
        <f t="shared" si="808"/>
        <v>8.6455331412103709E-2</v>
      </c>
      <c r="AT237" s="235">
        <f t="shared" si="808"/>
        <v>5.3050397877984157E-2</v>
      </c>
      <c r="AU237" s="235">
        <f t="shared" si="808"/>
        <v>8.3123425692695152E-2</v>
      </c>
      <c r="AV237" s="235">
        <f t="shared" si="808"/>
        <v>5.1162790697674376E-2</v>
      </c>
      <c r="AW237" s="235">
        <f t="shared" si="808"/>
        <v>-6.6149336283185867E-2</v>
      </c>
      <c r="AX237" s="235">
        <f t="shared" si="808"/>
        <v>0.23320447381606968</v>
      </c>
      <c r="AY237" s="235">
        <f t="shared" si="808"/>
        <v>-0.12080445901232395</v>
      </c>
      <c r="AZ237" s="235">
        <f t="shared" si="808"/>
        <v>0.1027264697840895</v>
      </c>
      <c r="BA237" s="235">
        <f t="shared" si="808"/>
        <v>-3.7610745637778331E-3</v>
      </c>
      <c r="BB237" s="235">
        <f t="shared" si="808"/>
        <v>2.2842533981535462E-2</v>
      </c>
      <c r="BC237" s="235">
        <f t="shared" si="808"/>
        <v>-0.11870118149498088</v>
      </c>
      <c r="BD237" s="235">
        <f t="shared" si="808"/>
        <v>0.16125343344841836</v>
      </c>
      <c r="BE237" s="235">
        <f t="shared" si="808"/>
        <v>-1.213435926833728E-2</v>
      </c>
      <c r="BF237" s="235">
        <f t="shared" si="808"/>
        <v>2.5255431772118753E-2</v>
      </c>
      <c r="BG237" s="235">
        <f t="shared" si="808"/>
        <v>-0.11905626564949912</v>
      </c>
      <c r="BH237" s="235">
        <f t="shared" si="808"/>
        <v>0.35836899492212027</v>
      </c>
      <c r="BI237" s="235">
        <f t="shared" si="808"/>
        <v>-0.1191567046942148</v>
      </c>
      <c r="BJ237" s="235">
        <f t="shared" si="808"/>
        <v>9.839107376644618E-3</v>
      </c>
      <c r="BK237" s="235">
        <f t="shared" si="808"/>
        <v>-0.13184195310352931</v>
      </c>
      <c r="BL237" s="235">
        <f t="shared" si="808"/>
        <v>0.16905865650501917</v>
      </c>
      <c r="BM237" s="235">
        <f t="shared" si="808"/>
        <v>5.7795396511965969E-3</v>
      </c>
      <c r="BN237" s="235">
        <f t="shared" si="808"/>
        <v>2.2830364294890826E-2</v>
      </c>
      <c r="BO237" s="160"/>
      <c r="BP237" s="160" t="s">
        <v>17</v>
      </c>
      <c r="BQ237" s="160" t="s">
        <v>17</v>
      </c>
      <c r="BR237" s="160" t="s">
        <v>17</v>
      </c>
      <c r="BS237" s="160" t="s">
        <v>17</v>
      </c>
      <c r="BT237" s="160" t="s">
        <v>17</v>
      </c>
      <c r="BU237" s="160" t="s">
        <v>17</v>
      </c>
      <c r="BV237" s="160" t="s">
        <v>17</v>
      </c>
      <c r="BW237" s="160" t="s">
        <v>17</v>
      </c>
      <c r="BX237" s="160" t="s">
        <v>17</v>
      </c>
      <c r="BY237" s="160" t="s">
        <v>17</v>
      </c>
      <c r="BZ237" s="160" t="s">
        <v>17</v>
      </c>
      <c r="CA237" s="160" t="s">
        <v>17</v>
      </c>
      <c r="CB237" s="160" t="s">
        <v>17</v>
      </c>
      <c r="CC237" s="160" t="s">
        <v>17</v>
      </c>
      <c r="CD237" s="160" t="s">
        <v>17</v>
      </c>
      <c r="CE237" s="160" t="s">
        <v>17</v>
      </c>
      <c r="CF237" s="160" t="s">
        <v>17</v>
      </c>
    </row>
    <row r="238" spans="1:87">
      <c r="A238" s="8" t="s">
        <v>177</v>
      </c>
      <c r="B238" s="235" t="s">
        <v>17</v>
      </c>
      <c r="C238" s="235">
        <f t="shared" ref="C238:AH238" si="809">IF(AND(B215&lt;0,C215&gt;0),"n/a",C215/B215-1)</f>
        <v>-0.17307692307692313</v>
      </c>
      <c r="D238" s="235">
        <f t="shared" si="809"/>
        <v>0.12558139534883717</v>
      </c>
      <c r="E238" s="235">
        <f t="shared" si="809"/>
        <v>0.14876033057851235</v>
      </c>
      <c r="F238" s="235">
        <f t="shared" si="809"/>
        <v>5.3956834532373765E-3</v>
      </c>
      <c r="G238" s="235">
        <f t="shared" si="809"/>
        <v>-0.17352415026833634</v>
      </c>
      <c r="H238" s="235">
        <f t="shared" si="809"/>
        <v>0.26623376623376616</v>
      </c>
      <c r="I238" s="235">
        <f t="shared" si="809"/>
        <v>0.10085470085470094</v>
      </c>
      <c r="J238" s="235">
        <f t="shared" si="809"/>
        <v>-0.13975155279503104</v>
      </c>
      <c r="K238" s="235">
        <f t="shared" si="809"/>
        <v>-0.12815884476534301</v>
      </c>
      <c r="L238" s="235">
        <f t="shared" si="809"/>
        <v>0.20289855072463769</v>
      </c>
      <c r="M238" s="235">
        <f t="shared" si="809"/>
        <v>-8.9500860585197906E-2</v>
      </c>
      <c r="N238" s="235">
        <f t="shared" si="809"/>
        <v>2.0793950850661602E-2</v>
      </c>
      <c r="O238" s="235">
        <f t="shared" si="809"/>
        <v>-0.1166666666666667</v>
      </c>
      <c r="P238" s="235">
        <f t="shared" si="809"/>
        <v>4.6121593291404528E-2</v>
      </c>
      <c r="Q238" s="235">
        <f t="shared" si="809"/>
        <v>8.21643286573146E-2</v>
      </c>
      <c r="R238" s="235">
        <f t="shared" si="809"/>
        <v>-6.8518518518518534E-2</v>
      </c>
      <c r="S238" s="235">
        <f t="shared" si="809"/>
        <v>-8.74751491053678E-2</v>
      </c>
      <c r="T238" s="235">
        <f t="shared" si="809"/>
        <v>8.2788671023965144E-2</v>
      </c>
      <c r="U238" s="235">
        <f t="shared" si="809"/>
        <v>4.8289738430583595E-2</v>
      </c>
      <c r="V238" s="235">
        <f t="shared" si="809"/>
        <v>-1.5355086372360827E-2</v>
      </c>
      <c r="W238" s="235">
        <f t="shared" si="809"/>
        <v>-7.9922027290448394E-2</v>
      </c>
      <c r="X238" s="235">
        <f t="shared" si="809"/>
        <v>1.4830508474576343E-2</v>
      </c>
      <c r="Y238" s="235">
        <f t="shared" si="809"/>
        <v>6.6805845511482165E-2</v>
      </c>
      <c r="Z238" s="235">
        <f t="shared" si="809"/>
        <v>-2.3483365949119372E-2</v>
      </c>
      <c r="AA238" s="235">
        <f t="shared" si="809"/>
        <v>-3.2064128256513058E-2</v>
      </c>
      <c r="AB238" s="235">
        <f t="shared" si="809"/>
        <v>3.105590062111796E-2</v>
      </c>
      <c r="AC238" s="235">
        <f t="shared" si="809"/>
        <v>0.17871485943775101</v>
      </c>
      <c r="AD238" s="235">
        <f t="shared" si="809"/>
        <v>-5.2810902896081813E-2</v>
      </c>
      <c r="AE238" s="235">
        <f t="shared" si="809"/>
        <v>-9.3525179856115082E-2</v>
      </c>
      <c r="AF238" s="235">
        <f t="shared" si="809"/>
        <v>8.7301587301587213E-2</v>
      </c>
      <c r="AG238" s="235">
        <f t="shared" si="809"/>
        <v>0.12408759124087587</v>
      </c>
      <c r="AH238" s="235">
        <f t="shared" si="809"/>
        <v>-0.15097402597402598</v>
      </c>
      <c r="AI238" s="235">
        <f t="shared" ref="AI238:BN238" si="810">IF(AND(AH215&lt;0,AI215&gt;0),"n/a",AI215/AH215-1)</f>
        <v>4.5889101338432159E-2</v>
      </c>
      <c r="AJ238" s="235">
        <f t="shared" si="810"/>
        <v>-1.8281535648994485E-2</v>
      </c>
      <c r="AK238" s="235">
        <f t="shared" si="810"/>
        <v>2.9795158286778367E-2</v>
      </c>
      <c r="AL238" s="235">
        <f t="shared" si="810"/>
        <v>0.22603978300180838</v>
      </c>
      <c r="AM238" s="235">
        <f t="shared" si="810"/>
        <v>-0.21976401179941008</v>
      </c>
      <c r="AN238" s="235">
        <f t="shared" si="810"/>
        <v>8.8846880907372361E-2</v>
      </c>
      <c r="AO238" s="235">
        <f t="shared" si="810"/>
        <v>8.8541666666666741E-2</v>
      </c>
      <c r="AP238" s="235">
        <f t="shared" si="810"/>
        <v>-9.5693779904306719E-3</v>
      </c>
      <c r="AQ238" s="235">
        <f t="shared" si="810"/>
        <v>-4.3478260869565188E-2</v>
      </c>
      <c r="AR238" s="235">
        <f t="shared" si="810"/>
        <v>8.4175084175084347E-3</v>
      </c>
      <c r="AS238" s="235">
        <f t="shared" si="810"/>
        <v>0.17863105175292149</v>
      </c>
      <c r="AT238" s="235">
        <f t="shared" si="810"/>
        <v>3.3994334277620331E-2</v>
      </c>
      <c r="AU238" s="235">
        <f t="shared" si="810"/>
        <v>2.7397260273972712E-2</v>
      </c>
      <c r="AV238" s="235">
        <f t="shared" si="810"/>
        <v>8.666666666666667E-2</v>
      </c>
      <c r="AW238" s="235">
        <f t="shared" si="810"/>
        <v>0.13293845858895725</v>
      </c>
      <c r="AX238" s="235">
        <f t="shared" si="810"/>
        <v>-2.1231861665021556E-2</v>
      </c>
      <c r="AY238" s="235">
        <f t="shared" si="810"/>
        <v>-0.10855324124209864</v>
      </c>
      <c r="AZ238" s="235">
        <f t="shared" si="810"/>
        <v>7.6212670667383575E-2</v>
      </c>
      <c r="BA238" s="235">
        <f t="shared" si="810"/>
        <v>0.20944269044754238</v>
      </c>
      <c r="BB238" s="235">
        <f t="shared" si="810"/>
        <v>-0.16060835413488561</v>
      </c>
      <c r="BC238" s="235">
        <f t="shared" si="810"/>
        <v>-0.108696432376722</v>
      </c>
      <c r="BD238" s="235">
        <f t="shared" si="810"/>
        <v>0.13310461426598796</v>
      </c>
      <c r="BE238" s="235">
        <f t="shared" si="810"/>
        <v>0.17804754932741784</v>
      </c>
      <c r="BF238" s="235">
        <f t="shared" si="810"/>
        <v>-0.14422055305470716</v>
      </c>
      <c r="BG238" s="235">
        <f t="shared" si="810"/>
        <v>-0.10438374500591807</v>
      </c>
      <c r="BH238" s="235">
        <f t="shared" si="810"/>
        <v>0.33370101938114516</v>
      </c>
      <c r="BI238" s="235">
        <f t="shared" si="810"/>
        <v>4.9695375179821699E-2</v>
      </c>
      <c r="BJ238" s="235">
        <f t="shared" si="810"/>
        <v>-0.16107411962472007</v>
      </c>
      <c r="BK238" s="235">
        <f t="shared" si="810"/>
        <v>-0.11405600687639084</v>
      </c>
      <c r="BL238" s="235">
        <f t="shared" si="810"/>
        <v>0.14955178874127317</v>
      </c>
      <c r="BM238" s="235">
        <f t="shared" si="810"/>
        <v>0.19789414403108396</v>
      </c>
      <c r="BN238" s="235">
        <f t="shared" si="810"/>
        <v>-0.15455254398890039</v>
      </c>
      <c r="BO238" s="160"/>
      <c r="BP238" s="160" t="s">
        <v>17</v>
      </c>
      <c r="BQ238" s="160" t="s">
        <v>17</v>
      </c>
      <c r="BR238" s="160" t="s">
        <v>17</v>
      </c>
      <c r="BS238" s="160" t="s">
        <v>17</v>
      </c>
      <c r="BT238" s="160" t="s">
        <v>17</v>
      </c>
      <c r="BU238" s="160" t="s">
        <v>17</v>
      </c>
      <c r="BV238" s="160" t="s">
        <v>17</v>
      </c>
      <c r="BW238" s="160" t="s">
        <v>17</v>
      </c>
      <c r="BX238" s="160" t="s">
        <v>17</v>
      </c>
      <c r="BY238" s="160" t="s">
        <v>17</v>
      </c>
      <c r="BZ238" s="160" t="s">
        <v>17</v>
      </c>
      <c r="CA238" s="160" t="s">
        <v>17</v>
      </c>
      <c r="CB238" s="160" t="s">
        <v>17</v>
      </c>
      <c r="CC238" s="160" t="s">
        <v>17</v>
      </c>
      <c r="CD238" s="160" t="s">
        <v>17</v>
      </c>
      <c r="CE238" s="160" t="s">
        <v>17</v>
      </c>
      <c r="CF238" s="160" t="s">
        <v>17</v>
      </c>
    </row>
    <row r="240" spans="1:87" s="172" customFormat="1">
      <c r="A240" s="25" t="s">
        <v>70</v>
      </c>
      <c r="B240" s="30">
        <f t="shared" ref="B240:AG240" si="811">B218+B215</f>
        <v>34</v>
      </c>
      <c r="C240" s="30">
        <f t="shared" si="811"/>
        <v>-109</v>
      </c>
      <c r="D240" s="30">
        <f t="shared" si="811"/>
        <v>39</v>
      </c>
      <c r="E240" s="30">
        <f t="shared" si="811"/>
        <v>272</v>
      </c>
      <c r="F240" s="30">
        <f t="shared" si="811"/>
        <v>111</v>
      </c>
      <c r="G240" s="30">
        <f t="shared" si="811"/>
        <v>-174</v>
      </c>
      <c r="H240" s="30">
        <f t="shared" si="811"/>
        <v>25</v>
      </c>
      <c r="I240" s="30">
        <f t="shared" si="811"/>
        <v>469</v>
      </c>
      <c r="J240" s="30">
        <f t="shared" si="811"/>
        <v>77</v>
      </c>
      <c r="K240" s="30">
        <f t="shared" si="811"/>
        <v>-181</v>
      </c>
      <c r="L240" s="30">
        <f t="shared" si="811"/>
        <v>68</v>
      </c>
      <c r="M240" s="30">
        <f t="shared" si="811"/>
        <v>247</v>
      </c>
      <c r="N240" s="30">
        <f t="shared" si="811"/>
        <v>233</v>
      </c>
      <c r="O240" s="30">
        <f t="shared" si="811"/>
        <v>-161</v>
      </c>
      <c r="P240" s="30">
        <f t="shared" si="811"/>
        <v>143</v>
      </c>
      <c r="Q240" s="30">
        <f t="shared" si="811"/>
        <v>531</v>
      </c>
      <c r="R240" s="30">
        <f t="shared" si="811"/>
        <v>204</v>
      </c>
      <c r="S240" s="30">
        <f t="shared" si="811"/>
        <v>85</v>
      </c>
      <c r="T240" s="30">
        <f t="shared" si="811"/>
        <v>309</v>
      </c>
      <c r="U240" s="30">
        <f t="shared" si="811"/>
        <v>519</v>
      </c>
      <c r="V240" s="30">
        <f t="shared" si="811"/>
        <v>163</v>
      </c>
      <c r="W240" s="30">
        <f t="shared" si="811"/>
        <v>60</v>
      </c>
      <c r="X240" s="30">
        <f t="shared" si="811"/>
        <v>270</v>
      </c>
      <c r="Y240" s="30">
        <f t="shared" si="811"/>
        <v>758</v>
      </c>
      <c r="Z240" s="30">
        <f t="shared" si="811"/>
        <v>212</v>
      </c>
      <c r="AA240" s="30">
        <f t="shared" si="811"/>
        <v>34</v>
      </c>
      <c r="AB240" s="30">
        <f t="shared" si="811"/>
        <v>212</v>
      </c>
      <c r="AC240" s="30">
        <f t="shared" si="811"/>
        <v>985</v>
      </c>
      <c r="AD240" s="30">
        <f t="shared" si="811"/>
        <v>335</v>
      </c>
      <c r="AE240" s="30">
        <f t="shared" si="811"/>
        <v>118</v>
      </c>
      <c r="AF240" s="30">
        <f t="shared" si="811"/>
        <v>243</v>
      </c>
      <c r="AG240" s="30">
        <f t="shared" si="811"/>
        <v>854</v>
      </c>
      <c r="AH240" s="30">
        <f t="shared" ref="AH240:BN240" si="812">AH218+AH215</f>
        <v>501.16025226153852</v>
      </c>
      <c r="AI240" s="30">
        <f t="shared" si="812"/>
        <v>38</v>
      </c>
      <c r="AJ240" s="30">
        <f t="shared" si="812"/>
        <v>313</v>
      </c>
      <c r="AK240" s="30">
        <f t="shared" si="812"/>
        <v>693</v>
      </c>
      <c r="AL240" s="30">
        <f t="shared" si="812"/>
        <v>459</v>
      </c>
      <c r="AM240" s="30">
        <f t="shared" si="812"/>
        <v>108</v>
      </c>
      <c r="AN240" s="30">
        <f t="shared" si="812"/>
        <v>371</v>
      </c>
      <c r="AO240" s="30">
        <f t="shared" si="812"/>
        <v>935</v>
      </c>
      <c r="AP240" s="30">
        <f t="shared" si="812"/>
        <v>413</v>
      </c>
      <c r="AQ240" s="30">
        <f t="shared" si="812"/>
        <v>509</v>
      </c>
      <c r="AR240" s="30">
        <f t="shared" si="812"/>
        <v>27</v>
      </c>
      <c r="AS240" s="30">
        <f t="shared" si="812"/>
        <v>1094</v>
      </c>
      <c r="AT240" s="30">
        <f t="shared" si="812"/>
        <v>446</v>
      </c>
      <c r="AU240" s="30">
        <f t="shared" si="812"/>
        <v>294</v>
      </c>
      <c r="AV240" s="30">
        <f t="shared" ref="AV240" si="813">AV218+AV215</f>
        <v>566</v>
      </c>
      <c r="AW240" s="30">
        <f t="shared" si="812"/>
        <v>1134.3950937499999</v>
      </c>
      <c r="AX240" s="30">
        <f t="shared" si="812"/>
        <v>512.94682852349001</v>
      </c>
      <c r="AY240" s="30">
        <f t="shared" si="812"/>
        <v>377.60695398759765</v>
      </c>
      <c r="AZ240" s="30">
        <f t="shared" si="812"/>
        <v>583.69463479128763</v>
      </c>
      <c r="BA240" s="30">
        <f t="shared" si="812"/>
        <v>1189.4057496375001</v>
      </c>
      <c r="BB240" s="30">
        <f t="shared" si="812"/>
        <v>471.00708912503353</v>
      </c>
      <c r="BC240" s="30">
        <f t="shared" si="812"/>
        <v>410.01013425146152</v>
      </c>
      <c r="BD240" s="30">
        <f t="shared" si="812"/>
        <v>627.99666666376584</v>
      </c>
      <c r="BE240" s="30">
        <f t="shared" si="812"/>
        <v>1273.0263043370751</v>
      </c>
      <c r="BF240" s="30">
        <f t="shared" si="812"/>
        <v>531.72040439397733</v>
      </c>
      <c r="BG240" s="30">
        <f t="shared" si="812"/>
        <v>457.83550125641591</v>
      </c>
      <c r="BH240" s="30">
        <f t="shared" si="812"/>
        <v>788.41217002404983</v>
      </c>
      <c r="BI240" s="30">
        <f t="shared" si="812"/>
        <v>1386.9696602334409</v>
      </c>
      <c r="BJ240" s="30">
        <f t="shared" si="812"/>
        <v>592.15347531264797</v>
      </c>
      <c r="BK240" s="30">
        <f t="shared" si="812"/>
        <v>510.95451978831511</v>
      </c>
      <c r="BL240" s="30">
        <f t="shared" si="812"/>
        <v>735.76015466011688</v>
      </c>
      <c r="BM240" s="30">
        <f t="shared" si="812"/>
        <v>1439.6686586372023</v>
      </c>
      <c r="BN240" s="30">
        <f t="shared" si="812"/>
        <v>645.04544924760262</v>
      </c>
      <c r="BO240" s="30"/>
      <c r="BP240" s="30">
        <f t="shared" ref="BP240:CF240" si="814">BP218+BP215</f>
        <v>-280</v>
      </c>
      <c r="BQ240" s="30">
        <f t="shared" si="814"/>
        <v>313</v>
      </c>
      <c r="BR240" s="30">
        <f t="shared" si="814"/>
        <v>397</v>
      </c>
      <c r="BS240" s="30">
        <f t="shared" si="814"/>
        <v>367</v>
      </c>
      <c r="BT240" s="30">
        <f t="shared" si="814"/>
        <v>717</v>
      </c>
      <c r="BU240" s="30">
        <f t="shared" si="814"/>
        <v>1076</v>
      </c>
      <c r="BV240" s="30">
        <f t="shared" si="814"/>
        <v>1300</v>
      </c>
      <c r="BW240" s="30">
        <f t="shared" si="814"/>
        <v>1566</v>
      </c>
      <c r="BX240" s="30">
        <f t="shared" si="814"/>
        <v>1716.1602522615385</v>
      </c>
      <c r="BY240" s="30">
        <f t="shared" si="814"/>
        <v>1503</v>
      </c>
      <c r="BZ240" s="30">
        <f t="shared" si="814"/>
        <v>1827</v>
      </c>
      <c r="CA240" s="30">
        <f t="shared" si="814"/>
        <v>2076</v>
      </c>
      <c r="CB240" s="30">
        <f t="shared" si="814"/>
        <v>2507.3419222734892</v>
      </c>
      <c r="CC240" s="30">
        <f t="shared" si="814"/>
        <v>2621.714427541418</v>
      </c>
      <c r="CD240" s="30">
        <f t="shared" si="814"/>
        <v>2842.7535096462798</v>
      </c>
      <c r="CE240" s="30">
        <f t="shared" si="814"/>
        <v>3225.3708068265551</v>
      </c>
      <c r="CF240" s="30">
        <f t="shared" si="814"/>
        <v>3331.4287823332356</v>
      </c>
      <c r="CG240" s="134"/>
      <c r="CH240" s="134"/>
      <c r="CI240" s="134"/>
    </row>
    <row r="241" spans="1:87" s="200" customFormat="1">
      <c r="A241" s="69" t="s">
        <v>3</v>
      </c>
      <c r="B241" s="34">
        <f t="shared" ref="B241:AG241" si="815">B240/B8</f>
        <v>0.04</v>
      </c>
      <c r="C241" s="34">
        <f t="shared" si="815"/>
        <v>-0.20222634508348794</v>
      </c>
      <c r="D241" s="34">
        <f t="shared" si="815"/>
        <v>4.4117647058823532E-2</v>
      </c>
      <c r="E241" s="34">
        <f t="shared" si="815"/>
        <v>0.19290780141843972</v>
      </c>
      <c r="F241" s="34">
        <f t="shared" si="815"/>
        <v>0.11155778894472362</v>
      </c>
      <c r="G241" s="34">
        <f t="shared" si="815"/>
        <v>-0.33206106870229007</v>
      </c>
      <c r="H241" s="34">
        <f t="shared" si="815"/>
        <v>2.4177949709864602E-2</v>
      </c>
      <c r="I241" s="34">
        <f t="shared" si="815"/>
        <v>0.28407026044821321</v>
      </c>
      <c r="J241" s="34">
        <f t="shared" si="815"/>
        <v>7.8812691914022515E-2</v>
      </c>
      <c r="K241" s="34">
        <f t="shared" si="815"/>
        <v>-0.36863543788187375</v>
      </c>
      <c r="L241" s="34">
        <f t="shared" si="815"/>
        <v>6.2962962962962957E-2</v>
      </c>
      <c r="M241" s="34">
        <f t="shared" si="815"/>
        <v>0.20896785109983079</v>
      </c>
      <c r="N241" s="34">
        <f t="shared" si="815"/>
        <v>0.22403846153846155</v>
      </c>
      <c r="O241" s="34">
        <f t="shared" si="815"/>
        <v>-0.32525252525252524</v>
      </c>
      <c r="P241" s="34">
        <f t="shared" si="815"/>
        <v>0.13750000000000001</v>
      </c>
      <c r="Q241" s="34">
        <f t="shared" si="815"/>
        <v>0.33778625954198471</v>
      </c>
      <c r="R241" s="34">
        <f t="shared" si="815"/>
        <v>0.22319474835886213</v>
      </c>
      <c r="S241" s="34">
        <f t="shared" si="815"/>
        <v>0.10967741935483871</v>
      </c>
      <c r="T241" s="34">
        <f t="shared" si="815"/>
        <v>0.25327868852459018</v>
      </c>
      <c r="U241" s="34">
        <f t="shared" si="815"/>
        <v>0.36344537815126049</v>
      </c>
      <c r="V241" s="34">
        <f t="shared" si="815"/>
        <v>0.18191964285714285</v>
      </c>
      <c r="W241" s="34">
        <f t="shared" si="815"/>
        <v>8.6580086580086577E-2</v>
      </c>
      <c r="X241" s="34">
        <f t="shared" si="815"/>
        <v>0.2356020942408377</v>
      </c>
      <c r="Y241" s="34">
        <f t="shared" si="815"/>
        <v>0.42041042706600112</v>
      </c>
      <c r="Z241" s="34">
        <f t="shared" si="815"/>
        <v>0.22943722943722944</v>
      </c>
      <c r="AA241" s="34">
        <f t="shared" si="815"/>
        <v>4.9853372434017593E-2</v>
      </c>
      <c r="AB241" s="34">
        <f t="shared" si="815"/>
        <v>0.19307832422586521</v>
      </c>
      <c r="AC241" s="34">
        <f t="shared" si="815"/>
        <v>0.47584541062801933</v>
      </c>
      <c r="AD241" s="34">
        <f t="shared" si="815"/>
        <v>0.3067765567765568</v>
      </c>
      <c r="AE241" s="34">
        <f t="shared" si="815"/>
        <v>0.15225806451612903</v>
      </c>
      <c r="AF241" s="34">
        <f t="shared" si="815"/>
        <v>0.20610687022900764</v>
      </c>
      <c r="AG241" s="34">
        <f t="shared" si="815"/>
        <v>0.43328259766615929</v>
      </c>
      <c r="AH241" s="34">
        <f t="shared" ref="AH241:BM241" si="816">AH240/AH8</f>
        <v>0.39933087829604663</v>
      </c>
      <c r="AI241" s="34">
        <f t="shared" si="816"/>
        <v>5.0734312416555405E-2</v>
      </c>
      <c r="AJ241" s="34">
        <f t="shared" si="816"/>
        <v>0.25613747954173488</v>
      </c>
      <c r="AK241" s="34">
        <f t="shared" si="816"/>
        <v>0.43070229956494716</v>
      </c>
      <c r="AL241" s="34">
        <f t="shared" si="816"/>
        <v>0.33651026392961875</v>
      </c>
      <c r="AM241" s="34">
        <f t="shared" si="816"/>
        <v>0.13810741687979539</v>
      </c>
      <c r="AN241" s="34">
        <f t="shared" si="816"/>
        <v>0.28255902513328257</v>
      </c>
      <c r="AO241" s="34">
        <f t="shared" si="816"/>
        <v>0.46264225630875805</v>
      </c>
      <c r="AP241" s="34">
        <f t="shared" si="816"/>
        <v>0.32882165605095542</v>
      </c>
      <c r="AQ241" s="34">
        <f t="shared" si="816"/>
        <v>0.36618705035971222</v>
      </c>
      <c r="AR241" s="34">
        <f t="shared" si="816"/>
        <v>2.9670329670329669E-2</v>
      </c>
      <c r="AS241" s="34">
        <f t="shared" si="816"/>
        <v>0.45583333333333331</v>
      </c>
      <c r="AT241" s="34">
        <f t="shared" si="816"/>
        <v>0.29932885906040269</v>
      </c>
      <c r="AU241" s="34">
        <f t="shared" si="816"/>
        <v>0.22005988023952097</v>
      </c>
      <c r="AV241" s="34">
        <f t="shared" ref="AV241" si="817">AV240/AV8</f>
        <v>0.30578065910318747</v>
      </c>
      <c r="AW241" s="34">
        <f t="shared" si="816"/>
        <v>0.42999999999999994</v>
      </c>
      <c r="AX241" s="34">
        <f t="shared" si="816"/>
        <v>0.28577181208053698</v>
      </c>
      <c r="AY241" s="34">
        <f t="shared" si="816"/>
        <v>0.24905988023952094</v>
      </c>
      <c r="AZ241" s="34">
        <f t="shared" si="816"/>
        <v>0.29978065910318746</v>
      </c>
      <c r="BA241" s="34">
        <f t="shared" si="816"/>
        <v>0.41399999999999998</v>
      </c>
      <c r="BB241" s="34">
        <f t="shared" si="816"/>
        <v>0.27477181208053691</v>
      </c>
      <c r="BC241" s="34">
        <f t="shared" si="816"/>
        <v>0.26855988023952099</v>
      </c>
      <c r="BD241" s="34">
        <f t="shared" si="816"/>
        <v>0.30928065910318747</v>
      </c>
      <c r="BE241" s="34">
        <f t="shared" si="816"/>
        <v>0.42849999999999994</v>
      </c>
      <c r="BF241" s="34">
        <f t="shared" si="816"/>
        <v>0.29427181208053693</v>
      </c>
      <c r="BG241" s="34">
        <f t="shared" si="816"/>
        <v>0.28455988023952095</v>
      </c>
      <c r="BH241" s="34">
        <f t="shared" si="816"/>
        <v>0.31728065910318748</v>
      </c>
      <c r="BI241" s="34">
        <f t="shared" si="816"/>
        <v>0.43200000000000005</v>
      </c>
      <c r="BJ241" s="34">
        <f t="shared" si="816"/>
        <v>0.30527181208053694</v>
      </c>
      <c r="BK241" s="34">
        <f t="shared" si="816"/>
        <v>0.2975598802395209</v>
      </c>
      <c r="BL241" s="34">
        <f t="shared" si="816"/>
        <v>0.32478065910318749</v>
      </c>
      <c r="BM241" s="34">
        <f t="shared" si="816"/>
        <v>0.435</v>
      </c>
      <c r="BN241" s="34">
        <f t="shared" ref="BN241" si="818">BN240/BN8</f>
        <v>0.3157718120805369</v>
      </c>
      <c r="BO241" s="35"/>
      <c r="BP241" s="35" t="s">
        <v>17</v>
      </c>
      <c r="BQ241" s="35">
        <f t="shared" ref="BQ241:CF241" si="819">BQ240/BQ8</f>
        <v>8.1765935214211077E-2</v>
      </c>
      <c r="BR241" s="35">
        <f t="shared" si="819"/>
        <v>9.4839942666029617E-2</v>
      </c>
      <c r="BS241" s="35">
        <f t="shared" si="819"/>
        <v>9.6757184286844183E-2</v>
      </c>
      <c r="BT241" s="35">
        <f t="shared" si="819"/>
        <v>0.17831385227555335</v>
      </c>
      <c r="BU241" s="35">
        <f t="shared" si="819"/>
        <v>0.24913174345913405</v>
      </c>
      <c r="BV241" s="35">
        <f t="shared" si="819"/>
        <v>0.28471309680245294</v>
      </c>
      <c r="BW241" s="35">
        <f t="shared" si="819"/>
        <v>0.31687575880210439</v>
      </c>
      <c r="BX241" s="35">
        <f t="shared" si="819"/>
        <v>0.33130506800415799</v>
      </c>
      <c r="BY241" s="35">
        <f t="shared" si="819"/>
        <v>0.30400485436893204</v>
      </c>
      <c r="BZ241" s="35">
        <f t="shared" si="819"/>
        <v>0.34009679821295608</v>
      </c>
      <c r="CA241" s="35">
        <f t="shared" si="819"/>
        <v>0.33537964458804526</v>
      </c>
      <c r="CB241" s="35">
        <f t="shared" si="819"/>
        <v>0.32904401484249246</v>
      </c>
      <c r="CC241" s="35">
        <f t="shared" si="819"/>
        <v>0.32566514815514974</v>
      </c>
      <c r="CD241" s="35">
        <f t="shared" si="819"/>
        <v>0.34106226396537598</v>
      </c>
      <c r="CE241" s="35">
        <f t="shared" si="819"/>
        <v>0.3489088078579754</v>
      </c>
      <c r="CF241" s="35">
        <f t="shared" si="819"/>
        <v>0.35687904007407861</v>
      </c>
      <c r="CG241" s="77"/>
      <c r="CH241" s="77"/>
      <c r="CI241" s="77"/>
    </row>
    <row r="242" spans="1:87" s="200" customFormat="1">
      <c r="A242" s="69" t="s">
        <v>0</v>
      </c>
      <c r="B242" s="34" t="s">
        <v>17</v>
      </c>
      <c r="C242" s="34">
        <f>IF(AND(B240&lt;0,C240&gt;0),"n/a",C240/B240-1)</f>
        <v>-4.2058823529411766</v>
      </c>
      <c r="D242" s="34" t="str">
        <f>IF(AND(C240&lt;0,D240&gt;0),"n/a",D240/C240-1)</f>
        <v>n/a</v>
      </c>
      <c r="E242" s="34">
        <f>IF(AND(D240&lt;0,E240&gt;0),"n/a",E240/D240-1)</f>
        <v>5.9743589743589745</v>
      </c>
      <c r="F242" s="34">
        <f>IF(AND(E240&lt;0,F240&gt;0),"n/a",F240/E240-1)</f>
        <v>-0.59191176470588236</v>
      </c>
      <c r="G242" s="34">
        <f t="shared" ref="G242:AV242" si="820">IF(AND(F240&lt;0,G240&gt;0),"n/a",G240/F240-1)</f>
        <v>-2.5675675675675675</v>
      </c>
      <c r="H242" s="34" t="str">
        <f t="shared" si="820"/>
        <v>n/a</v>
      </c>
      <c r="I242" s="34">
        <f t="shared" si="820"/>
        <v>17.760000000000002</v>
      </c>
      <c r="J242" s="34">
        <f t="shared" si="820"/>
        <v>-0.83582089552238803</v>
      </c>
      <c r="K242" s="34">
        <f t="shared" si="820"/>
        <v>-3.3506493506493507</v>
      </c>
      <c r="L242" s="34" t="str">
        <f t="shared" si="820"/>
        <v>n/a</v>
      </c>
      <c r="M242" s="34">
        <f t="shared" si="820"/>
        <v>2.6323529411764706</v>
      </c>
      <c r="N242" s="34">
        <f t="shared" si="820"/>
        <v>-5.6680161943319818E-2</v>
      </c>
      <c r="O242" s="34">
        <f t="shared" si="820"/>
        <v>-1.6909871244635193</v>
      </c>
      <c r="P242" s="34" t="str">
        <f t="shared" si="820"/>
        <v>n/a</v>
      </c>
      <c r="Q242" s="34">
        <f t="shared" si="820"/>
        <v>2.7132867132867133</v>
      </c>
      <c r="R242" s="34">
        <f t="shared" si="820"/>
        <v>-0.61581920903954801</v>
      </c>
      <c r="S242" s="34">
        <f t="shared" si="820"/>
        <v>-0.58333333333333326</v>
      </c>
      <c r="T242" s="34">
        <f t="shared" si="820"/>
        <v>2.6352941176470588</v>
      </c>
      <c r="U242" s="34">
        <f t="shared" si="820"/>
        <v>0.67961165048543681</v>
      </c>
      <c r="V242" s="34">
        <f t="shared" si="820"/>
        <v>-0.68593448940269752</v>
      </c>
      <c r="W242" s="34">
        <f t="shared" si="820"/>
        <v>-0.63190184049079756</v>
      </c>
      <c r="X242" s="34">
        <f t="shared" si="820"/>
        <v>3.5</v>
      </c>
      <c r="Y242" s="34">
        <f t="shared" si="820"/>
        <v>1.8074074074074074</v>
      </c>
      <c r="Z242" s="34">
        <f t="shared" si="820"/>
        <v>-0.72031662269129293</v>
      </c>
      <c r="AA242" s="34">
        <f t="shared" si="820"/>
        <v>-0.839622641509434</v>
      </c>
      <c r="AB242" s="34">
        <f t="shared" si="820"/>
        <v>5.2352941176470589</v>
      </c>
      <c r="AC242" s="34">
        <f t="shared" si="820"/>
        <v>3.6462264150943398</v>
      </c>
      <c r="AD242" s="34">
        <f t="shared" si="820"/>
        <v>-0.65989847715736039</v>
      </c>
      <c r="AE242" s="34">
        <f t="shared" si="820"/>
        <v>-0.64776119402985077</v>
      </c>
      <c r="AF242" s="34">
        <f t="shared" si="820"/>
        <v>1.0593220338983049</v>
      </c>
      <c r="AG242" s="34">
        <f t="shared" si="820"/>
        <v>2.5144032921810702</v>
      </c>
      <c r="AH242" s="34">
        <f t="shared" si="820"/>
        <v>-0.41316129711763638</v>
      </c>
      <c r="AI242" s="34">
        <f t="shared" si="820"/>
        <v>-0.92417595005086495</v>
      </c>
      <c r="AJ242" s="34">
        <f t="shared" si="820"/>
        <v>7.2368421052631575</v>
      </c>
      <c r="AK242" s="34">
        <f t="shared" si="820"/>
        <v>1.2140575079872202</v>
      </c>
      <c r="AL242" s="34">
        <f t="shared" si="820"/>
        <v>-0.33766233766233766</v>
      </c>
      <c r="AM242" s="34">
        <f t="shared" si="820"/>
        <v>-0.76470588235294112</v>
      </c>
      <c r="AN242" s="34">
        <f t="shared" si="820"/>
        <v>2.4351851851851851</v>
      </c>
      <c r="AO242" s="34">
        <f t="shared" si="820"/>
        <v>1.5202156334231804</v>
      </c>
      <c r="AP242" s="34">
        <f t="shared" si="820"/>
        <v>-0.55828877005347599</v>
      </c>
      <c r="AQ242" s="34">
        <f t="shared" si="820"/>
        <v>0.23244552058111378</v>
      </c>
      <c r="AR242" s="34">
        <f t="shared" si="820"/>
        <v>-0.94695481335952847</v>
      </c>
      <c r="AS242" s="34">
        <f t="shared" si="820"/>
        <v>39.518518518518519</v>
      </c>
      <c r="AT242" s="34">
        <f t="shared" si="820"/>
        <v>-0.59232175502742224</v>
      </c>
      <c r="AU242" s="34">
        <f t="shared" si="820"/>
        <v>-0.34080717488789236</v>
      </c>
      <c r="AV242" s="34">
        <f t="shared" si="820"/>
        <v>0.9251700680272108</v>
      </c>
      <c r="AW242" s="34">
        <f>IF(AND(AV240&lt;0,AW240&gt;0),"n/a",AW240/AV240-1)</f>
        <v>1.0042316143992931</v>
      </c>
      <c r="AX242" s="34">
        <f>IF(AND(AW240&lt;0,AX240&gt;0),"n/a",AX240/AW240-1)</f>
        <v>-0.54782347759647998</v>
      </c>
      <c r="AY242" s="34">
        <f t="shared" ref="AY242:BF242" si="821">IF(AND(AX240&lt;0,AY240&gt;0),"n/a",AY240/AX240-1)</f>
        <v>-0.26384776551882816</v>
      </c>
      <c r="AZ242" s="34">
        <f t="shared" si="821"/>
        <v>0.54577300186706523</v>
      </c>
      <c r="BA242" s="34">
        <f t="shared" si="821"/>
        <v>1.0377191749634589</v>
      </c>
      <c r="BB242" s="34">
        <f t="shared" si="821"/>
        <v>-0.60399797187075621</v>
      </c>
      <c r="BC242" s="34">
        <f t="shared" si="821"/>
        <v>-0.12950326286358671</v>
      </c>
      <c r="BD242" s="34">
        <f t="shared" si="821"/>
        <v>0.53166132786028153</v>
      </c>
      <c r="BE242" s="34">
        <f t="shared" si="821"/>
        <v>1.0271227092653712</v>
      </c>
      <c r="BF242" s="34">
        <f t="shared" si="821"/>
        <v>-0.58231781811384553</v>
      </c>
      <c r="BG242" s="34">
        <f t="shared" ref="BG242:BN242" si="822">IF(AND(BF240&lt;0,BG240&gt;0),"n/a",BG240/BF240-1)</f>
        <v>-0.13895442515840817</v>
      </c>
      <c r="BH242" s="34">
        <f t="shared" si="822"/>
        <v>0.72204245380807808</v>
      </c>
      <c r="BI242" s="34">
        <f t="shared" si="822"/>
        <v>0.75919362101061005</v>
      </c>
      <c r="BJ242" s="34">
        <f t="shared" si="822"/>
        <v>-0.57305953238156437</v>
      </c>
      <c r="BK242" s="34">
        <f t="shared" si="822"/>
        <v>-0.13712484838742367</v>
      </c>
      <c r="BL242" s="34">
        <f t="shared" si="822"/>
        <v>0.43997190780294337</v>
      </c>
      <c r="BM242" s="34">
        <f t="shared" si="822"/>
        <v>0.95670919323193671</v>
      </c>
      <c r="BN242" s="34">
        <f t="shared" si="822"/>
        <v>-0.55194867556663629</v>
      </c>
      <c r="BO242" s="35"/>
      <c r="BP242" s="35" t="s">
        <v>17</v>
      </c>
      <c r="BQ242" s="35" t="s">
        <v>17</v>
      </c>
      <c r="BR242" s="35" t="s">
        <v>17</v>
      </c>
      <c r="BS242" s="35" t="s">
        <v>17</v>
      </c>
      <c r="BT242" s="35" t="s">
        <v>17</v>
      </c>
      <c r="BU242" s="35" t="s">
        <v>17</v>
      </c>
      <c r="BV242" s="35" t="s">
        <v>17</v>
      </c>
      <c r="BW242" s="35" t="s">
        <v>17</v>
      </c>
      <c r="BX242" s="35" t="s">
        <v>17</v>
      </c>
      <c r="BY242" s="35" t="s">
        <v>17</v>
      </c>
      <c r="BZ242" s="35" t="s">
        <v>17</v>
      </c>
      <c r="CA242" s="35" t="s">
        <v>17</v>
      </c>
      <c r="CB242" s="35" t="s">
        <v>17</v>
      </c>
      <c r="CC242" s="35" t="s">
        <v>17</v>
      </c>
      <c r="CD242" s="35" t="s">
        <v>17</v>
      </c>
      <c r="CE242" s="35" t="s">
        <v>17</v>
      </c>
      <c r="CF242" s="35" t="s">
        <v>17</v>
      </c>
      <c r="CG242" s="77"/>
      <c r="CH242" s="77"/>
      <c r="CI242" s="77"/>
    </row>
    <row r="243" spans="1:87" s="200" customFormat="1">
      <c r="A243" s="69" t="s">
        <v>1</v>
      </c>
      <c r="B243" s="34" t="s">
        <v>17</v>
      </c>
      <c r="C243" s="34" t="s">
        <v>17</v>
      </c>
      <c r="D243" s="34" t="s">
        <v>17</v>
      </c>
      <c r="E243" s="34" t="s">
        <v>17</v>
      </c>
      <c r="F243" s="34">
        <f t="shared" ref="F243:AV243" si="823">IF(AND(B240&lt;0,F240&gt;0),"n/a",F240/B240-1)</f>
        <v>2.2647058823529411</v>
      </c>
      <c r="G243" s="34">
        <f t="shared" si="823"/>
        <v>0.59633027522935778</v>
      </c>
      <c r="H243" s="34">
        <f t="shared" si="823"/>
        <v>-0.35897435897435892</v>
      </c>
      <c r="I243" s="34">
        <f t="shared" si="823"/>
        <v>0.72426470588235303</v>
      </c>
      <c r="J243" s="34">
        <f t="shared" si="823"/>
        <v>-0.30630630630630629</v>
      </c>
      <c r="K243" s="34">
        <f t="shared" si="823"/>
        <v>4.022988505747116E-2</v>
      </c>
      <c r="L243" s="34">
        <f t="shared" si="823"/>
        <v>1.7200000000000002</v>
      </c>
      <c r="M243" s="34">
        <f t="shared" si="823"/>
        <v>-0.4733475479744137</v>
      </c>
      <c r="N243" s="34">
        <f t="shared" si="823"/>
        <v>2.0259740259740258</v>
      </c>
      <c r="O243" s="34">
        <f t="shared" si="823"/>
        <v>-0.11049723756906082</v>
      </c>
      <c r="P243" s="34">
        <f t="shared" si="823"/>
        <v>1.1029411764705883</v>
      </c>
      <c r="Q243" s="34">
        <f t="shared" si="823"/>
        <v>1.1497975708502026</v>
      </c>
      <c r="R243" s="34">
        <f t="shared" si="823"/>
        <v>-0.12446351931330468</v>
      </c>
      <c r="S243" s="34" t="str">
        <f t="shared" si="823"/>
        <v>n/a</v>
      </c>
      <c r="T243" s="34">
        <f t="shared" si="823"/>
        <v>1.1608391608391608</v>
      </c>
      <c r="U243" s="34">
        <f t="shared" si="823"/>
        <v>-2.2598870056497189E-2</v>
      </c>
      <c r="V243" s="34">
        <f t="shared" si="823"/>
        <v>-0.2009803921568627</v>
      </c>
      <c r="W243" s="34">
        <f t="shared" si="823"/>
        <v>-0.29411764705882348</v>
      </c>
      <c r="X243" s="34">
        <f t="shared" si="823"/>
        <v>-0.12621359223300976</v>
      </c>
      <c r="Y243" s="34">
        <f t="shared" si="823"/>
        <v>0.46050096339113678</v>
      </c>
      <c r="Z243" s="34">
        <f t="shared" si="823"/>
        <v>0.30061349693251538</v>
      </c>
      <c r="AA243" s="34">
        <f t="shared" si="823"/>
        <v>-0.43333333333333335</v>
      </c>
      <c r="AB243" s="34">
        <f t="shared" si="823"/>
        <v>-0.21481481481481479</v>
      </c>
      <c r="AC243" s="34">
        <f t="shared" si="823"/>
        <v>0.29947229551451193</v>
      </c>
      <c r="AD243" s="34">
        <f t="shared" si="823"/>
        <v>0.58018867924528306</v>
      </c>
      <c r="AE243" s="34">
        <f t="shared" si="823"/>
        <v>2.4705882352941178</v>
      </c>
      <c r="AF243" s="34">
        <f t="shared" si="823"/>
        <v>0.14622641509433953</v>
      </c>
      <c r="AG243" s="34">
        <f t="shared" si="823"/>
        <v>-0.13299492385786804</v>
      </c>
      <c r="AH243" s="34">
        <f t="shared" si="823"/>
        <v>0.49600075301951807</v>
      </c>
      <c r="AI243" s="34">
        <f t="shared" si="823"/>
        <v>-0.67796610169491522</v>
      </c>
      <c r="AJ243" s="34">
        <f t="shared" si="823"/>
        <v>0.2880658436213992</v>
      </c>
      <c r="AK243" s="34">
        <f t="shared" si="823"/>
        <v>-0.18852459016393441</v>
      </c>
      <c r="AL243" s="34">
        <f t="shared" si="823"/>
        <v>-8.4125291403869151E-2</v>
      </c>
      <c r="AM243" s="34">
        <f t="shared" si="823"/>
        <v>1.8421052631578947</v>
      </c>
      <c r="AN243" s="34">
        <f t="shared" si="823"/>
        <v>0.18530351437699677</v>
      </c>
      <c r="AO243" s="34">
        <f t="shared" si="823"/>
        <v>0.3492063492063493</v>
      </c>
      <c r="AP243" s="34">
        <f t="shared" si="823"/>
        <v>-0.10021786492374729</v>
      </c>
      <c r="AQ243" s="34">
        <f t="shared" si="823"/>
        <v>3.7129629629629628</v>
      </c>
      <c r="AR243" s="34">
        <f t="shared" si="823"/>
        <v>-0.92722371967654982</v>
      </c>
      <c r="AS243" s="34">
        <f t="shared" si="823"/>
        <v>0.17005347593582898</v>
      </c>
      <c r="AT243" s="34">
        <f t="shared" si="823"/>
        <v>7.9903147699757815E-2</v>
      </c>
      <c r="AU243" s="34">
        <f t="shared" si="823"/>
        <v>-0.42239685658153237</v>
      </c>
      <c r="AV243" s="34">
        <f t="shared" si="823"/>
        <v>19.962962962962962</v>
      </c>
      <c r="AW243" s="34">
        <f>IF(AND(AS240&lt;0,AW240&gt;0),"n/a",AW240/AS240-1)</f>
        <v>3.6924217321754993E-2</v>
      </c>
      <c r="AX243" s="34">
        <f>IF(AND(AT240&lt;0,AX240&gt;0),"n/a",AX240/AT240-1)</f>
        <v>0.15010499668943944</v>
      </c>
      <c r="AY243" s="34">
        <f t="shared" ref="AY243:BF243" si="824">IF(AND(AU240&lt;0,AY240&gt;0),"n/a",AY240/AU240-1)</f>
        <v>0.28437739451563826</v>
      </c>
      <c r="AZ243" s="34">
        <f t="shared" si="824"/>
        <v>3.1262605638317398E-2</v>
      </c>
      <c r="BA243" s="34">
        <f t="shared" si="824"/>
        <v>4.84933831172083E-2</v>
      </c>
      <c r="BB243" s="34">
        <f t="shared" si="824"/>
        <v>-8.1762352482379952E-2</v>
      </c>
      <c r="BC243" s="34">
        <f t="shared" si="824"/>
        <v>8.5811926718193154E-2</v>
      </c>
      <c r="BD243" s="34">
        <f t="shared" si="824"/>
        <v>7.5899330286493649E-2</v>
      </c>
      <c r="BE243" s="34">
        <f t="shared" si="824"/>
        <v>7.0304481649815731E-2</v>
      </c>
      <c r="BF243" s="34">
        <f t="shared" si="824"/>
        <v>0.12890106469889417</v>
      </c>
      <c r="BG243" s="34">
        <f t="shared" ref="BG243:BN243" si="825">IF(AND(BC240&lt;0,BG240&gt;0),"n/a",BG240/BC240-1)</f>
        <v>0.11664435341889101</v>
      </c>
      <c r="BH243" s="34">
        <f t="shared" si="825"/>
        <v>0.25544005545840198</v>
      </c>
      <c r="BI243" s="34">
        <f t="shared" si="825"/>
        <v>8.9505892775484597E-2</v>
      </c>
      <c r="BJ243" s="34">
        <f t="shared" si="825"/>
        <v>0.11365573037872889</v>
      </c>
      <c r="BK243" s="34">
        <f t="shared" si="825"/>
        <v>0.11602206116853586</v>
      </c>
      <c r="BL243" s="34">
        <f t="shared" si="825"/>
        <v>-6.6782347312481005E-2</v>
      </c>
      <c r="BM243" s="34">
        <f t="shared" si="825"/>
        <v>3.7995783119647797E-2</v>
      </c>
      <c r="BN243" s="34">
        <f t="shared" si="825"/>
        <v>8.9321394098089923E-2</v>
      </c>
      <c r="BO243" s="35"/>
      <c r="BP243" s="35" t="s">
        <v>17</v>
      </c>
      <c r="BQ243" s="35" t="str">
        <f>IF(AND(BP240&lt;0,BQ240&gt;0),"n/a",BQ240/BP240-1)</f>
        <v>n/a</v>
      </c>
      <c r="BR243" s="35">
        <f t="shared" ref="BR243:CF243" si="826">IF(AND(BQ240&lt;0,BR240&gt;0),"n/a",BR240/BQ240-1)</f>
        <v>0.26837060702875393</v>
      </c>
      <c r="BS243" s="35">
        <f t="shared" si="826"/>
        <v>-7.5566750629722956E-2</v>
      </c>
      <c r="BT243" s="35">
        <f t="shared" si="826"/>
        <v>0.95367847411444151</v>
      </c>
      <c r="BU243" s="35">
        <f t="shared" si="826"/>
        <v>0.50069735006973493</v>
      </c>
      <c r="BV243" s="35">
        <f t="shared" si="826"/>
        <v>0.20817843866171004</v>
      </c>
      <c r="BW243" s="35">
        <f t="shared" si="826"/>
        <v>0.20461538461538464</v>
      </c>
      <c r="BX243" s="35">
        <f t="shared" si="826"/>
        <v>9.5887772836231511E-2</v>
      </c>
      <c r="BY243" s="35">
        <f t="shared" si="826"/>
        <v>-0.12420766183148579</v>
      </c>
      <c r="BZ243" s="35">
        <f t="shared" si="826"/>
        <v>0.21556886227544902</v>
      </c>
      <c r="CA243" s="35">
        <f t="shared" si="826"/>
        <v>0.13628899835796382</v>
      </c>
      <c r="CB243" s="35">
        <f t="shared" si="826"/>
        <v>0.20777549242460935</v>
      </c>
      <c r="CC243" s="35">
        <f t="shared" si="826"/>
        <v>4.5615041272162538E-2</v>
      </c>
      <c r="CD243" s="35">
        <f t="shared" si="826"/>
        <v>8.4310892057052556E-2</v>
      </c>
      <c r="CE243" s="35">
        <f t="shared" si="826"/>
        <v>0.13459390548000205</v>
      </c>
      <c r="CF243" s="35">
        <f t="shared" si="826"/>
        <v>3.2882413173147995E-2</v>
      </c>
      <c r="CG243" s="77"/>
      <c r="CH243" s="3"/>
      <c r="CI243" s="3"/>
    </row>
    <row r="244" spans="1:87">
      <c r="AU244" s="12"/>
      <c r="AV244" s="12"/>
      <c r="CH244" s="134"/>
      <c r="CI244" s="134"/>
    </row>
    <row r="245" spans="1:87" s="172" customFormat="1">
      <c r="A245" s="25" t="s">
        <v>9</v>
      </c>
      <c r="B245" s="195">
        <f t="shared" ref="B245:AG245" si="827">B240+B198+B288+B291</f>
        <v>23</v>
      </c>
      <c r="C245" s="195">
        <f t="shared" si="827"/>
        <v>-78</v>
      </c>
      <c r="D245" s="195">
        <f t="shared" si="827"/>
        <v>32</v>
      </c>
      <c r="E245" s="195">
        <f t="shared" si="827"/>
        <v>196</v>
      </c>
      <c r="F245" s="195">
        <f t="shared" si="827"/>
        <v>83</v>
      </c>
      <c r="G245" s="195">
        <f t="shared" si="827"/>
        <v>-123</v>
      </c>
      <c r="H245" s="195">
        <f t="shared" si="827"/>
        <v>17</v>
      </c>
      <c r="I245" s="195">
        <f t="shared" si="827"/>
        <v>334</v>
      </c>
      <c r="J245" s="195">
        <f t="shared" si="827"/>
        <v>56</v>
      </c>
      <c r="K245" s="195">
        <f t="shared" si="827"/>
        <v>-130</v>
      </c>
      <c r="L245" s="195">
        <f t="shared" si="827"/>
        <v>49</v>
      </c>
      <c r="M245" s="195">
        <f t="shared" si="827"/>
        <v>176</v>
      </c>
      <c r="N245" s="195">
        <f t="shared" si="827"/>
        <v>169</v>
      </c>
      <c r="O245" s="195">
        <f t="shared" si="827"/>
        <v>-121</v>
      </c>
      <c r="P245" s="195">
        <f t="shared" si="827"/>
        <v>105</v>
      </c>
      <c r="Q245" s="195">
        <f t="shared" si="827"/>
        <v>398</v>
      </c>
      <c r="R245" s="195">
        <f t="shared" si="827"/>
        <v>152</v>
      </c>
      <c r="S245" s="195">
        <f t="shared" si="827"/>
        <v>61</v>
      </c>
      <c r="T245" s="195">
        <f t="shared" si="827"/>
        <v>232</v>
      </c>
      <c r="U245" s="195">
        <f t="shared" si="827"/>
        <v>388</v>
      </c>
      <c r="V245" s="195">
        <f t="shared" si="827"/>
        <v>124.57866250000001</v>
      </c>
      <c r="W245" s="195">
        <f t="shared" si="827"/>
        <v>48.641980319375001</v>
      </c>
      <c r="X245" s="195">
        <f t="shared" si="827"/>
        <v>212</v>
      </c>
      <c r="Y245" s="195">
        <f t="shared" si="827"/>
        <v>596</v>
      </c>
      <c r="Z245" s="195">
        <f t="shared" si="827"/>
        <v>161</v>
      </c>
      <c r="AA245" s="195">
        <f t="shared" si="827"/>
        <v>22</v>
      </c>
      <c r="AB245" s="195">
        <f t="shared" si="827"/>
        <v>165.11</v>
      </c>
      <c r="AC245" s="195">
        <f t="shared" si="827"/>
        <v>776.57</v>
      </c>
      <c r="AD245" s="195">
        <f t="shared" si="827"/>
        <v>263.86</v>
      </c>
      <c r="AE245" s="195">
        <f t="shared" si="827"/>
        <v>97.960000000000008</v>
      </c>
      <c r="AF245" s="195">
        <f t="shared" si="827"/>
        <v>194.34</v>
      </c>
      <c r="AG245" s="195">
        <f t="shared" si="827"/>
        <v>678.61</v>
      </c>
      <c r="AH245" s="195">
        <f t="shared" ref="AH245:BN245" si="828">AH240+AH198+AH288+AH291</f>
        <v>396.70659928661541</v>
      </c>
      <c r="AI245" s="195">
        <f t="shared" si="828"/>
        <v>46.74</v>
      </c>
      <c r="AJ245" s="195">
        <f t="shared" si="828"/>
        <v>271.42</v>
      </c>
      <c r="AK245" s="195">
        <f t="shared" si="828"/>
        <v>587.12</v>
      </c>
      <c r="AL245" s="195">
        <f t="shared" si="828"/>
        <v>395.24</v>
      </c>
      <c r="AM245" s="195">
        <f t="shared" si="828"/>
        <v>105.78</v>
      </c>
      <c r="AN245" s="195">
        <f t="shared" si="828"/>
        <v>317.34000000000003</v>
      </c>
      <c r="AO245" s="195">
        <f t="shared" si="828"/>
        <v>777.36</v>
      </c>
      <c r="AP245" s="195">
        <f t="shared" si="828"/>
        <v>349.32</v>
      </c>
      <c r="AQ245" s="195">
        <f t="shared" si="828"/>
        <v>414.92</v>
      </c>
      <c r="AR245" s="195">
        <f t="shared" si="828"/>
        <v>13.94</v>
      </c>
      <c r="AS245" s="195">
        <f t="shared" si="828"/>
        <v>892.16</v>
      </c>
      <c r="AT245" s="195">
        <f t="shared" si="828"/>
        <v>357.52</v>
      </c>
      <c r="AU245" s="195">
        <f t="shared" si="828"/>
        <v>229.6</v>
      </c>
      <c r="AV245" s="195">
        <f>AV240+AV198+AV288+AV291</f>
        <v>452.64</v>
      </c>
      <c r="AW245" s="195">
        <f t="shared" ref="AW245:BB245" si="829">AW240+AW198+AW288+AW291</f>
        <v>914.24866105987815</v>
      </c>
      <c r="AX245" s="195">
        <f t="shared" si="829"/>
        <v>406.05609469252227</v>
      </c>
      <c r="AY245" s="195">
        <f t="shared" si="829"/>
        <v>295.8096131820742</v>
      </c>
      <c r="AZ245" s="195">
        <f t="shared" si="829"/>
        <v>465.95735393446881</v>
      </c>
      <c r="BA245" s="195">
        <f t="shared" si="829"/>
        <v>959.35336725477009</v>
      </c>
      <c r="BB245" s="195">
        <f t="shared" si="829"/>
        <v>371.85440076550429</v>
      </c>
      <c r="BC245" s="195">
        <f t="shared" si="828"/>
        <v>322.05705778548389</v>
      </c>
      <c r="BD245" s="195">
        <f t="shared" si="828"/>
        <v>500.80944130675891</v>
      </c>
      <c r="BE245" s="195">
        <f t="shared" si="828"/>
        <v>1029.7234382846023</v>
      </c>
      <c r="BF245" s="195">
        <f t="shared" si="828"/>
        <v>422.60631450203846</v>
      </c>
      <c r="BG245" s="195">
        <f t="shared" si="828"/>
        <v>362.24333482526413</v>
      </c>
      <c r="BH245" s="195">
        <f t="shared" si="828"/>
        <v>633.35303091824539</v>
      </c>
      <c r="BI245" s="195">
        <f t="shared" si="828"/>
        <v>1124.1948552459442</v>
      </c>
      <c r="BJ245" s="195">
        <f t="shared" si="828"/>
        <v>473.26267448900757</v>
      </c>
      <c r="BK245" s="195">
        <f t="shared" si="828"/>
        <v>406.92417702232638</v>
      </c>
      <c r="BL245" s="195">
        <f t="shared" si="828"/>
        <v>591.31222759359571</v>
      </c>
      <c r="BM245" s="195">
        <f t="shared" si="828"/>
        <v>1168.5175514719645</v>
      </c>
      <c r="BN245" s="195">
        <f t="shared" si="828"/>
        <v>517.76135869428663</v>
      </c>
      <c r="BO245" s="196"/>
      <c r="BP245" s="196">
        <f t="shared" ref="BP245:CF245" si="830">BP240+BP198+BP288+BP291</f>
        <v>-331</v>
      </c>
      <c r="BQ245" s="196">
        <f t="shared" si="830"/>
        <v>233</v>
      </c>
      <c r="BR245" s="196">
        <f t="shared" si="830"/>
        <v>284</v>
      </c>
      <c r="BS245" s="196">
        <f t="shared" si="830"/>
        <v>264</v>
      </c>
      <c r="BT245" s="196">
        <f t="shared" si="830"/>
        <v>534</v>
      </c>
      <c r="BU245" s="196">
        <f t="shared" si="830"/>
        <v>805.57866250000006</v>
      </c>
      <c r="BV245" s="196">
        <f t="shared" si="830"/>
        <v>1017.6419803193751</v>
      </c>
      <c r="BW245" s="196">
        <f t="shared" si="830"/>
        <v>1227.54</v>
      </c>
      <c r="BX245" s="196">
        <f t="shared" si="830"/>
        <v>1367.6165992866154</v>
      </c>
      <c r="BY245" s="196">
        <f t="shared" si="830"/>
        <v>1300.52</v>
      </c>
      <c r="BZ245" s="196">
        <f t="shared" si="830"/>
        <v>1549.8</v>
      </c>
      <c r="CA245" s="196">
        <f t="shared" si="830"/>
        <v>1678.54</v>
      </c>
      <c r="CB245" s="196">
        <f t="shared" si="830"/>
        <v>2002.5447557523996</v>
      </c>
      <c r="CC245" s="196">
        <f t="shared" si="830"/>
        <v>2092.9747351368164</v>
      </c>
      <c r="CD245" s="196">
        <f t="shared" si="830"/>
        <v>2275.1962518788837</v>
      </c>
      <c r="CE245" s="196">
        <f t="shared" si="830"/>
        <v>2593.0538954784615</v>
      </c>
      <c r="CF245" s="196">
        <f t="shared" si="830"/>
        <v>2684.515314782172</v>
      </c>
      <c r="CG245" s="134"/>
      <c r="CH245" s="77"/>
      <c r="CI245" s="77"/>
    </row>
    <row r="246" spans="1:87" s="200" customFormat="1">
      <c r="A246" s="69" t="s">
        <v>4</v>
      </c>
      <c r="B246" s="34">
        <f t="shared" ref="B246:AG246" si="831">B245/B8</f>
        <v>2.7058823529411764E-2</v>
      </c>
      <c r="C246" s="34">
        <f t="shared" si="831"/>
        <v>-0.14471243042671614</v>
      </c>
      <c r="D246" s="34">
        <f t="shared" si="831"/>
        <v>3.6199095022624438E-2</v>
      </c>
      <c r="E246" s="34">
        <f t="shared" si="831"/>
        <v>0.13900709219858157</v>
      </c>
      <c r="F246" s="34">
        <f t="shared" si="831"/>
        <v>8.3417085427135676E-2</v>
      </c>
      <c r="G246" s="34">
        <f t="shared" si="831"/>
        <v>-0.23473282442748092</v>
      </c>
      <c r="H246" s="34">
        <f t="shared" si="831"/>
        <v>1.6441005802707929E-2</v>
      </c>
      <c r="I246" s="34">
        <f t="shared" si="831"/>
        <v>0.20230163537250151</v>
      </c>
      <c r="J246" s="34">
        <f t="shared" si="831"/>
        <v>5.7318321392016376E-2</v>
      </c>
      <c r="K246" s="34">
        <f t="shared" si="831"/>
        <v>-0.26476578411405294</v>
      </c>
      <c r="L246" s="34">
        <f t="shared" si="831"/>
        <v>4.5370370370370373E-2</v>
      </c>
      <c r="M246" s="34">
        <f t="shared" si="831"/>
        <v>0.14890016920473773</v>
      </c>
      <c r="N246" s="34">
        <f t="shared" si="831"/>
        <v>0.16250000000000001</v>
      </c>
      <c r="O246" s="34">
        <f t="shared" si="831"/>
        <v>-0.24444444444444444</v>
      </c>
      <c r="P246" s="34">
        <f t="shared" si="831"/>
        <v>0.10096153846153846</v>
      </c>
      <c r="Q246" s="34">
        <f t="shared" si="831"/>
        <v>0.25318066157760816</v>
      </c>
      <c r="R246" s="34">
        <f t="shared" si="831"/>
        <v>0.16630196936542668</v>
      </c>
      <c r="S246" s="34">
        <f t="shared" si="831"/>
        <v>7.8709677419354834E-2</v>
      </c>
      <c r="T246" s="34">
        <f t="shared" si="831"/>
        <v>0.1901639344262295</v>
      </c>
      <c r="U246" s="34">
        <f t="shared" si="831"/>
        <v>0.27170868347338933</v>
      </c>
      <c r="V246" s="34">
        <f t="shared" si="831"/>
        <v>0.13903868582589288</v>
      </c>
      <c r="W246" s="34">
        <f t="shared" si="831"/>
        <v>7.0190447791305913E-2</v>
      </c>
      <c r="X246" s="34">
        <f t="shared" si="831"/>
        <v>0.18499127399650961</v>
      </c>
      <c r="Y246" s="34">
        <f t="shared" si="831"/>
        <v>0.33056017748197447</v>
      </c>
      <c r="Z246" s="34">
        <f t="shared" si="831"/>
        <v>0.17424242424242425</v>
      </c>
      <c r="AA246" s="34">
        <f t="shared" si="831"/>
        <v>3.2258064516129031E-2</v>
      </c>
      <c r="AB246" s="34">
        <f t="shared" si="831"/>
        <v>0.15037340619307835</v>
      </c>
      <c r="AC246" s="34">
        <f t="shared" si="831"/>
        <v>0.37515458937198071</v>
      </c>
      <c r="AD246" s="34">
        <f t="shared" si="831"/>
        <v>0.24163003663003665</v>
      </c>
      <c r="AE246" s="34">
        <f t="shared" si="831"/>
        <v>0.12640000000000001</v>
      </c>
      <c r="AF246" s="34">
        <f t="shared" si="831"/>
        <v>0.16483460559796437</v>
      </c>
      <c r="AG246" s="34">
        <f t="shared" si="831"/>
        <v>0.34429731100963978</v>
      </c>
      <c r="AH246" s="34">
        <f t="shared" ref="AH246:BM246" si="832">AH245/AH8</f>
        <v>0.31610087592559</v>
      </c>
      <c r="AI246" s="34">
        <f t="shared" si="832"/>
        <v>6.2403204272363157E-2</v>
      </c>
      <c r="AJ246" s="34">
        <f t="shared" si="832"/>
        <v>0.22211129296235679</v>
      </c>
      <c r="AK246" s="34">
        <f t="shared" si="832"/>
        <v>0.36489745183343691</v>
      </c>
      <c r="AL246" s="34">
        <f t="shared" si="832"/>
        <v>0.28976539589442818</v>
      </c>
      <c r="AM246" s="34">
        <f t="shared" si="832"/>
        <v>0.1352685421994885</v>
      </c>
      <c r="AN246" s="34">
        <f t="shared" si="832"/>
        <v>0.24169078446306172</v>
      </c>
      <c r="AO246" s="34">
        <f t="shared" si="832"/>
        <v>0.38464126669965365</v>
      </c>
      <c r="AP246" s="34">
        <f t="shared" si="832"/>
        <v>0.27812101910828024</v>
      </c>
      <c r="AQ246" s="34">
        <f t="shared" si="832"/>
        <v>0.29850359712230218</v>
      </c>
      <c r="AR246" s="34">
        <f t="shared" si="832"/>
        <v>1.5318681318681318E-2</v>
      </c>
      <c r="AS246" s="34">
        <f t="shared" si="832"/>
        <v>0.3717333333333333</v>
      </c>
      <c r="AT246" s="34">
        <f t="shared" si="832"/>
        <v>0.23994630872483219</v>
      </c>
      <c r="AU246" s="34">
        <f t="shared" si="832"/>
        <v>0.17185628742514969</v>
      </c>
      <c r="AV246" s="34">
        <f t="shared" ref="AV246" si="833">AV245/AV8</f>
        <v>0.24453808752025932</v>
      </c>
      <c r="AW246" s="34">
        <f t="shared" si="832"/>
        <v>0.34655203149387526</v>
      </c>
      <c r="AX246" s="34">
        <f t="shared" si="832"/>
        <v>0.22622108088794679</v>
      </c>
      <c r="AY246" s="34">
        <f t="shared" si="832"/>
        <v>0.1951084482285414</v>
      </c>
      <c r="AZ246" s="34">
        <f t="shared" si="832"/>
        <v>0.23931178111033963</v>
      </c>
      <c r="BA246" s="34">
        <f t="shared" si="832"/>
        <v>0.33392498242464574</v>
      </c>
      <c r="BB246" s="34">
        <f t="shared" si="832"/>
        <v>0.21692902269956368</v>
      </c>
      <c r="BC246" s="34">
        <f t="shared" si="832"/>
        <v>0.21094991963324561</v>
      </c>
      <c r="BD246" s="34">
        <f t="shared" si="832"/>
        <v>0.24664250992813488</v>
      </c>
      <c r="BE246" s="34">
        <f t="shared" si="832"/>
        <v>0.34660438028790352</v>
      </c>
      <c r="BF246" s="34">
        <f t="shared" si="832"/>
        <v>0.23388443425813502</v>
      </c>
      <c r="BG246" s="34">
        <f t="shared" si="832"/>
        <v>0.22514619266650271</v>
      </c>
      <c r="BH246" s="34">
        <f t="shared" si="832"/>
        <v>0.25488021968079533</v>
      </c>
      <c r="BI246" s="34">
        <f t="shared" si="832"/>
        <v>0.35015342540694638</v>
      </c>
      <c r="BJ246" s="34">
        <f t="shared" si="832"/>
        <v>0.24398025217205843</v>
      </c>
      <c r="BK246" s="34">
        <f t="shared" si="832"/>
        <v>0.23697668714525399</v>
      </c>
      <c r="BL246" s="34">
        <f t="shared" si="832"/>
        <v>0.2610181779989672</v>
      </c>
      <c r="BM246" s="34">
        <f t="shared" si="832"/>
        <v>0.3530709179787721</v>
      </c>
      <c r="BN246" s="34">
        <f t="shared" ref="BN246" si="834">BN245/BN8</f>
        <v>0.25346189582591394</v>
      </c>
      <c r="BO246" s="35"/>
      <c r="BP246" s="35" t="s">
        <v>17</v>
      </c>
      <c r="BQ246" s="35">
        <f t="shared" ref="BQ246:CF246" si="835">BQ245/BQ8</f>
        <v>6.0867293625914316E-2</v>
      </c>
      <c r="BR246" s="35">
        <f t="shared" si="835"/>
        <v>6.7845198279980895E-2</v>
      </c>
      <c r="BS246" s="35">
        <f t="shared" si="835"/>
        <v>6.9601898233588186E-2</v>
      </c>
      <c r="BT246" s="35">
        <f t="shared" si="835"/>
        <v>0.13280278537677195</v>
      </c>
      <c r="BU246" s="35">
        <f t="shared" si="835"/>
        <v>0.18651971810604309</v>
      </c>
      <c r="BV246" s="35">
        <f t="shared" si="835"/>
        <v>0.22287384588685394</v>
      </c>
      <c r="BW246" s="35">
        <f t="shared" si="835"/>
        <v>0.24838931606636988</v>
      </c>
      <c r="BX246" s="35">
        <f t="shared" si="835"/>
        <v>0.2640186485109296</v>
      </c>
      <c r="BY246" s="35">
        <f t="shared" si="835"/>
        <v>0.26305016181229773</v>
      </c>
      <c r="BZ246" s="35">
        <f t="shared" si="835"/>
        <v>0.28849590469099029</v>
      </c>
      <c r="CA246" s="35">
        <f t="shared" si="835"/>
        <v>0.27116962843295639</v>
      </c>
      <c r="CB246" s="35">
        <f t="shared" si="835"/>
        <v>0.26279836845589805</v>
      </c>
      <c r="CC246" s="35">
        <f t="shared" si="835"/>
        <v>0.25998595424541082</v>
      </c>
      <c r="CD246" s="35">
        <f t="shared" si="835"/>
        <v>0.27296900065313945</v>
      </c>
      <c r="CE246" s="35">
        <f t="shared" si="835"/>
        <v>0.28050707889709059</v>
      </c>
      <c r="CF246" s="35">
        <f t="shared" si="835"/>
        <v>0.28757848694956528</v>
      </c>
      <c r="CG246" s="77"/>
      <c r="CH246" s="77"/>
      <c r="CI246" s="77"/>
    </row>
    <row r="247" spans="1:87" s="200" customFormat="1">
      <c r="A247" s="69" t="s">
        <v>0</v>
      </c>
      <c r="B247" s="34" t="s">
        <v>17</v>
      </c>
      <c r="C247" s="34">
        <f>IF(AND(B245&lt;0,C245&gt;0),"n/a",C245/B245-1)</f>
        <v>-4.3913043478260869</v>
      </c>
      <c r="D247" s="34" t="str">
        <f>IF(AND(C245&lt;0,D245&gt;0),"n/a",D245/C245-1)</f>
        <v>n/a</v>
      </c>
      <c r="E247" s="34">
        <f>IF(AND(D245&lt;0,E245&gt;0),"n/a",E245/D245-1)</f>
        <v>5.125</v>
      </c>
      <c r="F247" s="34">
        <f>IF(AND(E245&lt;0,F245&gt;0),"n/a",F245/E245-1)</f>
        <v>-0.57653061224489788</v>
      </c>
      <c r="G247" s="34">
        <f t="shared" ref="G247:AV247" si="836">IF(AND(F245&lt;0,G245&gt;0),"n/a",G245/F245-1)</f>
        <v>-2.4819277108433733</v>
      </c>
      <c r="H247" s="34" t="str">
        <f t="shared" si="836"/>
        <v>n/a</v>
      </c>
      <c r="I247" s="34">
        <f t="shared" si="836"/>
        <v>18.647058823529413</v>
      </c>
      <c r="J247" s="34">
        <f t="shared" si="836"/>
        <v>-0.83233532934131738</v>
      </c>
      <c r="K247" s="34">
        <f t="shared" si="836"/>
        <v>-3.3214285714285716</v>
      </c>
      <c r="L247" s="34" t="str">
        <f t="shared" si="836"/>
        <v>n/a</v>
      </c>
      <c r="M247" s="34">
        <f t="shared" si="836"/>
        <v>2.5918367346938775</v>
      </c>
      <c r="N247" s="34">
        <f t="shared" si="836"/>
        <v>-3.9772727272727293E-2</v>
      </c>
      <c r="O247" s="34">
        <f t="shared" si="836"/>
        <v>-1.7159763313609466</v>
      </c>
      <c r="P247" s="34" t="str">
        <f t="shared" si="836"/>
        <v>n/a</v>
      </c>
      <c r="Q247" s="34">
        <f t="shared" si="836"/>
        <v>2.7904761904761903</v>
      </c>
      <c r="R247" s="34">
        <f t="shared" si="836"/>
        <v>-0.61809045226130654</v>
      </c>
      <c r="S247" s="34">
        <f t="shared" si="836"/>
        <v>-0.59868421052631571</v>
      </c>
      <c r="T247" s="34">
        <f t="shared" si="836"/>
        <v>2.8032786885245899</v>
      </c>
      <c r="U247" s="34">
        <f t="shared" si="836"/>
        <v>0.67241379310344818</v>
      </c>
      <c r="V247" s="34">
        <f t="shared" si="836"/>
        <v>-0.67892097293814424</v>
      </c>
      <c r="W247" s="34">
        <f t="shared" si="836"/>
        <v>-0.60954806109453141</v>
      </c>
      <c r="X247" s="34">
        <f t="shared" si="836"/>
        <v>3.3583751855505044</v>
      </c>
      <c r="Y247" s="34">
        <f t="shared" si="836"/>
        <v>1.8113207547169812</v>
      </c>
      <c r="Z247" s="34">
        <f t="shared" si="836"/>
        <v>-0.72986577181208045</v>
      </c>
      <c r="AA247" s="34">
        <f t="shared" si="836"/>
        <v>-0.86335403726708071</v>
      </c>
      <c r="AB247" s="34">
        <f t="shared" si="836"/>
        <v>6.5050000000000008</v>
      </c>
      <c r="AC247" s="34">
        <f t="shared" si="836"/>
        <v>3.7033492822966503</v>
      </c>
      <c r="AD247" s="34">
        <f t="shared" si="836"/>
        <v>-0.66022380467955233</v>
      </c>
      <c r="AE247" s="34">
        <f t="shared" si="836"/>
        <v>-0.62874251497005984</v>
      </c>
      <c r="AF247" s="34">
        <f t="shared" si="836"/>
        <v>0.98387096774193528</v>
      </c>
      <c r="AG247" s="34">
        <f t="shared" si="836"/>
        <v>2.4918699186991868</v>
      </c>
      <c r="AH247" s="34">
        <f t="shared" si="836"/>
        <v>-0.41541297757678874</v>
      </c>
      <c r="AI247" s="34">
        <f t="shared" si="836"/>
        <v>-0.88217992822894542</v>
      </c>
      <c r="AJ247" s="34">
        <f t="shared" si="836"/>
        <v>4.807017543859649</v>
      </c>
      <c r="AK247" s="34">
        <f t="shared" si="836"/>
        <v>1.1631419939577037</v>
      </c>
      <c r="AL247" s="34">
        <f t="shared" si="836"/>
        <v>-0.32681564245810057</v>
      </c>
      <c r="AM247" s="34">
        <f t="shared" si="836"/>
        <v>-0.73236514522821583</v>
      </c>
      <c r="AN247" s="34">
        <f t="shared" si="836"/>
        <v>2.0000000000000004</v>
      </c>
      <c r="AO247" s="34">
        <f t="shared" si="836"/>
        <v>1.4496124031007751</v>
      </c>
      <c r="AP247" s="34">
        <f t="shared" si="836"/>
        <v>-0.55063291139240511</v>
      </c>
      <c r="AQ247" s="34">
        <f t="shared" si="836"/>
        <v>0.18779342723004699</v>
      </c>
      <c r="AR247" s="34">
        <f t="shared" si="836"/>
        <v>-0.96640316205533594</v>
      </c>
      <c r="AS247" s="34">
        <f t="shared" si="836"/>
        <v>63</v>
      </c>
      <c r="AT247" s="34">
        <f t="shared" si="836"/>
        <v>-0.59926470588235292</v>
      </c>
      <c r="AU247" s="34">
        <f t="shared" si="836"/>
        <v>-0.35779816513761464</v>
      </c>
      <c r="AV247" s="34">
        <f t="shared" si="836"/>
        <v>0.97142857142857131</v>
      </c>
      <c r="AW247" s="34">
        <f>IF(AND(AV245&lt;0,AW245&gt;0),"n/a",AW245/AV245-1)</f>
        <v>1.0198141151022404</v>
      </c>
      <c r="AX247" s="34">
        <f>IF(AND(AW245&lt;0,AX245&gt;0),"n/a",AX245/AW245-1)</f>
        <v>-0.55585814670837363</v>
      </c>
      <c r="AY247" s="34">
        <f t="shared" ref="AY247:BC247" si="837">IF(AND(AX245&lt;0,AY245&gt;0),"n/a",AY245/AX245-1)</f>
        <v>-0.27150554554274076</v>
      </c>
      <c r="AZ247" s="34">
        <f t="shared" si="837"/>
        <v>0.57519341214805864</v>
      </c>
      <c r="BA247" s="34">
        <f t="shared" si="837"/>
        <v>1.0588866323369399</v>
      </c>
      <c r="BB247" s="34">
        <f t="shared" si="837"/>
        <v>-0.61239058155434289</v>
      </c>
      <c r="BC247" s="34">
        <f t="shared" si="837"/>
        <v>-0.13391623946767051</v>
      </c>
      <c r="BD247" s="34">
        <f t="shared" ref="BD247" si="838">IF(AND(BC245&lt;0,BD245&gt;0),"n/a",BD245/BC245-1)</f>
        <v>0.55503327500538302</v>
      </c>
      <c r="BE247" s="34">
        <f t="shared" ref="BE247" si="839">IF(AND(BD245&lt;0,BE245&gt;0),"n/a",BE245/BD245-1)</f>
        <v>1.0561182624627672</v>
      </c>
      <c r="BF247" s="34">
        <f t="shared" ref="BF247" si="840">IF(AND(BE245&lt;0,BF245&gt;0),"n/a",BF245/BE245-1)</f>
        <v>-0.58959241016592689</v>
      </c>
      <c r="BG247" s="34">
        <f t="shared" ref="BG247" si="841">IF(AND(BF245&lt;0,BG245&gt;0),"n/a",BG245/BF245-1)</f>
        <v>-0.14283501596018666</v>
      </c>
      <c r="BH247" s="34">
        <f t="shared" ref="BH247" si="842">IF(AND(BG245&lt;0,BH245&gt;0),"n/a",BH245/BG245-1)</f>
        <v>0.7484187285978825</v>
      </c>
      <c r="BI247" s="34">
        <f t="shared" ref="BI247" si="843">IF(AND(BH245&lt;0,BI245&gt;0),"n/a",BI245/BH245-1)</f>
        <v>0.77498930354224149</v>
      </c>
      <c r="BJ247" s="34">
        <f t="shared" ref="BJ247" si="844">IF(AND(BI245&lt;0,BJ245&gt;0),"n/a",BJ245/BI245-1)</f>
        <v>-0.57902077893296333</v>
      </c>
      <c r="BK247" s="34">
        <f t="shared" ref="BK247" si="845">IF(AND(BJ245&lt;0,BK245&gt;0),"n/a",BK245/BJ245-1)</f>
        <v>-0.14017268008365202</v>
      </c>
      <c r="BL247" s="34">
        <f t="shared" ref="BL247" si="846">IF(AND(BK245&lt;0,BL245&gt;0),"n/a",BL245/BK245-1)</f>
        <v>0.45312630947743537</v>
      </c>
      <c r="BM247" s="34">
        <f t="shared" ref="BM247" si="847">IF(AND(BL245&lt;0,BM245&gt;0),"n/a",BM245/BL245-1)</f>
        <v>0.97614305428345971</v>
      </c>
      <c r="BN247" s="34">
        <f t="shared" ref="BN247" si="848">IF(AND(BM245&lt;0,BN245&gt;0),"n/a",BN245/BM245-1)</f>
        <v>-0.55690750383503418</v>
      </c>
      <c r="BO247" s="35"/>
      <c r="BP247" s="35" t="s">
        <v>17</v>
      </c>
      <c r="BQ247" s="35" t="s">
        <v>17</v>
      </c>
      <c r="BR247" s="35" t="s">
        <v>17</v>
      </c>
      <c r="BS247" s="35" t="s">
        <v>17</v>
      </c>
      <c r="BT247" s="35" t="s">
        <v>17</v>
      </c>
      <c r="BU247" s="35" t="s">
        <v>17</v>
      </c>
      <c r="BV247" s="35" t="s">
        <v>17</v>
      </c>
      <c r="BW247" s="35" t="s">
        <v>17</v>
      </c>
      <c r="BX247" s="35" t="s">
        <v>17</v>
      </c>
      <c r="BY247" s="35" t="s">
        <v>17</v>
      </c>
      <c r="BZ247" s="35" t="s">
        <v>17</v>
      </c>
      <c r="CA247" s="35" t="s">
        <v>17</v>
      </c>
      <c r="CB247" s="35" t="s">
        <v>17</v>
      </c>
      <c r="CC247" s="35" t="s">
        <v>17</v>
      </c>
      <c r="CD247" s="35" t="s">
        <v>17</v>
      </c>
      <c r="CE247" s="35" t="s">
        <v>17</v>
      </c>
      <c r="CF247" s="35" t="s">
        <v>17</v>
      </c>
      <c r="CG247" s="77"/>
      <c r="CH247" s="3"/>
      <c r="CI247" s="3"/>
    </row>
    <row r="248" spans="1:87" s="200" customFormat="1">
      <c r="A248" s="69" t="s">
        <v>1</v>
      </c>
      <c r="B248" s="34" t="s">
        <v>17</v>
      </c>
      <c r="C248" s="34" t="s">
        <v>17</v>
      </c>
      <c r="D248" s="34" t="s">
        <v>17</v>
      </c>
      <c r="E248" s="34" t="s">
        <v>17</v>
      </c>
      <c r="F248" s="34">
        <f t="shared" ref="F248:AV248" si="849">IF(AND(B245&lt;0,F245&gt;0),"n/a",F245/B245-1)</f>
        <v>2.6086956521739131</v>
      </c>
      <c r="G248" s="34">
        <f t="shared" si="849"/>
        <v>0.57692307692307687</v>
      </c>
      <c r="H248" s="34">
        <f t="shared" si="849"/>
        <v>-0.46875</v>
      </c>
      <c r="I248" s="34">
        <f t="shared" si="849"/>
        <v>0.70408163265306123</v>
      </c>
      <c r="J248" s="34">
        <f t="shared" si="849"/>
        <v>-0.32530120481927716</v>
      </c>
      <c r="K248" s="34">
        <f t="shared" si="849"/>
        <v>5.6910569105691033E-2</v>
      </c>
      <c r="L248" s="34">
        <f t="shared" si="849"/>
        <v>1.8823529411764706</v>
      </c>
      <c r="M248" s="34">
        <f t="shared" si="849"/>
        <v>-0.47305389221556882</v>
      </c>
      <c r="N248" s="34">
        <f t="shared" si="849"/>
        <v>2.0178571428571428</v>
      </c>
      <c r="O248" s="34">
        <f t="shared" si="849"/>
        <v>-6.9230769230769207E-2</v>
      </c>
      <c r="P248" s="34">
        <f t="shared" si="849"/>
        <v>1.1428571428571428</v>
      </c>
      <c r="Q248" s="34">
        <f t="shared" si="849"/>
        <v>1.2613636363636362</v>
      </c>
      <c r="R248" s="34">
        <f t="shared" si="849"/>
        <v>-0.10059171597633132</v>
      </c>
      <c r="S248" s="34" t="str">
        <f t="shared" si="849"/>
        <v>n/a</v>
      </c>
      <c r="T248" s="34">
        <f t="shared" si="849"/>
        <v>1.2095238095238097</v>
      </c>
      <c r="U248" s="34">
        <f t="shared" si="849"/>
        <v>-2.5125628140703515E-2</v>
      </c>
      <c r="V248" s="34">
        <f t="shared" si="849"/>
        <v>-0.18040353618421046</v>
      </c>
      <c r="W248" s="34">
        <f t="shared" si="849"/>
        <v>-0.20259048656762291</v>
      </c>
      <c r="X248" s="34">
        <f t="shared" si="849"/>
        <v>-8.6206896551724088E-2</v>
      </c>
      <c r="Y248" s="34">
        <f t="shared" si="849"/>
        <v>0.53608247422680422</v>
      </c>
      <c r="Z248" s="34">
        <f t="shared" si="849"/>
        <v>0.29235614485747097</v>
      </c>
      <c r="AA248" s="34">
        <f t="shared" si="849"/>
        <v>-0.54771578263155152</v>
      </c>
      <c r="AB248" s="34">
        <f t="shared" si="849"/>
        <v>-0.2211792452830188</v>
      </c>
      <c r="AC248" s="34">
        <f t="shared" si="849"/>
        <v>0.30296979865771823</v>
      </c>
      <c r="AD248" s="34">
        <f t="shared" si="849"/>
        <v>0.63888198757763992</v>
      </c>
      <c r="AE248" s="34">
        <f t="shared" si="849"/>
        <v>3.4527272727272731</v>
      </c>
      <c r="AF248" s="34">
        <f t="shared" si="849"/>
        <v>0.17703349282296643</v>
      </c>
      <c r="AG248" s="34">
        <f t="shared" si="849"/>
        <v>-0.12614445574771116</v>
      </c>
      <c r="AH248" s="34">
        <f t="shared" si="849"/>
        <v>0.50347380916628293</v>
      </c>
      <c r="AI248" s="34">
        <f t="shared" si="849"/>
        <v>-0.5228664761126991</v>
      </c>
      <c r="AJ248" s="34">
        <f t="shared" si="849"/>
        <v>0.3966244725738397</v>
      </c>
      <c r="AK248" s="34">
        <f t="shared" si="849"/>
        <v>-0.13481970498519036</v>
      </c>
      <c r="AL248" s="34">
        <f t="shared" si="849"/>
        <v>-3.6969369535387875E-3</v>
      </c>
      <c r="AM248" s="34">
        <f t="shared" si="849"/>
        <v>1.263157894736842</v>
      </c>
      <c r="AN248" s="34">
        <f t="shared" si="849"/>
        <v>0.16918429003021163</v>
      </c>
      <c r="AO248" s="34">
        <f t="shared" si="849"/>
        <v>0.32402234636871508</v>
      </c>
      <c r="AP248" s="34">
        <f t="shared" si="849"/>
        <v>-0.11618257261410792</v>
      </c>
      <c r="AQ248" s="34">
        <f t="shared" si="849"/>
        <v>2.9224806201550391</v>
      </c>
      <c r="AR248" s="34">
        <f t="shared" si="849"/>
        <v>-0.95607235142118863</v>
      </c>
      <c r="AS248" s="34">
        <f t="shared" si="849"/>
        <v>0.14767932489451474</v>
      </c>
      <c r="AT248" s="34">
        <f t="shared" si="849"/>
        <v>2.3474178403755763E-2</v>
      </c>
      <c r="AU248" s="34">
        <f t="shared" si="849"/>
        <v>-0.44664031620553368</v>
      </c>
      <c r="AV248" s="34">
        <f t="shared" si="849"/>
        <v>31.470588235294116</v>
      </c>
      <c r="AW248" s="34">
        <f>IF(AND(AS245&lt;0,AW245&gt;0),"n/a",AW245/AS245-1)</f>
        <v>2.4758631926871999E-2</v>
      </c>
      <c r="AX248" s="34">
        <f>IF(AND(AT245&lt;0,AX245&gt;0),"n/a",AX245/AT245-1)</f>
        <v>0.13575770500257978</v>
      </c>
      <c r="AY248" s="34">
        <f t="shared" ref="AY248:BC248" si="850">IF(AND(AU245&lt;0,AY245&gt;0),"n/a",AY245/AU245-1)</f>
        <v>0.28836939539230921</v>
      </c>
      <c r="AZ248" s="34">
        <f>IF(AND(AV245&lt;0,AZ245&gt;0),"n/a",AZ245/AV245-1)</f>
        <v>2.9421513641014529E-2</v>
      </c>
      <c r="BA248" s="34">
        <f t="shared" si="850"/>
        <v>4.9335271809534342E-2</v>
      </c>
      <c r="BB248" s="34">
        <f t="shared" si="850"/>
        <v>-8.4228987999592775E-2</v>
      </c>
      <c r="BC248" s="34">
        <f t="shared" si="850"/>
        <v>8.873087091748455E-2</v>
      </c>
      <c r="BD248" s="34">
        <f t="shared" ref="BD248" si="851">IF(AND(AZ245&lt;0,BD245&gt;0),"n/a",BD245/AZ245-1)</f>
        <v>7.4796732100061769E-2</v>
      </c>
      <c r="BE248" s="34">
        <f t="shared" ref="BE248" si="852">IF(AND(BA245&lt;0,BE245&gt;0),"n/a",BE245/BA245-1)</f>
        <v>7.335156516018615E-2</v>
      </c>
      <c r="BF248" s="34">
        <f t="shared" ref="BF248" si="853">IF(AND(BB245&lt;0,BF245&gt;0),"n/a",BF245/BB245-1)</f>
        <v>0.13648329462299125</v>
      </c>
      <c r="BG248" s="34">
        <f t="shared" ref="BG248" si="854">IF(AND(BC245&lt;0,BG245&gt;0),"n/a",BG245/BC245-1)</f>
        <v>0.12477999183159505</v>
      </c>
      <c r="BH248" s="34">
        <f t="shared" ref="BH248" si="855">IF(AND(BD245&lt;0,BH245&gt;0),"n/a",BH245/BD245-1)</f>
        <v>0.26465872781000566</v>
      </c>
      <c r="BI248" s="34">
        <f t="shared" ref="BI248" si="856">IF(AND(BE245&lt;0,BI245&gt;0),"n/a",BI245/BE245-1)</f>
        <v>9.1744456277231157E-2</v>
      </c>
      <c r="BJ248" s="34">
        <f t="shared" ref="BJ248" si="857">IF(AND(BF245&lt;0,BJ245&gt;0),"n/a",BJ245/BF245-1)</f>
        <v>0.11986654777427552</v>
      </c>
      <c r="BK248" s="34">
        <f t="shared" ref="BK248" si="858">IF(AND(BG245&lt;0,BK245&gt;0),"n/a",BK245/BG245-1)</f>
        <v>0.12334482901835875</v>
      </c>
      <c r="BL248" s="34">
        <f t="shared" ref="BL248" si="859">IF(AND(BH245&lt;0,BL245&gt;0),"n/a",BL245/BH245-1)</f>
        <v>-6.6378151319017586E-2</v>
      </c>
      <c r="BM248" s="34">
        <f t="shared" ref="BM248" si="860">IF(AND(BI245&lt;0,BM245&gt;0),"n/a",BM245/BI245-1)</f>
        <v>3.9426168888064828E-2</v>
      </c>
      <c r="BN248" s="34">
        <f t="shared" ref="BN248" si="861">IF(AND(BJ245&lt;0,BN245&gt;0),"n/a",BN245/BJ245-1)</f>
        <v>9.4025340691245685E-2</v>
      </c>
      <c r="BO248" s="35"/>
      <c r="BP248" s="35" t="s">
        <v>17</v>
      </c>
      <c r="BQ248" s="35" t="str">
        <f>IF(AND(BP245&lt;0,BQ245&gt;0),"n/a",BQ245/BP245-1)</f>
        <v>n/a</v>
      </c>
      <c r="BR248" s="35">
        <f t="shared" ref="BR248:CF248" si="862">IF(AND(BQ245&lt;0,BR245&gt;0),"n/a",BR245/BQ245-1)</f>
        <v>0.2188841201716738</v>
      </c>
      <c r="BS248" s="35">
        <f t="shared" si="862"/>
        <v>-7.0422535211267623E-2</v>
      </c>
      <c r="BT248" s="35">
        <f t="shared" si="862"/>
        <v>1.0227272727272729</v>
      </c>
      <c r="BU248" s="35">
        <f t="shared" si="862"/>
        <v>0.50857427434456937</v>
      </c>
      <c r="BV248" s="35">
        <f t="shared" si="862"/>
        <v>0.26324346422144096</v>
      </c>
      <c r="BW248" s="35">
        <f t="shared" si="862"/>
        <v>0.20625919895202327</v>
      </c>
      <c r="BX248" s="35">
        <f t="shared" si="862"/>
        <v>0.11411163732881646</v>
      </c>
      <c r="BY248" s="35">
        <f t="shared" si="862"/>
        <v>-4.9060971709187218E-2</v>
      </c>
      <c r="BZ248" s="35">
        <f t="shared" si="862"/>
        <v>0.19167717528373274</v>
      </c>
      <c r="CA248" s="35">
        <f t="shared" si="862"/>
        <v>8.306878306878307E-2</v>
      </c>
      <c r="CB248" s="35">
        <f t="shared" si="862"/>
        <v>0.19302772394604806</v>
      </c>
      <c r="CC248" s="35">
        <f t="shared" si="862"/>
        <v>4.515753224723329E-2</v>
      </c>
      <c r="CD248" s="35">
        <f t="shared" si="862"/>
        <v>8.7063409645102841E-2</v>
      </c>
      <c r="CE248" s="35">
        <f t="shared" si="862"/>
        <v>0.13970559389638915</v>
      </c>
      <c r="CF248" s="35">
        <f t="shared" si="862"/>
        <v>3.5271700084287705E-2</v>
      </c>
      <c r="CG248" s="3"/>
      <c r="CH248" s="3"/>
      <c r="CI248" s="3"/>
    </row>
    <row r="249" spans="1:87">
      <c r="A249" s="8"/>
      <c r="B249" s="191"/>
      <c r="C249" s="191"/>
      <c r="D249" s="191"/>
      <c r="E249" s="191"/>
      <c r="F249" s="191"/>
      <c r="G249" s="191"/>
      <c r="H249" s="191"/>
      <c r="I249" s="191"/>
      <c r="J249" s="191"/>
      <c r="K249" s="191"/>
      <c r="L249" s="191"/>
      <c r="M249" s="191"/>
      <c r="N249" s="191"/>
      <c r="O249" s="191"/>
      <c r="P249" s="191"/>
      <c r="Q249" s="191"/>
      <c r="R249" s="191"/>
      <c r="S249" s="191"/>
      <c r="T249" s="191"/>
      <c r="U249" s="191"/>
      <c r="V249" s="191"/>
      <c r="W249" s="191"/>
      <c r="X249" s="191"/>
      <c r="Y249" s="191"/>
      <c r="Z249" s="191"/>
      <c r="AA249" s="191"/>
      <c r="AB249" s="191"/>
      <c r="AC249" s="191"/>
      <c r="AD249" s="191"/>
      <c r="AE249" s="191"/>
      <c r="AF249" s="191"/>
      <c r="AG249" s="191"/>
      <c r="AH249" s="191"/>
      <c r="AI249" s="191"/>
      <c r="AJ249" s="191"/>
      <c r="AK249" s="191"/>
      <c r="AL249" s="191"/>
      <c r="AM249" s="191"/>
      <c r="AN249" s="191"/>
      <c r="AO249" s="191"/>
      <c r="AP249" s="191"/>
      <c r="AQ249" s="191"/>
      <c r="AR249" s="191"/>
      <c r="AS249" s="191"/>
      <c r="AT249" s="13"/>
      <c r="AU249" s="13"/>
      <c r="AV249" s="13"/>
      <c r="AW249" s="191"/>
      <c r="AX249" s="191"/>
      <c r="AY249" s="191"/>
      <c r="AZ249" s="191"/>
      <c r="BA249" s="191"/>
      <c r="BB249" s="191"/>
      <c r="BC249" s="191"/>
      <c r="BD249" s="191"/>
      <c r="BE249" s="191"/>
      <c r="BF249" s="191"/>
      <c r="BG249" s="191"/>
      <c r="BH249" s="191"/>
      <c r="BI249" s="191"/>
      <c r="BJ249" s="191"/>
      <c r="BK249" s="191"/>
      <c r="BL249" s="191"/>
      <c r="BM249" s="191"/>
      <c r="BN249" s="191"/>
      <c r="BO249" s="191"/>
      <c r="BP249" s="191"/>
      <c r="BQ249" s="191"/>
      <c r="BR249" s="191"/>
      <c r="BS249" s="191"/>
      <c r="BT249" s="191"/>
      <c r="BU249" s="191"/>
      <c r="BV249" s="191"/>
      <c r="BW249" s="191"/>
      <c r="BX249" s="191"/>
      <c r="BY249" s="215"/>
      <c r="BZ249" s="215"/>
      <c r="CA249" s="215"/>
      <c r="CB249" s="215"/>
      <c r="CC249" s="215"/>
      <c r="CD249" s="215"/>
      <c r="CE249" s="215"/>
      <c r="CF249" s="215"/>
      <c r="CG249" s="219"/>
      <c r="CH249" s="219"/>
      <c r="CI249" s="219"/>
    </row>
    <row r="250" spans="1:87" s="220" customFormat="1">
      <c r="A250" s="25" t="s">
        <v>6</v>
      </c>
      <c r="B250" s="216">
        <f t="shared" ref="B250:AG250" si="863">B245/B254</f>
        <v>6.9696969696969702E-2</v>
      </c>
      <c r="C250" s="216">
        <f t="shared" si="863"/>
        <v>-0.23780487804878048</v>
      </c>
      <c r="D250" s="216">
        <f t="shared" si="863"/>
        <v>9.6096096096096095E-2</v>
      </c>
      <c r="E250" s="216">
        <f t="shared" si="863"/>
        <v>0.58507462686567169</v>
      </c>
      <c r="F250" s="216">
        <f t="shared" si="863"/>
        <v>0.24702380952380953</v>
      </c>
      <c r="G250" s="216">
        <f t="shared" si="863"/>
        <v>-0.37160120845921452</v>
      </c>
      <c r="H250" s="216">
        <f t="shared" si="863"/>
        <v>5.0445103857566766E-2</v>
      </c>
      <c r="I250" s="216">
        <f t="shared" si="863"/>
        <v>0.98816568047337283</v>
      </c>
      <c r="J250" s="216">
        <f t="shared" si="863"/>
        <v>0.16867469879518071</v>
      </c>
      <c r="K250" s="216">
        <f t="shared" si="863"/>
        <v>-0.41009463722397477</v>
      </c>
      <c r="L250" s="216">
        <f t="shared" si="863"/>
        <v>0.1540880503144654</v>
      </c>
      <c r="M250" s="216">
        <f t="shared" si="863"/>
        <v>0.5714285714285714</v>
      </c>
      <c r="N250" s="216">
        <f t="shared" si="863"/>
        <v>0.55048859934853422</v>
      </c>
      <c r="O250" s="216">
        <f t="shared" si="863"/>
        <v>-0.39802631578947367</v>
      </c>
      <c r="P250" s="216">
        <f t="shared" si="863"/>
        <v>0.33227848101265822</v>
      </c>
      <c r="Q250" s="216">
        <f t="shared" si="863"/>
        <v>1.259493670886076</v>
      </c>
      <c r="R250" s="216">
        <f t="shared" si="863"/>
        <v>0.47648902821316613</v>
      </c>
      <c r="S250" s="216">
        <f t="shared" si="863"/>
        <v>0.19003115264797507</v>
      </c>
      <c r="T250" s="216">
        <f t="shared" si="863"/>
        <v>0.72727272727272729</v>
      </c>
      <c r="U250" s="216">
        <f t="shared" si="863"/>
        <v>1.2163009404388714</v>
      </c>
      <c r="V250" s="216">
        <f t="shared" si="863"/>
        <v>0.38450204475308647</v>
      </c>
      <c r="W250" s="216">
        <f t="shared" si="863"/>
        <v>0.14966763175192307</v>
      </c>
      <c r="X250" s="216">
        <f t="shared" si="863"/>
        <v>0.64956666550370401</v>
      </c>
      <c r="Y250" s="216">
        <f t="shared" si="863"/>
        <v>1.8338461538461539</v>
      </c>
      <c r="Z250" s="216">
        <f t="shared" si="863"/>
        <v>0.50470219435736674</v>
      </c>
      <c r="AA250" s="216">
        <f t="shared" si="863"/>
        <v>7.0287539936102233E-2</v>
      </c>
      <c r="AB250" s="216">
        <f t="shared" si="863"/>
        <v>0.52582802547770702</v>
      </c>
      <c r="AC250" s="216">
        <f t="shared" si="863"/>
        <v>2.4810543130990417</v>
      </c>
      <c r="AD250" s="216">
        <f t="shared" si="863"/>
        <v>0.84570512820512822</v>
      </c>
      <c r="AE250" s="216">
        <f t="shared" si="863"/>
        <v>0.31297124600638981</v>
      </c>
      <c r="AF250" s="216">
        <f t="shared" si="863"/>
        <v>0.62288461538461537</v>
      </c>
      <c r="AG250" s="216">
        <f t="shared" si="863"/>
        <v>2.1820257234726688</v>
      </c>
      <c r="AH250" s="216">
        <f t="shared" ref="AH250:BN250" si="864">AH245/AH254</f>
        <v>1.2755839205357409</v>
      </c>
      <c r="AI250" s="216">
        <f t="shared" si="864"/>
        <v>0.15077419354838711</v>
      </c>
      <c r="AJ250" s="216">
        <f t="shared" si="864"/>
        <v>0.88410423452768738</v>
      </c>
      <c r="AK250" s="216">
        <f t="shared" si="864"/>
        <v>1.9313157894736843</v>
      </c>
      <c r="AL250" s="216">
        <f t="shared" si="864"/>
        <v>1.3130897009966778</v>
      </c>
      <c r="AM250" s="216">
        <f t="shared" si="864"/>
        <v>0.35377926421404682</v>
      </c>
      <c r="AN250" s="216">
        <f t="shared" si="864"/>
        <v>1.0720945945945948</v>
      </c>
      <c r="AO250" s="216">
        <f t="shared" si="864"/>
        <v>2.6440816326530614</v>
      </c>
      <c r="AP250" s="216">
        <f t="shared" si="864"/>
        <v>1.1963013698630136</v>
      </c>
      <c r="AQ250" s="216">
        <f t="shared" si="864"/>
        <v>1.4209589041095891</v>
      </c>
      <c r="AR250" s="216">
        <f t="shared" si="864"/>
        <v>4.7576791808873718E-2</v>
      </c>
      <c r="AS250" s="216">
        <f t="shared" si="864"/>
        <v>3.0553424657534247</v>
      </c>
      <c r="AT250" s="216">
        <f>AT245/AT254</f>
        <v>1.2413888888888889</v>
      </c>
      <c r="AU250" s="216">
        <f t="shared" si="864"/>
        <v>0.79446366782006916</v>
      </c>
      <c r="AV250" s="216">
        <f>AV245/AV254</f>
        <v>1.5771428571428572</v>
      </c>
      <c r="AW250" s="216">
        <f t="shared" si="864"/>
        <v>3.1836057282057846</v>
      </c>
      <c r="AX250" s="216">
        <f t="shared" si="864"/>
        <v>1.4211542544924669</v>
      </c>
      <c r="AY250" s="216">
        <f t="shared" si="864"/>
        <v>1.0517704362110378</v>
      </c>
      <c r="AZ250" s="216">
        <f t="shared" si="864"/>
        <v>1.6656554733858622</v>
      </c>
      <c r="BA250" s="216">
        <f t="shared" si="864"/>
        <v>3.4473148426429021</v>
      </c>
      <c r="BB250" s="216">
        <f t="shared" si="864"/>
        <v>1.3373069434930795</v>
      </c>
      <c r="BC250" s="216">
        <f t="shared" si="864"/>
        <v>1.1543629442518406</v>
      </c>
      <c r="BD250" s="216">
        <f t="shared" si="864"/>
        <v>1.7891049374079817</v>
      </c>
      <c r="BE250" s="216">
        <f t="shared" si="864"/>
        <v>3.665663098235806</v>
      </c>
      <c r="BF250" s="216">
        <f t="shared" si="864"/>
        <v>1.4992956461542757</v>
      </c>
      <c r="BG250" s="216">
        <f t="shared" si="864"/>
        <v>1.2811405104809317</v>
      </c>
      <c r="BH250" s="216">
        <f t="shared" si="864"/>
        <v>2.2323046625422345</v>
      </c>
      <c r="BI250" s="216">
        <f t="shared" si="864"/>
        <v>3.9477719079837712</v>
      </c>
      <c r="BJ250" s="216">
        <f t="shared" si="864"/>
        <v>1.6564392461823056</v>
      </c>
      <c r="BK250" s="216">
        <f t="shared" si="864"/>
        <v>1.419993866271948</v>
      </c>
      <c r="BL250" s="216">
        <f t="shared" si="864"/>
        <v>2.0572588594394801</v>
      </c>
      <c r="BM250" s="216">
        <f t="shared" si="864"/>
        <v>4.052443728751987</v>
      </c>
      <c r="BN250" s="216">
        <f t="shared" si="864"/>
        <v>1.7900291587372767</v>
      </c>
      <c r="BO250" s="217"/>
      <c r="BP250" s="217">
        <f t="shared" ref="BP250:CF250" si="865">BP245/BP254</f>
        <v>-1.0145593869731802</v>
      </c>
      <c r="BQ250" s="217">
        <f t="shared" si="865"/>
        <v>0.6996996996996997</v>
      </c>
      <c r="BR250" s="217">
        <f t="shared" si="865"/>
        <v>0.8490284005979073</v>
      </c>
      <c r="BS250" s="217">
        <f t="shared" si="865"/>
        <v>0.8448</v>
      </c>
      <c r="BT250" s="217">
        <f t="shared" si="865"/>
        <v>1.7019920318725099</v>
      </c>
      <c r="BU250" s="217">
        <f t="shared" si="865"/>
        <v>2.5115468823070928</v>
      </c>
      <c r="BV250" s="217">
        <f t="shared" si="865"/>
        <v>3.1423944007609994</v>
      </c>
      <c r="BW250" s="217">
        <f t="shared" si="865"/>
        <v>3.9218530351437697</v>
      </c>
      <c r="BX250" s="217">
        <f t="shared" si="865"/>
        <v>4.3869016817533772</v>
      </c>
      <c r="BY250" s="217">
        <f t="shared" si="865"/>
        <v>4.2570212765957445</v>
      </c>
      <c r="BZ250" s="217">
        <f t="shared" si="865"/>
        <v>5.249110922946655</v>
      </c>
      <c r="CA250" s="217">
        <f t="shared" si="865"/>
        <v>5.7632274678111584</v>
      </c>
      <c r="CB250" s="217">
        <f t="shared" si="865"/>
        <v>6.9720619743642507</v>
      </c>
      <c r="CC250" s="217">
        <f t="shared" si="865"/>
        <v>7.4926680035848205</v>
      </c>
      <c r="CD250" s="217">
        <f t="shared" si="865"/>
        <v>8.1134337280697437</v>
      </c>
      <c r="CE250" s="217">
        <f t="shared" si="865"/>
        <v>9.1228420305272167</v>
      </c>
      <c r="CF250" s="217">
        <f t="shared" si="865"/>
        <v>9.3245434187670622</v>
      </c>
      <c r="CG250" s="77"/>
      <c r="CH250" s="238"/>
      <c r="CI250" s="238"/>
    </row>
    <row r="251" spans="1:87" s="200" customFormat="1">
      <c r="A251" s="69" t="s">
        <v>0</v>
      </c>
      <c r="B251" s="34" t="s">
        <v>17</v>
      </c>
      <c r="C251" s="34">
        <f>IF(AND(B250&lt;0,C250&gt;0),"n/a",C250/B250-1)</f>
        <v>-4.4119830328738061</v>
      </c>
      <c r="D251" s="34" t="str">
        <f>IF(AND(C250&lt;0,D250&gt;0),"n/a",D250/C250-1)</f>
        <v>n/a</v>
      </c>
      <c r="E251" s="34">
        <f>IF(AND(D250&lt;0,E250&gt;0),"n/a",E250/D250-1)</f>
        <v>5.0884328358208961</v>
      </c>
      <c r="F251" s="34">
        <f>IF(AND(E250&lt;0,F250&gt;0),"n/a",F250/E250-1)</f>
        <v>-0.57779093780369295</v>
      </c>
      <c r="G251" s="34">
        <f t="shared" ref="G251:AV251" si="866">IF(AND(F250&lt;0,G250&gt;0),"n/a",G250/F250-1)</f>
        <v>-2.5043133258107959</v>
      </c>
      <c r="H251" s="34" t="str">
        <f t="shared" si="866"/>
        <v>n/a</v>
      </c>
      <c r="I251" s="34">
        <f t="shared" si="866"/>
        <v>18.58893143056039</v>
      </c>
      <c r="J251" s="34">
        <f t="shared" si="866"/>
        <v>-0.82930524493182312</v>
      </c>
      <c r="K251" s="34">
        <f t="shared" si="866"/>
        <v>-3.4312753492564219</v>
      </c>
      <c r="L251" s="34" t="str">
        <f t="shared" si="866"/>
        <v>n/a</v>
      </c>
      <c r="M251" s="34">
        <f t="shared" si="866"/>
        <v>2.7084548104956268</v>
      </c>
      <c r="N251" s="34">
        <f t="shared" si="866"/>
        <v>-3.6644951140065052E-2</v>
      </c>
      <c r="O251" s="34">
        <f t="shared" si="866"/>
        <v>-1.7230418872625348</v>
      </c>
      <c r="P251" s="34" t="str">
        <f t="shared" si="866"/>
        <v>n/a</v>
      </c>
      <c r="Q251" s="34">
        <f t="shared" si="866"/>
        <v>2.7904761904761908</v>
      </c>
      <c r="R251" s="34">
        <f t="shared" si="866"/>
        <v>-0.62168207810210929</v>
      </c>
      <c r="S251" s="34">
        <f t="shared" si="866"/>
        <v>-0.60118462042957854</v>
      </c>
      <c r="T251" s="34">
        <f t="shared" si="866"/>
        <v>2.8271236959761552</v>
      </c>
      <c r="U251" s="34">
        <f t="shared" si="866"/>
        <v>0.67241379310344818</v>
      </c>
      <c r="V251" s="34">
        <f t="shared" si="866"/>
        <v>-0.68387589619527167</v>
      </c>
      <c r="W251" s="34">
        <f t="shared" si="866"/>
        <v>-0.61074945167577899</v>
      </c>
      <c r="X251" s="34">
        <f t="shared" si="866"/>
        <v>3.3400610933723671</v>
      </c>
      <c r="Y251" s="34">
        <f t="shared" si="866"/>
        <v>1.8231839028009618</v>
      </c>
      <c r="Z251" s="34">
        <f t="shared" si="866"/>
        <v>-0.7247848772380131</v>
      </c>
      <c r="AA251" s="34">
        <f t="shared" si="866"/>
        <v>-0.86073462584089055</v>
      </c>
      <c r="AB251" s="34">
        <f t="shared" si="866"/>
        <v>6.4810987261146504</v>
      </c>
      <c r="AC251" s="34">
        <f t="shared" si="866"/>
        <v>3.7183759573199628</v>
      </c>
      <c r="AD251" s="34">
        <f t="shared" si="866"/>
        <v>-0.65913477841249968</v>
      </c>
      <c r="AE251" s="34">
        <f t="shared" si="866"/>
        <v>-0.62992864112031532</v>
      </c>
      <c r="AF251" s="34">
        <f t="shared" si="866"/>
        <v>0.9902295285359799</v>
      </c>
      <c r="AG251" s="34">
        <f t="shared" si="866"/>
        <v>2.5030977962512746</v>
      </c>
      <c r="AH251" s="34">
        <f t="shared" si="866"/>
        <v>-0.41541297757678874</v>
      </c>
      <c r="AI251" s="34">
        <f t="shared" si="866"/>
        <v>-0.88179986348129691</v>
      </c>
      <c r="AJ251" s="34">
        <f t="shared" si="866"/>
        <v>4.863763643636779</v>
      </c>
      <c r="AK251" s="34">
        <f t="shared" si="866"/>
        <v>1.1844887899507075</v>
      </c>
      <c r="AL251" s="34">
        <f t="shared" si="866"/>
        <v>-0.32010616381150359</v>
      </c>
      <c r="AM251" s="34">
        <f t="shared" si="866"/>
        <v>-0.73057494553074565</v>
      </c>
      <c r="AN251" s="34">
        <f t="shared" si="866"/>
        <v>2.0304054054054061</v>
      </c>
      <c r="AO251" s="34">
        <f t="shared" si="866"/>
        <v>1.4662764330538414</v>
      </c>
      <c r="AP251" s="34">
        <f t="shared" si="866"/>
        <v>-0.54755505462112031</v>
      </c>
      <c r="AQ251" s="34">
        <f t="shared" si="866"/>
        <v>0.18779342723004722</v>
      </c>
      <c r="AR251" s="34">
        <f t="shared" si="866"/>
        <v>-0.96651782703125633</v>
      </c>
      <c r="AS251" s="34">
        <f t="shared" si="866"/>
        <v>63.219178082191789</v>
      </c>
      <c r="AT251" s="34">
        <f t="shared" si="866"/>
        <v>-0.5936989379084967</v>
      </c>
      <c r="AU251" s="34">
        <f t="shared" si="866"/>
        <v>-0.36002031681533919</v>
      </c>
      <c r="AV251" s="34">
        <f t="shared" si="866"/>
        <v>0.98516674962668005</v>
      </c>
      <c r="AW251" s="34">
        <f>IF(AND(AV250&lt;0,AW250&gt;0),"n/a",AW250/AV250-1)</f>
        <v>1.0185905885362763</v>
      </c>
      <c r="AX251" s="34">
        <f>IF(AND(AW250&lt;0,AX250&gt;0),"n/a",AX250/AW250-1)</f>
        <v>-0.55360230637183816</v>
      </c>
      <c r="AY251" s="34">
        <f t="shared" ref="AY251:BC251" si="867">IF(AND(AX250&lt;0,AY250&gt;0),"n/a",AY250/AX250-1)</f>
        <v>-0.25991817363509651</v>
      </c>
      <c r="AZ251" s="34">
        <f t="shared" si="867"/>
        <v>0.58366827592751269</v>
      </c>
      <c r="BA251" s="34">
        <f t="shared" si="867"/>
        <v>1.0696445920087969</v>
      </c>
      <c r="BB251" s="34">
        <f t="shared" si="867"/>
        <v>-0.61207287279051481</v>
      </c>
      <c r="BC251" s="34">
        <f t="shared" si="867"/>
        <v>-0.13680030611624927</v>
      </c>
      <c r="BD251" s="34">
        <f t="shared" ref="BD251" si="868">IF(AND(BC250&lt;0,BD250&gt;0),"n/a",BD250/BC250-1)</f>
        <v>0.54986345179983798</v>
      </c>
      <c r="BE251" s="34">
        <f t="shared" ref="BE251" si="869">IF(AND(BD250&lt;0,BE250&gt;0),"n/a",BE250/BD250-1)</f>
        <v>1.0488809916016124</v>
      </c>
      <c r="BF251" s="34">
        <f t="shared" ref="BF251" si="870">IF(AND(BE250&lt;0,BF250&gt;0),"n/a",BF250/BE250-1)</f>
        <v>-0.59098924097093097</v>
      </c>
      <c r="BG251" s="34">
        <f t="shared" ref="BG251" si="871">IF(AND(BF250&lt;0,BG250&gt;0),"n/a",BG250/BF250-1)</f>
        <v>-0.14550508182486654</v>
      </c>
      <c r="BH251" s="34">
        <f t="shared" ref="BH251" si="872">IF(AND(BG250&lt;0,BH250&gt;0),"n/a",BH250/BG250-1)</f>
        <v>0.74243546611779698</v>
      </c>
      <c r="BI251" s="34">
        <f t="shared" ref="BI251" si="873">IF(AND(BH250&lt;0,BI250&gt;0),"n/a",BI250/BH250-1)</f>
        <v>0.76847362021270715</v>
      </c>
      <c r="BJ251" s="34">
        <f t="shared" ref="BJ251" si="874">IF(AND(BI250&lt;0,BJ250&gt;0),"n/a",BJ250/BI250-1)</f>
        <v>-0.5804116132362136</v>
      </c>
      <c r="BK251" s="34">
        <f t="shared" ref="BK251" si="875">IF(AND(BJ250&lt;0,BK250&gt;0),"n/a",BK250/BJ250-1)</f>
        <v>-0.14274316456538172</v>
      </c>
      <c r="BL251" s="34">
        <f t="shared" ref="BL251" si="876">IF(AND(BK250&lt;0,BL250&gt;0),"n/a",BL250/BK250-1)</f>
        <v>0.448780102720167</v>
      </c>
      <c r="BM251" s="34">
        <f t="shared" ref="BM251" si="877">IF(AND(BL250&lt;0,BM250&gt;0),"n/a",BM250/BL250-1)</f>
        <v>0.96982684515263884</v>
      </c>
      <c r="BN251" s="34">
        <f t="shared" ref="BN251" si="878">IF(AND(BM250&lt;0,BN250&gt;0),"n/a",BN250/BM250-1)</f>
        <v>-0.55828401859424615</v>
      </c>
      <c r="BO251" s="35"/>
      <c r="BP251" s="35" t="s">
        <v>17</v>
      </c>
      <c r="BQ251" s="35" t="s">
        <v>17</v>
      </c>
      <c r="BR251" s="35" t="s">
        <v>17</v>
      </c>
      <c r="BS251" s="35" t="s">
        <v>17</v>
      </c>
      <c r="BT251" s="35" t="s">
        <v>17</v>
      </c>
      <c r="BU251" s="35" t="s">
        <v>17</v>
      </c>
      <c r="BV251" s="35" t="s">
        <v>17</v>
      </c>
      <c r="BW251" s="35" t="s">
        <v>17</v>
      </c>
      <c r="BX251" s="35" t="s">
        <v>17</v>
      </c>
      <c r="BY251" s="35" t="s">
        <v>17</v>
      </c>
      <c r="BZ251" s="35" t="s">
        <v>17</v>
      </c>
      <c r="CA251" s="35" t="s">
        <v>17</v>
      </c>
      <c r="CB251" s="35" t="s">
        <v>17</v>
      </c>
      <c r="CC251" s="35" t="s">
        <v>17</v>
      </c>
      <c r="CD251" s="35" t="s">
        <v>17</v>
      </c>
      <c r="CE251" s="35" t="s">
        <v>17</v>
      </c>
      <c r="CF251" s="35" t="s">
        <v>17</v>
      </c>
      <c r="CG251" s="77"/>
      <c r="CH251" s="77"/>
      <c r="CI251" s="77"/>
    </row>
    <row r="252" spans="1:87" s="200" customFormat="1">
      <c r="A252" s="69" t="s">
        <v>1</v>
      </c>
      <c r="B252" s="34" t="s">
        <v>17</v>
      </c>
      <c r="C252" s="34" t="s">
        <v>17</v>
      </c>
      <c r="D252" s="34" t="s">
        <v>17</v>
      </c>
      <c r="E252" s="34" t="s">
        <v>17</v>
      </c>
      <c r="F252" s="34">
        <f>IF(AND(B250&lt;0,F250&gt;0),"n/a",F250/B250-1)</f>
        <v>2.5442546583850931</v>
      </c>
      <c r="G252" s="34">
        <f t="shared" ref="G252:AV252" si="879">IF(AND(C250&lt;0,G250&gt;0),"n/a",G250/C250-1)</f>
        <v>0.56263072275156878</v>
      </c>
      <c r="H252" s="34">
        <f t="shared" si="879"/>
        <v>-0.47505563798219586</v>
      </c>
      <c r="I252" s="34">
        <f t="shared" si="879"/>
        <v>0.68895664774785659</v>
      </c>
      <c r="J252" s="34">
        <f t="shared" si="879"/>
        <v>-0.31717230367252147</v>
      </c>
      <c r="K252" s="34">
        <f t="shared" si="879"/>
        <v>0.10358800748890773</v>
      </c>
      <c r="L252" s="34">
        <f t="shared" si="879"/>
        <v>2.0545689974102848</v>
      </c>
      <c r="M252" s="34">
        <f t="shared" si="879"/>
        <v>-0.42172797262617623</v>
      </c>
      <c r="N252" s="34">
        <f t="shared" si="879"/>
        <v>2.2636109818520245</v>
      </c>
      <c r="O252" s="34">
        <f t="shared" si="879"/>
        <v>-2.9428137651821951E-2</v>
      </c>
      <c r="P252" s="34">
        <f t="shared" si="879"/>
        <v>1.1564195298372515</v>
      </c>
      <c r="Q252" s="34">
        <f t="shared" si="879"/>
        <v>1.2041139240506333</v>
      </c>
      <c r="R252" s="34">
        <f t="shared" si="879"/>
        <v>-0.13442525644117165</v>
      </c>
      <c r="S252" s="34" t="str">
        <f t="shared" si="879"/>
        <v>n/a</v>
      </c>
      <c r="T252" s="34">
        <f t="shared" si="879"/>
        <v>1.1887445887445889</v>
      </c>
      <c r="U252" s="34">
        <f t="shared" si="879"/>
        <v>-3.4293725681700193E-2</v>
      </c>
      <c r="V252" s="34">
        <f t="shared" si="879"/>
        <v>-0.19305162976161461</v>
      </c>
      <c r="W252" s="34">
        <f t="shared" si="879"/>
        <v>-0.21240475750217525</v>
      </c>
      <c r="X252" s="34">
        <f t="shared" si="879"/>
        <v>-0.10684583493240696</v>
      </c>
      <c r="Y252" s="34">
        <f t="shared" si="879"/>
        <v>0.50772402854877097</v>
      </c>
      <c r="Z252" s="34">
        <f t="shared" si="879"/>
        <v>0.31261251076432783</v>
      </c>
      <c r="AA252" s="34">
        <f t="shared" si="879"/>
        <v>-0.53037581263659495</v>
      </c>
      <c r="AB252" s="34">
        <f t="shared" si="879"/>
        <v>-0.19049413493231571</v>
      </c>
      <c r="AC252" s="34">
        <f t="shared" si="879"/>
        <v>0.352923912344276</v>
      </c>
      <c r="AD252" s="34">
        <f t="shared" si="879"/>
        <v>0.67565177576047164</v>
      </c>
      <c r="AE252" s="34">
        <f t="shared" si="879"/>
        <v>3.4527272727272731</v>
      </c>
      <c r="AF252" s="34">
        <f t="shared" si="879"/>
        <v>0.18457857931542132</v>
      </c>
      <c r="AG252" s="34">
        <f t="shared" si="879"/>
        <v>-0.12052480594544568</v>
      </c>
      <c r="AH252" s="34">
        <f t="shared" si="879"/>
        <v>0.50830813009607811</v>
      </c>
      <c r="AI252" s="34">
        <f t="shared" si="879"/>
        <v>-0.5182490549137897</v>
      </c>
      <c r="AJ252" s="34">
        <f t="shared" si="879"/>
        <v>0.41937079948872324</v>
      </c>
      <c r="AK252" s="34">
        <f t="shared" si="879"/>
        <v>-0.11489779029734926</v>
      </c>
      <c r="AL252" s="34">
        <f t="shared" si="879"/>
        <v>2.9402832582888561E-2</v>
      </c>
      <c r="AM252" s="34">
        <f t="shared" si="879"/>
        <v>1.3464178841753212</v>
      </c>
      <c r="AN252" s="34">
        <f t="shared" si="879"/>
        <v>0.21263370621376665</v>
      </c>
      <c r="AO252" s="34">
        <f t="shared" si="879"/>
        <v>0.36905712005472591</v>
      </c>
      <c r="AP252" s="34">
        <f t="shared" si="879"/>
        <v>-8.8941624509748296E-2</v>
      </c>
      <c r="AQ252" s="34">
        <f t="shared" si="879"/>
        <v>3.0165126898162899</v>
      </c>
      <c r="AR252" s="34">
        <f t="shared" si="879"/>
        <v>-0.95562258027533054</v>
      </c>
      <c r="AS252" s="34">
        <f t="shared" si="879"/>
        <v>0.15554014218831269</v>
      </c>
      <c r="AT252" s="34">
        <f t="shared" si="879"/>
        <v>3.7689097548252448E-2</v>
      </c>
      <c r="AU252" s="34">
        <f t="shared" si="879"/>
        <v>-0.4408960980346569</v>
      </c>
      <c r="AV252" s="34">
        <f t="shared" si="879"/>
        <v>32.14941586390654</v>
      </c>
      <c r="AW252" s="34">
        <f>IF(AND(AS250&lt;0,AW250&gt;0),"n/a",AW250/AS250-1)</f>
        <v>4.1979995332775522E-2</v>
      </c>
      <c r="AX252" s="34">
        <f>IF(AND(AT250&lt;0,AX250&gt;0),"n/a",AX250/AT250-1)</f>
        <v>0.14480987159831749</v>
      </c>
      <c r="AY252" s="34">
        <f t="shared" ref="AY252:BC252" si="880">IF(AND(AU250&lt;0,AY250&gt;0),"n/a",AY250/AU250-1)</f>
        <v>0.32387480864542662</v>
      </c>
      <c r="AZ252" s="34">
        <f>IF(AND(AV250&lt;0,AZ250&gt;0),"n/a",AZ250/AV250-1)</f>
        <v>5.6122129864224268E-2</v>
      </c>
      <c r="BA252" s="34">
        <f t="shared" si="880"/>
        <v>8.2833471525928681E-2</v>
      </c>
      <c r="BB252" s="34">
        <f t="shared" si="880"/>
        <v>-5.899944410280189E-2</v>
      </c>
      <c r="BC252" s="34">
        <f t="shared" si="880"/>
        <v>9.7542680901345991E-2</v>
      </c>
      <c r="BD252" s="34">
        <f t="shared" ref="BD252" si="881">IF(AND(AZ250&lt;0,BD250&gt;0),"n/a",BD250/AZ250-1)</f>
        <v>7.4114644951862374E-2</v>
      </c>
      <c r="BE252" s="34">
        <f t="shared" ref="BE252" si="882">IF(AND(BA250&lt;0,BE250&gt;0),"n/a",BE250/BA250-1)</f>
        <v>6.333864632610875E-2</v>
      </c>
      <c r="BF252" s="34">
        <f t="shared" ref="BF252" si="883">IF(AND(BB250&lt;0,BF250&gt;0),"n/a",BF250/BB250-1)</f>
        <v>0.12113053285887943</v>
      </c>
      <c r="BG252" s="34">
        <f t="shared" ref="BG252" si="884">IF(AND(BC250&lt;0,BG250&gt;0),"n/a",BG250/BC250-1)</f>
        <v>0.10982470189326587</v>
      </c>
      <c r="BH252" s="34">
        <f t="shared" ref="BH252" si="885">IF(AND(BD250&lt;0,BH250&gt;0),"n/a",BH250/BD250-1)</f>
        <v>0.24772148120967752</v>
      </c>
      <c r="BI252" s="34">
        <f t="shared" ref="BI252" si="886">IF(AND(BE250&lt;0,BI250&gt;0),"n/a",BI250/BE250-1)</f>
        <v>7.6959830237464333E-2</v>
      </c>
      <c r="BJ252" s="34">
        <f t="shared" ref="BJ252" si="887">IF(AND(BF250&lt;0,BJ250&gt;0),"n/a",BJ250/BF250-1)</f>
        <v>0.10481161632871183</v>
      </c>
      <c r="BK252" s="34">
        <f t="shared" ref="BK252" si="888">IF(AND(BG250&lt;0,BK250&gt;0),"n/a",BK250/BG250-1)</f>
        <v>0.10838261272285554</v>
      </c>
      <c r="BL252" s="34">
        <f t="shared" ref="BL252" si="889">IF(AND(BH250&lt;0,BL250&gt;0),"n/a",BL250/BH250-1)</f>
        <v>-7.8414835591216092E-2</v>
      </c>
      <c r="BM252" s="34">
        <f t="shared" ref="BM252" si="890">IF(AND(BI250&lt;0,BM250&gt;0),"n/a",BM250/BI250-1)</f>
        <v>2.651415107254107E-2</v>
      </c>
      <c r="BN252" s="34">
        <f t="shared" ref="BN252" si="891">IF(AND(BJ250&lt;0,BN250&gt;0),"n/a",BN250/BJ250-1)</f>
        <v>8.0648845324610363E-2</v>
      </c>
      <c r="BO252" s="35"/>
      <c r="BP252" s="35" t="s">
        <v>17</v>
      </c>
      <c r="BQ252" s="35" t="str">
        <f>IF(AND(BP250&lt;0,BQ250&gt;0),"n/a",BQ250/BP250-1)</f>
        <v>n/a</v>
      </c>
      <c r="BR252" s="35">
        <f t="shared" ref="BR252:CF252" si="892">IF(AND(BQ250&lt;0,BR250&gt;0),"n/a",BR250/BQ250-1)</f>
        <v>0.21341827209915509</v>
      </c>
      <c r="BS252" s="35">
        <f t="shared" si="892"/>
        <v>-4.9802816901408642E-3</v>
      </c>
      <c r="BT252" s="35">
        <f t="shared" si="892"/>
        <v>1.014668598333937</v>
      </c>
      <c r="BU252" s="35">
        <f t="shared" si="892"/>
        <v>0.47565137513829669</v>
      </c>
      <c r="BV252" s="35">
        <f t="shared" si="892"/>
        <v>0.25117887422209439</v>
      </c>
      <c r="BW252" s="35">
        <f t="shared" si="892"/>
        <v>0.24804608682920493</v>
      </c>
      <c r="BX252" s="35">
        <f t="shared" si="892"/>
        <v>0.11857880508073637</v>
      </c>
      <c r="BY252" s="35">
        <f t="shared" si="892"/>
        <v>-2.9606408937280171E-2</v>
      </c>
      <c r="BZ252" s="35">
        <f t="shared" si="892"/>
        <v>0.23304784775336262</v>
      </c>
      <c r="CA252" s="35">
        <f t="shared" si="892"/>
        <v>9.7943547471444514E-2</v>
      </c>
      <c r="CB252" s="35">
        <f t="shared" si="892"/>
        <v>0.20974957405458805</v>
      </c>
      <c r="CC252" s="35">
        <f t="shared" si="892"/>
        <v>7.4670310036657694E-2</v>
      </c>
      <c r="CD252" s="35">
        <f t="shared" si="892"/>
        <v>8.2849757147643865E-2</v>
      </c>
      <c r="CE252" s="35">
        <f t="shared" si="892"/>
        <v>0.124411973560006</v>
      </c>
      <c r="CF252" s="35">
        <f t="shared" si="892"/>
        <v>2.2109490393991793E-2</v>
      </c>
      <c r="CG252" s="3"/>
      <c r="CH252" s="3"/>
      <c r="CI252" s="3"/>
    </row>
    <row r="253" spans="1:87">
      <c r="A253" s="8"/>
      <c r="B253" s="191"/>
      <c r="C253" s="191"/>
      <c r="D253" s="191"/>
      <c r="E253" s="191"/>
      <c r="F253" s="191"/>
      <c r="G253" s="191"/>
      <c r="H253" s="191"/>
      <c r="I253" s="191"/>
      <c r="J253" s="191"/>
      <c r="K253" s="191"/>
      <c r="L253" s="191"/>
      <c r="M253" s="191"/>
      <c r="N253" s="191"/>
      <c r="O253" s="191"/>
      <c r="P253" s="191"/>
      <c r="Q253" s="191"/>
      <c r="R253" s="191"/>
      <c r="S253" s="191"/>
      <c r="T253" s="191"/>
      <c r="U253" s="191"/>
      <c r="V253" s="191"/>
      <c r="W253" s="191"/>
      <c r="X253" s="191"/>
      <c r="Y253" s="191"/>
      <c r="Z253" s="191"/>
      <c r="AA253" s="191"/>
      <c r="AB253" s="191"/>
      <c r="AC253" s="191"/>
      <c r="AD253" s="191"/>
      <c r="AE253" s="191"/>
      <c r="AF253" s="191"/>
      <c r="AG253" s="191"/>
      <c r="AH253" s="191"/>
      <c r="AI253" s="191"/>
      <c r="AJ253" s="191"/>
      <c r="AK253" s="191"/>
      <c r="AL253" s="191"/>
      <c r="AM253" s="191"/>
      <c r="AN253" s="191"/>
      <c r="AO253" s="191"/>
      <c r="AP253" s="191"/>
      <c r="AQ253" s="191"/>
      <c r="AR253" s="191"/>
      <c r="AS253" s="191"/>
      <c r="AT253" s="191"/>
      <c r="AU253" s="191"/>
      <c r="AV253" s="191"/>
      <c r="AW253" s="191"/>
      <c r="AX253" s="191"/>
      <c r="AY253" s="191"/>
      <c r="AZ253" s="191"/>
      <c r="BA253" s="191"/>
      <c r="BB253" s="191"/>
      <c r="BC253" s="191"/>
      <c r="BD253" s="191"/>
      <c r="BE253" s="191"/>
      <c r="BF253" s="191"/>
      <c r="BG253" s="191"/>
      <c r="BH253" s="191"/>
      <c r="BI253" s="191"/>
      <c r="BJ253" s="191"/>
      <c r="BK253" s="191"/>
      <c r="BL253" s="191"/>
      <c r="BM253" s="191"/>
      <c r="BN253" s="191"/>
      <c r="BO253" s="191"/>
      <c r="BP253" s="191"/>
      <c r="BQ253" s="191"/>
      <c r="BR253" s="191"/>
      <c r="BS253" s="191"/>
      <c r="BT253" s="191"/>
      <c r="BU253" s="239"/>
      <c r="BV253" s="239"/>
      <c r="BW253" s="239"/>
      <c r="BX253" s="239"/>
      <c r="BY253" s="239"/>
      <c r="BZ253" s="210"/>
      <c r="CA253" s="210"/>
      <c r="CB253" s="210"/>
      <c r="CC253" s="210"/>
      <c r="CD253" s="210"/>
      <c r="CE253" s="210"/>
      <c r="CF253" s="210"/>
    </row>
    <row r="254" spans="1:87">
      <c r="A254" s="8" t="s">
        <v>128</v>
      </c>
      <c r="B254" s="210">
        <f>Drivers!B$304</f>
        <v>330</v>
      </c>
      <c r="C254" s="210">
        <f>Drivers!C$304</f>
        <v>328</v>
      </c>
      <c r="D254" s="210">
        <f>Drivers!D$304</f>
        <v>333</v>
      </c>
      <c r="E254" s="210">
        <f>Drivers!E$304</f>
        <v>335</v>
      </c>
      <c r="F254" s="210">
        <f>Drivers!F$304</f>
        <v>336</v>
      </c>
      <c r="G254" s="210">
        <f>Drivers!G$304</f>
        <v>331</v>
      </c>
      <c r="H254" s="210">
        <f>Drivers!H$304</f>
        <v>337</v>
      </c>
      <c r="I254" s="210">
        <f>Drivers!I$304</f>
        <v>338</v>
      </c>
      <c r="J254" s="210">
        <f>Drivers!J$304</f>
        <v>332</v>
      </c>
      <c r="K254" s="210">
        <f>Drivers!K$304</f>
        <v>317</v>
      </c>
      <c r="L254" s="210">
        <f>Drivers!L$304</f>
        <v>318</v>
      </c>
      <c r="M254" s="210">
        <f>Drivers!M$304</f>
        <v>308</v>
      </c>
      <c r="N254" s="210">
        <f>Drivers!N$304</f>
        <v>307</v>
      </c>
      <c r="O254" s="210">
        <f>Drivers!O$304</f>
        <v>304</v>
      </c>
      <c r="P254" s="210">
        <f>Drivers!P$304</f>
        <v>316</v>
      </c>
      <c r="Q254" s="210">
        <f>Drivers!Q$304</f>
        <v>316</v>
      </c>
      <c r="R254" s="210">
        <f>Drivers!R$304</f>
        <v>319</v>
      </c>
      <c r="S254" s="210">
        <f>Drivers!S$304</f>
        <v>321</v>
      </c>
      <c r="T254" s="210">
        <f>Drivers!T$304</f>
        <v>319</v>
      </c>
      <c r="U254" s="210">
        <f>Drivers!U$304</f>
        <v>319</v>
      </c>
      <c r="V254" s="210">
        <f>Drivers!V$304</f>
        <v>324</v>
      </c>
      <c r="W254" s="210">
        <f>Drivers!W$304</f>
        <v>325</v>
      </c>
      <c r="X254" s="210">
        <f>Drivers!X$304</f>
        <v>326.37142768957426</v>
      </c>
      <c r="Y254" s="210">
        <f>Drivers!Y$304</f>
        <v>325</v>
      </c>
      <c r="Z254" s="210">
        <f>Drivers!Z$304</f>
        <v>319</v>
      </c>
      <c r="AA254" s="210">
        <f>Drivers!AA$304</f>
        <v>313</v>
      </c>
      <c r="AB254" s="210">
        <f>Drivers!AB$304</f>
        <v>314</v>
      </c>
      <c r="AC254" s="210">
        <f>Drivers!AC$304</f>
        <v>313</v>
      </c>
      <c r="AD254" s="210">
        <f>Drivers!AD$304</f>
        <v>312</v>
      </c>
      <c r="AE254" s="210">
        <f>Drivers!AE$304</f>
        <v>313</v>
      </c>
      <c r="AF254" s="210">
        <f>Drivers!AF$304</f>
        <v>312</v>
      </c>
      <c r="AG254" s="210">
        <f>Drivers!AG$304</f>
        <v>311</v>
      </c>
      <c r="AH254" s="210">
        <f>Drivers!AH$304</f>
        <v>311</v>
      </c>
      <c r="AI254" s="210">
        <f>Drivers!AI$304</f>
        <v>310</v>
      </c>
      <c r="AJ254" s="210">
        <f>Drivers!AJ$304</f>
        <v>307</v>
      </c>
      <c r="AK254" s="210">
        <f>Drivers!AK$304</f>
        <v>304</v>
      </c>
      <c r="AL254" s="210">
        <f>Drivers!AL$304</f>
        <v>301</v>
      </c>
      <c r="AM254" s="210">
        <f>Drivers!AM$304</f>
        <v>299</v>
      </c>
      <c r="AN254" s="210">
        <f>Drivers!AN$304</f>
        <v>296</v>
      </c>
      <c r="AO254" s="210">
        <f>Drivers!AO$304</f>
        <v>294</v>
      </c>
      <c r="AP254" s="210">
        <f>Drivers!AP$304</f>
        <v>292</v>
      </c>
      <c r="AQ254" s="210">
        <f>Drivers!AQ$304</f>
        <v>292</v>
      </c>
      <c r="AR254" s="210">
        <f>Drivers!AR$304</f>
        <v>293</v>
      </c>
      <c r="AS254" s="210">
        <f>Drivers!AS$304</f>
        <v>292</v>
      </c>
      <c r="AT254" s="210">
        <f>Drivers!AT$304</f>
        <v>288</v>
      </c>
      <c r="AU254" s="210">
        <f>Drivers!AU$304</f>
        <v>289</v>
      </c>
      <c r="AV254" s="210">
        <f>Drivers!AV$304</f>
        <v>287</v>
      </c>
      <c r="AW254" s="210">
        <f>Drivers!AW$304</f>
        <v>287.17395906154815</v>
      </c>
      <c r="AX254" s="210">
        <f>Drivers!AX$304</f>
        <v>285.7227450214657</v>
      </c>
      <c r="AY254" s="210">
        <f>Drivers!AY$304</f>
        <v>281.24921845846598</v>
      </c>
      <c r="AZ254" s="210">
        <f>Drivers!AZ$304</f>
        <v>279.74413759605022</v>
      </c>
      <c r="BA254" s="210">
        <f>Drivers!BA$304</f>
        <v>278.29003472142301</v>
      </c>
      <c r="BB254" s="210">
        <f>Drivers!BB$304</f>
        <v>278.06211773208264</v>
      </c>
      <c r="BC254" s="210">
        <f>Drivers!BC$304</f>
        <v>278.99116078627571</v>
      </c>
      <c r="BD254" s="210">
        <f>Drivers!BD$304</f>
        <v>279.92178146482638</v>
      </c>
      <c r="BE254" s="210">
        <f>Drivers!BE$304</f>
        <v>280.91055033949601</v>
      </c>
      <c r="BF254" s="210">
        <f>Drivers!BF$304</f>
        <v>281.86990043360186</v>
      </c>
      <c r="BG254" s="210">
        <f>Drivers!BG$304</f>
        <v>282.75066775406265</v>
      </c>
      <c r="BH254" s="210">
        <f>Drivers!BH$304</f>
        <v>283.72159120832487</v>
      </c>
      <c r="BI254" s="210">
        <f>Drivers!BI$304</f>
        <v>284.7669220636659</v>
      </c>
      <c r="BJ254" s="210">
        <f>Drivers!BJ$304</f>
        <v>285.7108557284937</v>
      </c>
      <c r="BK254" s="210">
        <f>Drivers!BK$304</f>
        <v>286.56755968296198</v>
      </c>
      <c r="BL254" s="210">
        <f>Drivers!BL$304</f>
        <v>287.42723594574989</v>
      </c>
      <c r="BM254" s="210">
        <f>Drivers!BM$304</f>
        <v>288.34886544663448</v>
      </c>
      <c r="BN254" s="210">
        <f>Drivers!BN$304</f>
        <v>289.24744391288357</v>
      </c>
      <c r="BO254" s="210"/>
      <c r="BP254" s="210">
        <v>326.25</v>
      </c>
      <c r="BQ254" s="210">
        <f>AVERAGE(C254:F254)</f>
        <v>333</v>
      </c>
      <c r="BR254" s="210">
        <f>AVERAGE(G254:J254)</f>
        <v>334.5</v>
      </c>
      <c r="BS254" s="210">
        <f>AVERAGE(K254:N254)</f>
        <v>312.5</v>
      </c>
      <c r="BT254" s="210">
        <f>AVERAGE(O254:R254)</f>
        <v>313.75</v>
      </c>
      <c r="BU254" s="210">
        <f>AVERAGE(S254:V254)</f>
        <v>320.75</v>
      </c>
      <c r="BV254" s="210">
        <f>AVERAGE(W254:Z254)</f>
        <v>323.84285692239359</v>
      </c>
      <c r="BW254" s="210">
        <f>AVERAGE(AA254:AD254)</f>
        <v>313</v>
      </c>
      <c r="BX254" s="210">
        <f>AVERAGE(AE254:AH254)</f>
        <v>311.75</v>
      </c>
      <c r="BY254" s="210">
        <f>AVERAGE(AI254:AL254)</f>
        <v>305.5</v>
      </c>
      <c r="BZ254" s="210">
        <f>AVERAGE(AM254:AP254)</f>
        <v>295.25</v>
      </c>
      <c r="CA254" s="210">
        <f>AVERAGE(AQ254:AT254)</f>
        <v>291.25</v>
      </c>
      <c r="CB254" s="210">
        <f>AVERAGE(AU254:AX254)</f>
        <v>287.22417602075348</v>
      </c>
      <c r="CC254" s="210">
        <f>AVERAGE(AY254:BB254)</f>
        <v>279.33637712700545</v>
      </c>
      <c r="CD254" s="210">
        <f>AVERAGE(BC254:BF254)</f>
        <v>280.42334825604996</v>
      </c>
      <c r="CE254" s="210">
        <f>AVERAGE(BG254:BJ254)</f>
        <v>284.23750918863675</v>
      </c>
      <c r="CF254" s="210">
        <f>AVERAGE(BK254:BN254)</f>
        <v>287.89777624705749</v>
      </c>
    </row>
    <row r="256" spans="1:87" ht="12.75" customHeight="1">
      <c r="A256" s="185" t="s">
        <v>178</v>
      </c>
      <c r="B256" s="240"/>
      <c r="C256" s="240"/>
      <c r="D256" s="240"/>
      <c r="E256" s="240"/>
      <c r="F256" s="240"/>
      <c r="G256" s="240"/>
      <c r="H256" s="240"/>
      <c r="I256" s="240"/>
      <c r="J256" s="240"/>
      <c r="K256" s="240"/>
      <c r="L256" s="201"/>
      <c r="M256" s="201"/>
      <c r="N256" s="201"/>
      <c r="O256" s="201"/>
      <c r="P256" s="201"/>
      <c r="Q256" s="201"/>
      <c r="R256" s="201"/>
      <c r="S256" s="201"/>
      <c r="T256" s="201"/>
      <c r="U256" s="201"/>
      <c r="V256" s="201"/>
      <c r="W256" s="201"/>
      <c r="X256" s="201"/>
      <c r="Y256" s="201"/>
      <c r="Z256" s="201"/>
      <c r="AA256" s="201"/>
      <c r="AB256" s="201"/>
      <c r="AC256" s="201"/>
      <c r="AD256" s="201"/>
      <c r="AE256" s="201"/>
      <c r="AF256" s="201"/>
      <c r="AG256" s="201"/>
      <c r="AH256" s="201"/>
      <c r="AI256" s="201"/>
      <c r="AJ256" s="201"/>
      <c r="AK256" s="201"/>
      <c r="AL256" s="201"/>
      <c r="AM256" s="201"/>
      <c r="AN256" s="201"/>
      <c r="AO256" s="201"/>
      <c r="AP256" s="201"/>
      <c r="AQ256" s="201"/>
      <c r="AR256" s="201"/>
      <c r="AS256" s="201"/>
      <c r="AT256" s="201"/>
      <c r="AU256" s="201"/>
      <c r="AV256" s="201"/>
      <c r="AW256" s="201"/>
      <c r="AX256" s="201"/>
      <c r="AY256" s="201"/>
      <c r="AZ256" s="201"/>
      <c r="BA256" s="201"/>
      <c r="BB256" s="201"/>
      <c r="BC256" s="201"/>
      <c r="BD256" s="201"/>
      <c r="BE256" s="201"/>
      <c r="BF256" s="201"/>
      <c r="BG256" s="201"/>
      <c r="BH256" s="201"/>
      <c r="BI256" s="201"/>
      <c r="BJ256" s="201"/>
      <c r="BK256" s="201"/>
      <c r="BL256" s="201"/>
      <c r="BM256" s="201"/>
      <c r="BN256" s="201"/>
      <c r="BO256" s="202"/>
      <c r="BP256" s="190"/>
      <c r="BQ256" s="190"/>
      <c r="BR256" s="190"/>
      <c r="BS256" s="190"/>
      <c r="BT256" s="190"/>
      <c r="BU256" s="190"/>
      <c r="BV256" s="190"/>
      <c r="BW256" s="190"/>
      <c r="BX256" s="190"/>
      <c r="BY256" s="190"/>
      <c r="BZ256" s="190"/>
      <c r="CA256" s="190"/>
      <c r="CB256" s="190"/>
      <c r="CC256" s="190"/>
      <c r="CD256" s="190"/>
      <c r="CE256" s="190"/>
      <c r="CF256" s="190"/>
    </row>
    <row r="257" spans="1:87" ht="12.75" customHeight="1">
      <c r="A257" s="38"/>
      <c r="B257" s="240"/>
      <c r="C257" s="240"/>
      <c r="D257" s="240"/>
      <c r="E257" s="240"/>
      <c r="F257" s="240"/>
      <c r="G257" s="240"/>
      <c r="H257" s="240"/>
      <c r="I257" s="240"/>
      <c r="J257" s="240"/>
      <c r="K257" s="240"/>
      <c r="L257" s="201"/>
      <c r="M257" s="201"/>
      <c r="N257" s="201"/>
      <c r="O257" s="201"/>
      <c r="P257" s="201"/>
      <c r="Q257" s="201"/>
      <c r="R257" s="201"/>
      <c r="S257" s="201"/>
      <c r="T257" s="201"/>
      <c r="U257" s="201"/>
      <c r="V257" s="201"/>
      <c r="W257" s="201"/>
      <c r="X257" s="201"/>
      <c r="Y257" s="201"/>
      <c r="Z257" s="201"/>
      <c r="AA257" s="201"/>
      <c r="AB257" s="201"/>
      <c r="AC257" s="201"/>
      <c r="AD257" s="201"/>
      <c r="AE257" s="201"/>
      <c r="AF257" s="201"/>
      <c r="AG257" s="201"/>
      <c r="AH257" s="201"/>
      <c r="AI257" s="201"/>
      <c r="AJ257" s="201"/>
      <c r="AK257" s="201"/>
      <c r="AL257" s="201"/>
      <c r="AM257" s="201"/>
      <c r="AN257" s="201"/>
      <c r="AO257" s="201"/>
      <c r="AP257" s="201"/>
      <c r="AQ257" s="201"/>
      <c r="AR257" s="201"/>
      <c r="AS257" s="201"/>
      <c r="AT257" s="201"/>
      <c r="AU257" s="201"/>
      <c r="AV257" s="201"/>
      <c r="AW257" s="201"/>
      <c r="AX257" s="201"/>
      <c r="AY257" s="201"/>
      <c r="AZ257" s="201"/>
      <c r="BA257" s="201"/>
      <c r="BB257" s="201"/>
      <c r="BC257" s="201"/>
      <c r="BD257" s="201"/>
      <c r="BE257" s="201"/>
      <c r="BF257" s="201"/>
      <c r="BG257" s="201"/>
      <c r="BH257" s="201"/>
      <c r="BI257" s="201"/>
      <c r="BJ257" s="201"/>
      <c r="BK257" s="201"/>
      <c r="BL257" s="201"/>
      <c r="BM257" s="201"/>
      <c r="BN257" s="201"/>
      <c r="BO257" s="202"/>
      <c r="BP257" s="190"/>
      <c r="BQ257" s="190"/>
      <c r="BR257" s="190"/>
      <c r="BS257" s="190"/>
      <c r="BT257" s="190"/>
      <c r="BU257" s="190"/>
      <c r="BV257" s="190"/>
      <c r="BW257" s="190"/>
      <c r="BX257" s="190"/>
      <c r="BY257" s="190"/>
      <c r="BZ257" s="190"/>
      <c r="CA257" s="241"/>
      <c r="CB257" s="241"/>
      <c r="CC257" s="241"/>
      <c r="CD257" s="241"/>
      <c r="CE257" s="241"/>
      <c r="CF257" s="241"/>
      <c r="CG257" s="134"/>
      <c r="CH257" s="134"/>
      <c r="CI257" s="134"/>
    </row>
    <row r="258" spans="1:87" s="172" customFormat="1">
      <c r="A258" s="25" t="s">
        <v>456</v>
      </c>
      <c r="B258" s="195">
        <f t="shared" ref="B258:AH258" si="893">SUM(B259,B261,B263,B265)</f>
        <v>-42</v>
      </c>
      <c r="C258" s="195">
        <f t="shared" si="893"/>
        <v>-47</v>
      </c>
      <c r="D258" s="195">
        <f t="shared" si="893"/>
        <v>-43</v>
      </c>
      <c r="E258" s="195">
        <f t="shared" si="893"/>
        <v>-46</v>
      </c>
      <c r="F258" s="195">
        <f t="shared" si="893"/>
        <v>-38</v>
      </c>
      <c r="G258" s="195">
        <f t="shared" si="893"/>
        <v>-38</v>
      </c>
      <c r="H258" s="195">
        <f t="shared" si="893"/>
        <v>-43</v>
      </c>
      <c r="I258" s="195">
        <f t="shared" si="893"/>
        <v>-48</v>
      </c>
      <c r="J258" s="195">
        <f t="shared" si="893"/>
        <v>-41</v>
      </c>
      <c r="K258" s="195">
        <f t="shared" si="893"/>
        <v>-39</v>
      </c>
      <c r="L258" s="195">
        <f t="shared" si="893"/>
        <v>-44</v>
      </c>
      <c r="M258" s="195">
        <f t="shared" si="893"/>
        <v>-39</v>
      </c>
      <c r="N258" s="195">
        <f t="shared" si="893"/>
        <v>-42</v>
      </c>
      <c r="O258" s="195">
        <f t="shared" si="893"/>
        <v>-33</v>
      </c>
      <c r="P258" s="195">
        <f t="shared" si="893"/>
        <v>-38</v>
      </c>
      <c r="Q258" s="195">
        <f t="shared" si="893"/>
        <v>-40</v>
      </c>
      <c r="R258" s="195">
        <f t="shared" si="893"/>
        <v>-39</v>
      </c>
      <c r="S258" s="195">
        <f t="shared" si="893"/>
        <v>-29</v>
      </c>
      <c r="T258" s="195">
        <f t="shared" si="893"/>
        <v>-40</v>
      </c>
      <c r="U258" s="195">
        <f t="shared" si="893"/>
        <v>-39</v>
      </c>
      <c r="V258" s="195">
        <f t="shared" si="893"/>
        <v>-36</v>
      </c>
      <c r="W258" s="195">
        <f t="shared" si="893"/>
        <v>-45</v>
      </c>
      <c r="X258" s="195">
        <f t="shared" si="893"/>
        <v>-44</v>
      </c>
      <c r="Y258" s="195">
        <f t="shared" si="893"/>
        <v>-42</v>
      </c>
      <c r="Z258" s="195">
        <f t="shared" si="893"/>
        <v>-47</v>
      </c>
      <c r="AA258" s="195">
        <f t="shared" si="893"/>
        <v>-48</v>
      </c>
      <c r="AB258" s="195">
        <f t="shared" si="893"/>
        <v>-48</v>
      </c>
      <c r="AC258" s="195">
        <f t="shared" si="893"/>
        <v>-48</v>
      </c>
      <c r="AD258" s="195">
        <f t="shared" si="893"/>
        <v>-52</v>
      </c>
      <c r="AE258" s="195">
        <f t="shared" si="893"/>
        <v>-48</v>
      </c>
      <c r="AF258" s="195">
        <f t="shared" si="893"/>
        <v>-62</v>
      </c>
      <c r="AG258" s="195">
        <f t="shared" si="893"/>
        <v>-63</v>
      </c>
      <c r="AH258" s="195">
        <f t="shared" si="893"/>
        <v>-69</v>
      </c>
      <c r="AI258" s="195">
        <f>SUM(AI259,AI261,AI263,AI265)</f>
        <v>-70</v>
      </c>
      <c r="AJ258" s="195">
        <f t="shared" ref="AJ258:CF258" si="894">SUM(AJ259,AJ261,AJ263,AJ265)</f>
        <v>-66</v>
      </c>
      <c r="AK258" s="195">
        <f t="shared" si="894"/>
        <v>-75</v>
      </c>
      <c r="AL258" s="195">
        <f t="shared" si="894"/>
        <v>-73</v>
      </c>
      <c r="AM258" s="195">
        <f t="shared" si="894"/>
        <v>-73</v>
      </c>
      <c r="AN258" s="195">
        <f t="shared" si="894"/>
        <v>-92</v>
      </c>
      <c r="AO258" s="195">
        <f t="shared" si="894"/>
        <v>-91</v>
      </c>
      <c r="AP258" s="195">
        <f t="shared" si="894"/>
        <v>-91</v>
      </c>
      <c r="AQ258" s="195">
        <f t="shared" si="894"/>
        <v>-102</v>
      </c>
      <c r="AR258" s="195">
        <f t="shared" si="894"/>
        <v>-113</v>
      </c>
      <c r="AS258" s="195">
        <f t="shared" si="894"/>
        <v>-111</v>
      </c>
      <c r="AT258" s="195">
        <f t="shared" si="894"/>
        <v>-109</v>
      </c>
      <c r="AU258" s="195">
        <f t="shared" si="894"/>
        <v>-125</v>
      </c>
      <c r="AV258" s="195">
        <f t="shared" si="894"/>
        <v>-149</v>
      </c>
      <c r="AW258" s="195">
        <f t="shared" si="894"/>
        <v>-135.24803520833333</v>
      </c>
      <c r="AX258" s="195">
        <f t="shared" si="894"/>
        <v>-168.36559330719879</v>
      </c>
      <c r="AY258" s="195">
        <f t="shared" si="894"/>
        <v>-133.91215246490384</v>
      </c>
      <c r="AZ258" s="195">
        <f t="shared" si="894"/>
        <v>-165.39547741666811</v>
      </c>
      <c r="BA258" s="195">
        <f t="shared" si="894"/>
        <v>-154.93542134760662</v>
      </c>
      <c r="BB258" s="195">
        <f t="shared" si="894"/>
        <v>-164.37411252521255</v>
      </c>
      <c r="BC258" s="195">
        <f t="shared" si="894"/>
        <v>-131.10297298367914</v>
      </c>
      <c r="BD258" s="195">
        <f t="shared" si="894"/>
        <v>-171.33961861282347</v>
      </c>
      <c r="BE258" s="195">
        <f t="shared" si="894"/>
        <v>-155.67314313678082</v>
      </c>
      <c r="BF258" s="195">
        <f t="shared" si="894"/>
        <v>-168.04179393439404</v>
      </c>
      <c r="BG258" s="195">
        <f t="shared" si="894"/>
        <v>-134.49632147900672</v>
      </c>
      <c r="BH258" s="195">
        <f t="shared" si="894"/>
        <v>-206.544476542713</v>
      </c>
      <c r="BI258" s="195">
        <f t="shared" si="894"/>
        <v>-166.62043236193279</v>
      </c>
      <c r="BJ258" s="195">
        <f t="shared" si="894"/>
        <v>-177.35033353765823</v>
      </c>
      <c r="BK258" s="195">
        <f t="shared" si="894"/>
        <v>-140.44796622394566</v>
      </c>
      <c r="BL258" s="195">
        <f t="shared" si="894"/>
        <v>-185.44406973195814</v>
      </c>
      <c r="BM258" s="195">
        <f t="shared" si="894"/>
        <v>-170.10016160110877</v>
      </c>
      <c r="BN258" s="195">
        <f t="shared" si="894"/>
        <v>-183.56194607242423</v>
      </c>
      <c r="BO258" s="196"/>
      <c r="BP258" s="30">
        <f t="shared" si="894"/>
        <v>-161</v>
      </c>
      <c r="BQ258" s="30">
        <f t="shared" si="894"/>
        <v>-174</v>
      </c>
      <c r="BR258" s="30">
        <f t="shared" si="894"/>
        <v>-170</v>
      </c>
      <c r="BS258" s="30">
        <f t="shared" si="894"/>
        <v>-164</v>
      </c>
      <c r="BT258" s="30">
        <f t="shared" si="894"/>
        <v>-150</v>
      </c>
      <c r="BU258" s="30">
        <f t="shared" si="894"/>
        <v>-144</v>
      </c>
      <c r="BV258" s="30">
        <f t="shared" si="894"/>
        <v>-178</v>
      </c>
      <c r="BW258" s="30">
        <f t="shared" si="894"/>
        <v>-196</v>
      </c>
      <c r="BX258" s="30">
        <f t="shared" si="894"/>
        <v>-242</v>
      </c>
      <c r="BY258" s="30">
        <f t="shared" si="894"/>
        <v>-284</v>
      </c>
      <c r="BZ258" s="30">
        <f t="shared" si="894"/>
        <v>-347</v>
      </c>
      <c r="CA258" s="30">
        <f t="shared" si="894"/>
        <v>-435</v>
      </c>
      <c r="CB258" s="30">
        <f t="shared" si="894"/>
        <v>-577.61362851553213</v>
      </c>
      <c r="CC258" s="30">
        <f t="shared" si="894"/>
        <v>-618.61716375439119</v>
      </c>
      <c r="CD258" s="30">
        <f t="shared" si="894"/>
        <v>-626.15752866767752</v>
      </c>
      <c r="CE258" s="30">
        <f t="shared" si="894"/>
        <v>-685.01156392131077</v>
      </c>
      <c r="CF258" s="30">
        <f t="shared" si="894"/>
        <v>-679.55414362943679</v>
      </c>
      <c r="CG258" s="43"/>
      <c r="CH258" s="43"/>
      <c r="CI258" s="43"/>
    </row>
    <row r="259" spans="1:87" s="50" customFormat="1" ht="12.75" customHeight="1">
      <c r="A259" s="42" t="s">
        <v>121</v>
      </c>
      <c r="B259" s="26">
        <v>-1</v>
      </c>
      <c r="C259" s="26">
        <v>-1</v>
      </c>
      <c r="D259" s="26">
        <v>0</v>
      </c>
      <c r="E259" s="26">
        <v>-1</v>
      </c>
      <c r="F259" s="26">
        <v>0</v>
      </c>
      <c r="G259" s="26">
        <v>-1</v>
      </c>
      <c r="H259" s="26">
        <v>0</v>
      </c>
      <c r="I259" s="26">
        <v>0</v>
      </c>
      <c r="J259" s="26">
        <v>-1</v>
      </c>
      <c r="K259" s="26">
        <v>-1</v>
      </c>
      <c r="L259" s="26">
        <v>0</v>
      </c>
      <c r="M259" s="26">
        <v>0</v>
      </c>
      <c r="N259" s="26">
        <v>-1</v>
      </c>
      <c r="O259" s="26">
        <v>0</v>
      </c>
      <c r="P259" s="26">
        <v>-1</v>
      </c>
      <c r="Q259" s="26">
        <v>0</v>
      </c>
      <c r="R259" s="26">
        <v>-1</v>
      </c>
      <c r="S259" s="26">
        <v>0</v>
      </c>
      <c r="T259" s="26">
        <v>-1</v>
      </c>
      <c r="U259" s="26">
        <v>-1</v>
      </c>
      <c r="V259" s="26">
        <v>0</v>
      </c>
      <c r="W259" s="26">
        <v>0</v>
      </c>
      <c r="X259" s="26">
        <v>-1</v>
      </c>
      <c r="Y259" s="26">
        <v>0</v>
      </c>
      <c r="Z259" s="26">
        <v>-1</v>
      </c>
      <c r="AA259" s="26">
        <v>-1</v>
      </c>
      <c r="AB259" s="26">
        <v>-1</v>
      </c>
      <c r="AC259" s="26">
        <v>0</v>
      </c>
      <c r="AD259" s="26">
        <v>-1</v>
      </c>
      <c r="AE259" s="26">
        <v>-1</v>
      </c>
      <c r="AF259" s="26">
        <v>-1</v>
      </c>
      <c r="AG259" s="26">
        <v>0</v>
      </c>
      <c r="AH259" s="26">
        <v>-1</v>
      </c>
      <c r="AI259" s="26">
        <v>-1</v>
      </c>
      <c r="AJ259" s="26">
        <v>-1</v>
      </c>
      <c r="AK259" s="26">
        <v>-1</v>
      </c>
      <c r="AL259" s="26">
        <v>-1</v>
      </c>
      <c r="AM259" s="26">
        <v>-1</v>
      </c>
      <c r="AN259" s="26">
        <v>-1</v>
      </c>
      <c r="AO259" s="26">
        <v>-1</v>
      </c>
      <c r="AP259" s="26">
        <v>-1</v>
      </c>
      <c r="AQ259" s="26">
        <v>-1</v>
      </c>
      <c r="AR259" s="26">
        <v>-2</v>
      </c>
      <c r="AS259" s="26">
        <v>-1</v>
      </c>
      <c r="AT259" s="26">
        <v>-1</v>
      </c>
      <c r="AU259" s="26">
        <v>-1</v>
      </c>
      <c r="AV259" s="26">
        <v>-2</v>
      </c>
      <c r="AW259" s="187">
        <f t="shared" ref="AW259:BN259" si="895">AW$211*AW260</f>
        <v>-0.96731364583333368</v>
      </c>
      <c r="AX259" s="187">
        <f t="shared" si="895"/>
        <v>-1.20466610738255</v>
      </c>
      <c r="AY259" s="187">
        <f t="shared" si="895"/>
        <v>-1.140019459763485</v>
      </c>
      <c r="AZ259" s="187">
        <f t="shared" si="895"/>
        <v>-2.3602620407133932</v>
      </c>
      <c r="BA259" s="187">
        <f t="shared" si="895"/>
        <v>-1.3756693714607642</v>
      </c>
      <c r="BB259" s="187">
        <f t="shared" si="895"/>
        <v>-1.1559124661452143</v>
      </c>
      <c r="BC259" s="187">
        <f t="shared" si="895"/>
        <v>-1.1375104445780648</v>
      </c>
      <c r="BD259" s="187">
        <f t="shared" si="895"/>
        <v>-2.4420914727910339</v>
      </c>
      <c r="BE259" s="187">
        <f t="shared" si="895"/>
        <v>-1.4096872378248362</v>
      </c>
      <c r="BF259" s="187">
        <f t="shared" si="895"/>
        <v>-1.2069316194878315</v>
      </c>
      <c r="BG259" s="187">
        <f t="shared" si="895"/>
        <v>-1.1932651348178194</v>
      </c>
      <c r="BH259" s="187">
        <f t="shared" si="895"/>
        <v>-2.9767785249449883</v>
      </c>
      <c r="BI259" s="187">
        <f t="shared" si="895"/>
        <v>-1.5164629695607912</v>
      </c>
      <c r="BJ259" s="187">
        <f t="shared" si="895"/>
        <v>-1.2894959378581259</v>
      </c>
      <c r="BK259" s="187">
        <f t="shared" si="895"/>
        <v>-1.2705892237439629</v>
      </c>
      <c r="BL259" s="187">
        <f t="shared" si="895"/>
        <v>-2.7084453246079927</v>
      </c>
      <c r="BM259" s="187">
        <f t="shared" si="895"/>
        <v>-1.5596410468569692</v>
      </c>
      <c r="BN259" s="187">
        <f t="shared" si="895"/>
        <v>-1.3547146399703527</v>
      </c>
      <c r="BO259" s="49"/>
      <c r="BP259" s="44">
        <v>-2</v>
      </c>
      <c r="BQ259" s="161">
        <f>SUM(C259:F259)</f>
        <v>-2</v>
      </c>
      <c r="BR259" s="161">
        <f>SUM(G259:J259)</f>
        <v>-2</v>
      </c>
      <c r="BS259" s="161">
        <f>SUM(K259:N259)</f>
        <v>-2</v>
      </c>
      <c r="BT259" s="161">
        <f>SUM(O259:R259)</f>
        <v>-2</v>
      </c>
      <c r="BU259" s="161">
        <f>SUM(S259:V259)</f>
        <v>-2</v>
      </c>
      <c r="BV259" s="161">
        <f>SUM(W259:Z259)</f>
        <v>-2</v>
      </c>
      <c r="BW259" s="161">
        <f>SUM(AA259:AD259)</f>
        <v>-3</v>
      </c>
      <c r="BX259" s="161">
        <f>SUM(AE259:AH259)</f>
        <v>-3</v>
      </c>
      <c r="BY259" s="161">
        <f>SUM(AI259:AL259)</f>
        <v>-4</v>
      </c>
      <c r="BZ259" s="49">
        <f>SUM(AM259:AP259)</f>
        <v>-4</v>
      </c>
      <c r="CA259" s="49">
        <f>SUM(AQ259:AT259)</f>
        <v>-5</v>
      </c>
      <c r="CB259" s="49">
        <f>SUM(AU259:AX259)</f>
        <v>-5.1719797532158838</v>
      </c>
      <c r="CC259" s="49">
        <f>SUM(AY259:BB259)</f>
        <v>-6.0318633380828555</v>
      </c>
      <c r="CD259" s="49">
        <f>SUM(BC259:BF259)</f>
        <v>-6.196220774681767</v>
      </c>
      <c r="CE259" s="49">
        <f>SUM(BG259:BJ259)</f>
        <v>-6.976002567181725</v>
      </c>
      <c r="CF259" s="49">
        <f>SUM(BK259:BN259)</f>
        <v>-6.8933902351792771</v>
      </c>
      <c r="CG259" s="3"/>
      <c r="CH259" s="3"/>
      <c r="CI259" s="3"/>
    </row>
    <row r="260" spans="1:87" ht="12.75" customHeight="1">
      <c r="A260" s="69" t="s">
        <v>122</v>
      </c>
      <c r="B260" s="34">
        <f t="shared" ref="B260:AV260" si="896">B259/B$211</f>
        <v>3.3783783783783786E-3</v>
      </c>
      <c r="C260" s="34">
        <f t="shared" si="896"/>
        <v>4.5871559633027525E-3</v>
      </c>
      <c r="D260" s="34">
        <f t="shared" si="896"/>
        <v>0</v>
      </c>
      <c r="E260" s="34">
        <f t="shared" si="896"/>
        <v>1.718213058419244E-3</v>
      </c>
      <c r="F260" s="34">
        <f t="shared" si="896"/>
        <v>0</v>
      </c>
      <c r="G260" s="34">
        <f t="shared" si="896"/>
        <v>4.2372881355932203E-3</v>
      </c>
      <c r="H260" s="34">
        <f t="shared" si="896"/>
        <v>0</v>
      </c>
      <c r="I260" s="34">
        <f t="shared" si="896"/>
        <v>0</v>
      </c>
      <c r="J260" s="34">
        <f t="shared" si="896"/>
        <v>2.8901734104046241E-3</v>
      </c>
      <c r="K260" s="34">
        <f t="shared" si="896"/>
        <v>5.2910052910052907E-3</v>
      </c>
      <c r="L260" s="34">
        <f t="shared" si="896"/>
        <v>0</v>
      </c>
      <c r="M260" s="34">
        <f t="shared" si="896"/>
        <v>0</v>
      </c>
      <c r="N260" s="34">
        <f t="shared" si="896"/>
        <v>3.7453183520599251E-3</v>
      </c>
      <c r="O260" s="34">
        <f t="shared" si="896"/>
        <v>0</v>
      </c>
      <c r="P260" s="34">
        <f t="shared" si="896"/>
        <v>2.5125628140703518E-3</v>
      </c>
      <c r="Q260" s="34">
        <f t="shared" si="896"/>
        <v>0</v>
      </c>
      <c r="R260" s="34">
        <f t="shared" si="896"/>
        <v>4.830917874396135E-3</v>
      </c>
      <c r="S260" s="34">
        <f t="shared" si="896"/>
        <v>0</v>
      </c>
      <c r="T260" s="34">
        <f t="shared" si="896"/>
        <v>2.4154589371980675E-3</v>
      </c>
      <c r="U260" s="34">
        <f t="shared" si="896"/>
        <v>2.5773195876288659E-3</v>
      </c>
      <c r="V260" s="34">
        <f t="shared" si="896"/>
        <v>0</v>
      </c>
      <c r="W260" s="34">
        <f t="shared" si="896"/>
        <v>0</v>
      </c>
      <c r="X260" s="34">
        <f t="shared" si="896"/>
        <v>2.5188916876574307E-3</v>
      </c>
      <c r="Y260" s="34">
        <f t="shared" si="896"/>
        <v>0</v>
      </c>
      <c r="Z260" s="34">
        <f t="shared" si="896"/>
        <v>4.6948356807511738E-3</v>
      </c>
      <c r="AA260" s="34">
        <f t="shared" si="896"/>
        <v>6.0606060606060606E-3</v>
      </c>
      <c r="AB260" s="34">
        <f t="shared" si="896"/>
        <v>2.5773195876288659E-3</v>
      </c>
      <c r="AC260" s="34">
        <f t="shared" si="896"/>
        <v>0</v>
      </c>
      <c r="AD260" s="34">
        <f t="shared" si="896"/>
        <v>4.9751243781094526E-3</v>
      </c>
      <c r="AE260" s="34">
        <f t="shared" si="896"/>
        <v>6.5359477124183009E-3</v>
      </c>
      <c r="AF260" s="34">
        <f t="shared" si="896"/>
        <v>2.5773195876288659E-3</v>
      </c>
      <c r="AG260" s="34">
        <f t="shared" si="896"/>
        <v>0</v>
      </c>
      <c r="AH260" s="34">
        <f t="shared" si="896"/>
        <v>4.332009585857749E-3</v>
      </c>
      <c r="AI260" s="34">
        <f t="shared" si="896"/>
        <v>6.0975609756097563E-3</v>
      </c>
      <c r="AJ260" s="34">
        <f t="shared" si="896"/>
        <v>2.6881720430107529E-3</v>
      </c>
      <c r="AK260" s="34">
        <f t="shared" si="896"/>
        <v>2.7548209366391185E-3</v>
      </c>
      <c r="AL260" s="34">
        <f t="shared" si="896"/>
        <v>4.4052863436123352E-3</v>
      </c>
      <c r="AM260" s="34">
        <f t="shared" si="896"/>
        <v>6.8965517241379309E-3</v>
      </c>
      <c r="AN260" s="34">
        <f t="shared" si="896"/>
        <v>2.7322404371584699E-3</v>
      </c>
      <c r="AO260" s="34">
        <f t="shared" si="896"/>
        <v>2.1786492374727671E-3</v>
      </c>
      <c r="AP260" s="34">
        <f t="shared" si="896"/>
        <v>4.5045045045045045E-3</v>
      </c>
      <c r="AQ260" s="34">
        <f t="shared" si="896"/>
        <v>3.4843205574912892E-3</v>
      </c>
      <c r="AR260" s="34">
        <f t="shared" si="896"/>
        <v>7.0422535211267607E-3</v>
      </c>
      <c r="AS260" s="34">
        <f t="shared" si="896"/>
        <v>1.6666666666666668E-3</v>
      </c>
      <c r="AT260" s="34">
        <f t="shared" si="896"/>
        <v>3.1847133757961785E-3</v>
      </c>
      <c r="AU260" s="34">
        <f t="shared" si="896"/>
        <v>3.4246575342465752E-3</v>
      </c>
      <c r="AV260" s="34">
        <f t="shared" si="896"/>
        <v>4.2553191489361703E-3</v>
      </c>
      <c r="AW260" s="1">
        <f t="shared" ref="AW260:BB260" si="897">AS260</f>
        <v>1.6666666666666668E-3</v>
      </c>
      <c r="AX260" s="1">
        <f t="shared" si="897"/>
        <v>3.1847133757961785E-3</v>
      </c>
      <c r="AY260" s="1">
        <f t="shared" si="897"/>
        <v>3.4246575342465752E-3</v>
      </c>
      <c r="AZ260" s="1">
        <f>AV260+0.0005</f>
        <v>4.7553191489361699E-3</v>
      </c>
      <c r="BA260" s="1">
        <f>AW260+0.0005</f>
        <v>2.1666666666666666E-3</v>
      </c>
      <c r="BB260" s="1">
        <f t="shared" si="897"/>
        <v>3.1847133757961785E-3</v>
      </c>
      <c r="BC260" s="1">
        <f t="shared" ref="BC260:BJ260" si="898">AY260</f>
        <v>3.4246575342465752E-3</v>
      </c>
      <c r="BD260" s="1">
        <f t="shared" si="898"/>
        <v>4.7553191489361699E-3</v>
      </c>
      <c r="BE260" s="1">
        <f t="shared" si="898"/>
        <v>2.1666666666666666E-3</v>
      </c>
      <c r="BF260" s="1">
        <f t="shared" si="898"/>
        <v>3.1847133757961785E-3</v>
      </c>
      <c r="BG260" s="1">
        <f t="shared" si="898"/>
        <v>3.4246575342465752E-3</v>
      </c>
      <c r="BH260" s="1">
        <f t="shared" si="898"/>
        <v>4.7553191489361699E-3</v>
      </c>
      <c r="BI260" s="1">
        <f t="shared" si="898"/>
        <v>2.1666666666666666E-3</v>
      </c>
      <c r="BJ260" s="1">
        <f t="shared" si="898"/>
        <v>3.1847133757961785E-3</v>
      </c>
      <c r="BK260" s="1">
        <f>BG260</f>
        <v>3.4246575342465752E-3</v>
      </c>
      <c r="BL260" s="1">
        <f>BH260</f>
        <v>4.7553191489361699E-3</v>
      </c>
      <c r="BM260" s="1">
        <f>BI260</f>
        <v>2.1666666666666666E-3</v>
      </c>
      <c r="BN260" s="1">
        <f>BJ260</f>
        <v>3.1847133757961785E-3</v>
      </c>
      <c r="BO260" s="40"/>
      <c r="BP260" s="35">
        <f t="shared" ref="BP260:CF260" si="899">BP259/BP$211</f>
        <v>1.0770059235325794E-3</v>
      </c>
      <c r="BQ260" s="35">
        <f t="shared" si="899"/>
        <v>1.3458950201884253E-3</v>
      </c>
      <c r="BR260" s="35">
        <f t="shared" si="899"/>
        <v>1.2953367875647669E-3</v>
      </c>
      <c r="BS260" s="35">
        <f t="shared" si="899"/>
        <v>1.5467904098994587E-3</v>
      </c>
      <c r="BT260" s="35">
        <f t="shared" si="899"/>
        <v>1.5564202334630351E-3</v>
      </c>
      <c r="BU260" s="35">
        <f t="shared" si="899"/>
        <v>1.5961691939345571E-3</v>
      </c>
      <c r="BV260" s="35">
        <f t="shared" si="899"/>
        <v>1.5325670498084292E-3</v>
      </c>
      <c r="BW260" s="35">
        <f t="shared" si="899"/>
        <v>2.3961661341853034E-3</v>
      </c>
      <c r="BX260" s="35">
        <f t="shared" si="899"/>
        <v>2.3569345672385688E-3</v>
      </c>
      <c r="BY260" s="35">
        <f t="shared" si="899"/>
        <v>3.552397868561279E-3</v>
      </c>
      <c r="BZ260" s="35">
        <f t="shared" si="899"/>
        <v>3.3557046979865771E-3</v>
      </c>
      <c r="CA260" s="35">
        <f t="shared" si="899"/>
        <v>3.3670033670033669E-3</v>
      </c>
      <c r="CB260" s="35">
        <f t="shared" si="899"/>
        <v>3.0058232052315283E-3</v>
      </c>
      <c r="CC260" s="35">
        <f t="shared" si="899"/>
        <v>3.3013173844455611E-3</v>
      </c>
      <c r="CD260" s="35">
        <f t="shared" si="899"/>
        <v>3.3041155583611436E-3</v>
      </c>
      <c r="CE260" s="35">
        <f t="shared" si="899"/>
        <v>3.3550888518909978E-3</v>
      </c>
      <c r="CF260" s="35">
        <f t="shared" si="899"/>
        <v>3.3049333260046646E-3</v>
      </c>
      <c r="CG260" s="43"/>
      <c r="CH260" s="43"/>
      <c r="CI260" s="43"/>
    </row>
    <row r="261" spans="1:87" s="50" customFormat="1" ht="12.75" customHeight="1">
      <c r="A261" s="42" t="s">
        <v>123</v>
      </c>
      <c r="B261" s="26">
        <v>-4</v>
      </c>
      <c r="C261" s="26">
        <v>-4</v>
      </c>
      <c r="D261" s="26">
        <v>-6</v>
      </c>
      <c r="E261" s="26">
        <v>-6</v>
      </c>
      <c r="F261" s="26">
        <v>-5</v>
      </c>
      <c r="G261" s="26">
        <v>-5</v>
      </c>
      <c r="H261" s="26">
        <v>-6</v>
      </c>
      <c r="I261" s="26">
        <v>-7</v>
      </c>
      <c r="J261" s="26">
        <v>-8</v>
      </c>
      <c r="K261" s="26">
        <v>-7</v>
      </c>
      <c r="L261" s="26">
        <v>-8</v>
      </c>
      <c r="M261" s="26">
        <v>-7</v>
      </c>
      <c r="N261" s="26">
        <v>-7</v>
      </c>
      <c r="O261" s="26">
        <v>-7</v>
      </c>
      <c r="P261" s="26">
        <v>-6</v>
      </c>
      <c r="Q261" s="26">
        <v>-7</v>
      </c>
      <c r="R261" s="26">
        <v>-6</v>
      </c>
      <c r="S261" s="26">
        <v>-4</v>
      </c>
      <c r="T261" s="26">
        <v>-23</v>
      </c>
      <c r="U261" s="26">
        <v>-22</v>
      </c>
      <c r="V261" s="26">
        <v>-21</v>
      </c>
      <c r="W261" s="26">
        <v>-5</v>
      </c>
      <c r="X261" s="26">
        <v>-7</v>
      </c>
      <c r="Y261" s="26">
        <v>-5</v>
      </c>
      <c r="Z261" s="26">
        <v>-7</v>
      </c>
      <c r="AA261" s="26">
        <v>-7</v>
      </c>
      <c r="AB261" s="47">
        <v>-8</v>
      </c>
      <c r="AC261" s="47">
        <v>-8</v>
      </c>
      <c r="AD261" s="47">
        <v>-8</v>
      </c>
      <c r="AE261" s="47">
        <v>-7</v>
      </c>
      <c r="AF261" s="47">
        <v>-9</v>
      </c>
      <c r="AG261" s="47">
        <v>-8</v>
      </c>
      <c r="AH261" s="47">
        <v>-8</v>
      </c>
      <c r="AI261" s="47">
        <v>-7</v>
      </c>
      <c r="AJ261" s="47">
        <v>-9</v>
      </c>
      <c r="AK261" s="47">
        <v>-8</v>
      </c>
      <c r="AL261" s="47">
        <v>-9</v>
      </c>
      <c r="AM261" s="47">
        <v>-7</v>
      </c>
      <c r="AN261" s="47">
        <v>-10</v>
      </c>
      <c r="AO261" s="47">
        <v>-10</v>
      </c>
      <c r="AP261" s="47">
        <v>-10</v>
      </c>
      <c r="AQ261" s="47">
        <v>-11</v>
      </c>
      <c r="AR261" s="47">
        <v>-12</v>
      </c>
      <c r="AS261" s="47">
        <v>-11</v>
      </c>
      <c r="AT261" s="47">
        <v>-12</v>
      </c>
      <c r="AU261" s="47">
        <v>-12</v>
      </c>
      <c r="AV261" s="47">
        <v>-15</v>
      </c>
      <c r="AW261" s="187">
        <f t="shared" ref="AW261:BN261" si="900">AW$212*AW262</f>
        <v>-20.313586562500003</v>
      </c>
      <c r="AX261" s="187">
        <f t="shared" si="900"/>
        <v>-21.314615734808136</v>
      </c>
      <c r="AY261" s="187">
        <f t="shared" si="900"/>
        <v>-13.10687205573605</v>
      </c>
      <c r="AZ261" s="187">
        <f t="shared" si="900"/>
        <v>-16.206577291583827</v>
      </c>
      <c r="BA261" s="187">
        <f t="shared" si="900"/>
        <v>-22.121797758958341</v>
      </c>
      <c r="BB261" s="187">
        <f t="shared" si="900"/>
        <v>-20.355408063722859</v>
      </c>
      <c r="BC261" s="187">
        <f t="shared" si="900"/>
        <v>-12.426322188169783</v>
      </c>
      <c r="BD261" s="187">
        <f t="shared" si="900"/>
        <v>-15.777056403420145</v>
      </c>
      <c r="BE261" s="187">
        <f t="shared" si="900"/>
        <v>-21.316134734232246</v>
      </c>
      <c r="BF261" s="187">
        <f t="shared" si="900"/>
        <v>-20.098393518662434</v>
      </c>
      <c r="BG261" s="187">
        <f t="shared" si="900"/>
        <v>-12.553252100604555</v>
      </c>
      <c r="BH261" s="187">
        <f t="shared" si="900"/>
        <v>-18.940917392003151</v>
      </c>
      <c r="BI261" s="187">
        <f t="shared" si="900"/>
        <v>-23.035896555960509</v>
      </c>
      <c r="BJ261" s="187">
        <f t="shared" si="900"/>
        <v>-20.604177790253136</v>
      </c>
      <c r="BK261" s="187">
        <f t="shared" si="900"/>
        <v>-12.818826511837123</v>
      </c>
      <c r="BL261" s="187">
        <f t="shared" si="900"/>
        <v>-16.933408105466018</v>
      </c>
      <c r="BM261" s="187">
        <f t="shared" si="900"/>
        <v>-23.746258909705581</v>
      </c>
      <c r="BN261" s="187">
        <f t="shared" si="900"/>
        <v>-20.674648451102303</v>
      </c>
      <c r="BO261" s="49"/>
      <c r="BP261" s="44">
        <v>-16</v>
      </c>
      <c r="BQ261" s="161">
        <f>SUM(C261:F261)</f>
        <v>-21</v>
      </c>
      <c r="BR261" s="161">
        <f>SUM(G261:J261)</f>
        <v>-26</v>
      </c>
      <c r="BS261" s="161">
        <f>SUM(K261:N261)</f>
        <v>-29</v>
      </c>
      <c r="BT261" s="161">
        <f>SUM(O261:R261)</f>
        <v>-26</v>
      </c>
      <c r="BU261" s="161">
        <f>SUM(S261:V261)</f>
        <v>-70</v>
      </c>
      <c r="BV261" s="161">
        <f>SUM(W261:Z261)</f>
        <v>-24</v>
      </c>
      <c r="BW261" s="161">
        <f>SUM(AA261:AD261)</f>
        <v>-31</v>
      </c>
      <c r="BX261" s="161">
        <f>SUM(AE261:AH261)</f>
        <v>-32</v>
      </c>
      <c r="BY261" s="161">
        <f>SUM(AI261:AL261)</f>
        <v>-33</v>
      </c>
      <c r="BZ261" s="49">
        <f>SUM(AM261:AP261)</f>
        <v>-37</v>
      </c>
      <c r="CA261" s="49">
        <f>SUM(AQ261:AT261)</f>
        <v>-46</v>
      </c>
      <c r="CB261" s="49">
        <f>SUM(AU261:AX261)</f>
        <v>-68.62820229730815</v>
      </c>
      <c r="CC261" s="49">
        <f>SUM(AY261:BB261)</f>
        <v>-71.790655170001074</v>
      </c>
      <c r="CD261" s="49">
        <f>SUM(BC261:BF261)</f>
        <v>-69.617906844484608</v>
      </c>
      <c r="CE261" s="49">
        <f>SUM(BG261:BJ261)</f>
        <v>-75.134243838821348</v>
      </c>
      <c r="CF261" s="49">
        <f>SUM(BK261:BN261)</f>
        <v>-74.173141978111019</v>
      </c>
      <c r="CG261" s="3"/>
      <c r="CH261" s="3"/>
      <c r="CI261" s="3"/>
    </row>
    <row r="262" spans="1:87" ht="12.75" customHeight="1">
      <c r="A262" s="69" t="s">
        <v>124</v>
      </c>
      <c r="B262" s="34">
        <f t="shared" ref="B262:W262" si="901">B261/B$212</f>
        <v>2.3952095808383235E-2</v>
      </c>
      <c r="C262" s="34">
        <f t="shared" si="901"/>
        <v>3.2520325203252036E-2</v>
      </c>
      <c r="D262" s="34">
        <f t="shared" si="901"/>
        <v>3.5928143712574849E-2</v>
      </c>
      <c r="E262" s="34">
        <f t="shared" si="901"/>
        <v>2.4291497975708502E-2</v>
      </c>
      <c r="F262" s="34">
        <f t="shared" si="901"/>
        <v>2.6455026455026454E-2</v>
      </c>
      <c r="G262" s="34">
        <f t="shared" si="901"/>
        <v>3.7037037037037035E-2</v>
      </c>
      <c r="H262" s="34">
        <f t="shared" si="901"/>
        <v>2.7777777777777776E-2</v>
      </c>
      <c r="I262" s="34">
        <f t="shared" si="901"/>
        <v>2.6717557251908396E-2</v>
      </c>
      <c r="J262" s="34">
        <f t="shared" si="901"/>
        <v>3.6199095022624438E-2</v>
      </c>
      <c r="K262" s="34">
        <f t="shared" si="901"/>
        <v>4.8611111111111112E-2</v>
      </c>
      <c r="L262" s="34">
        <f t="shared" si="901"/>
        <v>3.9215686274509803E-2</v>
      </c>
      <c r="M262" s="34">
        <f t="shared" si="901"/>
        <v>3.3816425120772944E-2</v>
      </c>
      <c r="N262" s="34">
        <f t="shared" si="901"/>
        <v>3.6649214659685861E-2</v>
      </c>
      <c r="O262" s="34">
        <f t="shared" si="901"/>
        <v>0.05</v>
      </c>
      <c r="P262" s="34">
        <f t="shared" si="901"/>
        <v>3.7974683544303799E-2</v>
      </c>
      <c r="Q262" s="34">
        <f t="shared" si="901"/>
        <v>3.3816425120772944E-2</v>
      </c>
      <c r="R262" s="34">
        <f t="shared" si="901"/>
        <v>4.0268456375838924E-2</v>
      </c>
      <c r="S262" s="34">
        <f t="shared" si="901"/>
        <v>3.1746031746031744E-2</v>
      </c>
      <c r="T262" s="34">
        <f t="shared" si="901"/>
        <v>0.14374999999999999</v>
      </c>
      <c r="U262" s="34">
        <f t="shared" si="901"/>
        <v>0.14965986394557823</v>
      </c>
      <c r="V262" s="34">
        <f t="shared" si="901"/>
        <v>0.14583333333333334</v>
      </c>
      <c r="W262" s="34">
        <f t="shared" si="901"/>
        <v>4.2372881355932202E-2</v>
      </c>
      <c r="X262" s="34">
        <v>0.03</v>
      </c>
      <c r="Y262" s="34">
        <f t="shared" ref="Y262:AV262" si="902">Y261/Y$212</f>
        <v>2.7027027027027029E-2</v>
      </c>
      <c r="Z262" s="34">
        <f t="shared" si="902"/>
        <v>4.7945205479452052E-2</v>
      </c>
      <c r="AA262" s="34">
        <f t="shared" si="902"/>
        <v>5.7851239669421489E-2</v>
      </c>
      <c r="AB262" s="34">
        <f t="shared" si="902"/>
        <v>5.9259259259259262E-2</v>
      </c>
      <c r="AC262" s="34">
        <f t="shared" si="902"/>
        <v>3.4482758620689655E-2</v>
      </c>
      <c r="AD262" s="34">
        <f t="shared" si="902"/>
        <v>5.1948051948051951E-2</v>
      </c>
      <c r="AE262" s="34">
        <f t="shared" si="902"/>
        <v>6.1403508771929821E-2</v>
      </c>
      <c r="AF262" s="34">
        <f t="shared" si="902"/>
        <v>5.9602649006622516E-2</v>
      </c>
      <c r="AG262" s="34">
        <f t="shared" si="902"/>
        <v>3.6036036036036036E-2</v>
      </c>
      <c r="AH262" s="34">
        <f t="shared" si="902"/>
        <v>6.5573770491803282E-2</v>
      </c>
      <c r="AI262" s="34">
        <f t="shared" si="902"/>
        <v>5.2631578947368418E-2</v>
      </c>
      <c r="AJ262" s="34">
        <f t="shared" si="902"/>
        <v>6.569343065693431E-2</v>
      </c>
      <c r="AK262" s="34">
        <f t="shared" si="902"/>
        <v>4.4692737430167599E-2</v>
      </c>
      <c r="AL262" s="34">
        <f t="shared" si="902"/>
        <v>4.0909090909090909E-2</v>
      </c>
      <c r="AM262" s="34">
        <f t="shared" si="902"/>
        <v>6.7961165048543687E-2</v>
      </c>
      <c r="AN262" s="34">
        <f t="shared" si="902"/>
        <v>7.0422535211267609E-2</v>
      </c>
      <c r="AO262" s="34">
        <f t="shared" si="902"/>
        <v>5.2083333333333336E-2</v>
      </c>
      <c r="AP262" s="34">
        <f t="shared" si="902"/>
        <v>6.3694267515923567E-2</v>
      </c>
      <c r="AQ262" s="34">
        <f t="shared" si="902"/>
        <v>0.1</v>
      </c>
      <c r="AR262" s="34">
        <f t="shared" si="902"/>
        <v>8.3333333333333329E-2</v>
      </c>
      <c r="AS262" s="34">
        <f t="shared" si="902"/>
        <v>5.3658536585365853E-2</v>
      </c>
      <c r="AT262" s="34">
        <f t="shared" si="902"/>
        <v>6.5217391304347824E-2</v>
      </c>
      <c r="AU262" s="34">
        <f t="shared" si="902"/>
        <v>6.741573033707865E-2</v>
      </c>
      <c r="AV262" s="34">
        <f t="shared" si="902"/>
        <v>6.8807339449541288E-2</v>
      </c>
      <c r="AW262" s="1">
        <v>7.0000000000000007E-2</v>
      </c>
      <c r="AX262" s="1">
        <f>AT262+0.035</f>
        <v>0.10021739130434783</v>
      </c>
      <c r="AY262" s="1">
        <f>AU262</f>
        <v>6.741573033707865E-2</v>
      </c>
      <c r="AZ262" s="1">
        <f>AV262+0.005</f>
        <v>7.3807339449541293E-2</v>
      </c>
      <c r="BA262" s="1">
        <f>AW262</f>
        <v>7.0000000000000007E-2</v>
      </c>
      <c r="BB262" s="1">
        <f>AX262</f>
        <v>0.10021739130434783</v>
      </c>
      <c r="BC262" s="1">
        <f t="shared" ref="BC262:BJ262" si="903">AY262</f>
        <v>6.741573033707865E-2</v>
      </c>
      <c r="BD262" s="1">
        <f t="shared" si="903"/>
        <v>7.3807339449541293E-2</v>
      </c>
      <c r="BE262" s="1">
        <f t="shared" si="903"/>
        <v>7.0000000000000007E-2</v>
      </c>
      <c r="BF262" s="1">
        <f t="shared" si="903"/>
        <v>0.10021739130434783</v>
      </c>
      <c r="BG262" s="1">
        <f t="shared" si="903"/>
        <v>6.741573033707865E-2</v>
      </c>
      <c r="BH262" s="1">
        <f t="shared" si="903"/>
        <v>7.3807339449541293E-2</v>
      </c>
      <c r="BI262" s="1">
        <f t="shared" si="903"/>
        <v>7.0000000000000007E-2</v>
      </c>
      <c r="BJ262" s="1">
        <f t="shared" si="903"/>
        <v>0.10021739130434783</v>
      </c>
      <c r="BK262" s="1">
        <f>BG262</f>
        <v>6.741573033707865E-2</v>
      </c>
      <c r="BL262" s="1">
        <f>BH262</f>
        <v>7.3807339449541293E-2</v>
      </c>
      <c r="BM262" s="1">
        <f>BI262</f>
        <v>7.0000000000000007E-2</v>
      </c>
      <c r="BN262" s="1">
        <f>BJ262</f>
        <v>0.10021739130434783</v>
      </c>
      <c r="BO262" s="40"/>
      <c r="BP262" s="35">
        <f t="shared" ref="BP262:CF262" si="904">BP261/BP$212</f>
        <v>2.2408963585434174E-2</v>
      </c>
      <c r="BQ262" s="35">
        <f t="shared" si="904"/>
        <v>2.8925619834710745E-2</v>
      </c>
      <c r="BR262" s="35">
        <f t="shared" si="904"/>
        <v>3.117505995203837E-2</v>
      </c>
      <c r="BS262" s="35">
        <f t="shared" si="904"/>
        <v>3.8873994638069703E-2</v>
      </c>
      <c r="BT262" s="35">
        <f t="shared" si="904"/>
        <v>3.9755351681957186E-2</v>
      </c>
      <c r="BU262" s="35">
        <f t="shared" si="904"/>
        <v>0.12131715771230503</v>
      </c>
      <c r="BV262" s="35">
        <f t="shared" si="904"/>
        <v>4.0133779264214048E-2</v>
      </c>
      <c r="BW262" s="35">
        <f t="shared" si="904"/>
        <v>4.8286604361370715E-2</v>
      </c>
      <c r="BX262" s="35">
        <f t="shared" si="904"/>
        <v>5.2545155993431854E-2</v>
      </c>
      <c r="BY262" s="35">
        <f t="shared" si="904"/>
        <v>4.9327354260089683E-2</v>
      </c>
      <c r="BZ262" s="35">
        <f t="shared" si="904"/>
        <v>6.2289562289562291E-2</v>
      </c>
      <c r="CA262" s="35">
        <f t="shared" si="904"/>
        <v>7.1539657853810265E-2</v>
      </c>
      <c r="CB262" s="35">
        <f t="shared" si="904"/>
        <v>7.6348748454502416E-2</v>
      </c>
      <c r="CC262" s="35">
        <f t="shared" si="904"/>
        <v>7.6934800835473605E-2</v>
      </c>
      <c r="CD262" s="35">
        <f t="shared" si="904"/>
        <v>7.708361323095228E-2</v>
      </c>
      <c r="CE262" s="35">
        <f t="shared" si="904"/>
        <v>7.6862723739306721E-2</v>
      </c>
      <c r="CF262" s="35">
        <f t="shared" si="904"/>
        <v>7.6855127305017243E-2</v>
      </c>
      <c r="CG262" s="43"/>
      <c r="CH262" s="43"/>
      <c r="CI262" s="43"/>
    </row>
    <row r="263" spans="1:87" s="50" customFormat="1" ht="12.75" customHeight="1">
      <c r="A263" s="42" t="s">
        <v>59</v>
      </c>
      <c r="B263" s="26">
        <v>-9</v>
      </c>
      <c r="C263" s="26">
        <v>-12</v>
      </c>
      <c r="D263" s="26">
        <v>-10</v>
      </c>
      <c r="E263" s="26">
        <v>-10</v>
      </c>
      <c r="F263" s="26">
        <v>-8</v>
      </c>
      <c r="G263" s="26">
        <v>-9</v>
      </c>
      <c r="H263" s="26">
        <v>-9</v>
      </c>
      <c r="I263" s="26">
        <v>-11</v>
      </c>
      <c r="J263" s="26">
        <v>-8</v>
      </c>
      <c r="K263" s="26">
        <v>-9</v>
      </c>
      <c r="L263" s="26">
        <v>-9</v>
      </c>
      <c r="M263" s="26">
        <v>-7</v>
      </c>
      <c r="N263" s="26">
        <v>-12</v>
      </c>
      <c r="O263" s="26">
        <v>-6</v>
      </c>
      <c r="P263" s="26">
        <v>-8</v>
      </c>
      <c r="Q263" s="26">
        <v>-8</v>
      </c>
      <c r="R263" s="26">
        <v>-10</v>
      </c>
      <c r="S263" s="26">
        <v>-9</v>
      </c>
      <c r="T263" s="26">
        <v>-6</v>
      </c>
      <c r="U263" s="26">
        <v>-6</v>
      </c>
      <c r="V263" s="26">
        <v>-5</v>
      </c>
      <c r="W263" s="26">
        <v>-14</v>
      </c>
      <c r="X263" s="26">
        <v>-11</v>
      </c>
      <c r="Y263" s="26">
        <v>-11</v>
      </c>
      <c r="Z263" s="26">
        <v>-13</v>
      </c>
      <c r="AA263" s="26">
        <v>-13</v>
      </c>
      <c r="AB263" s="47">
        <v>-12</v>
      </c>
      <c r="AC263" s="47">
        <v>-13</v>
      </c>
      <c r="AD263" s="47">
        <v>-15</v>
      </c>
      <c r="AE263" s="47">
        <v>-12</v>
      </c>
      <c r="AF263" s="47">
        <v>-16</v>
      </c>
      <c r="AG263" s="47">
        <v>-17</v>
      </c>
      <c r="AH263" s="47">
        <v>-16</v>
      </c>
      <c r="AI263" s="47">
        <v>-15</v>
      </c>
      <c r="AJ263" s="47">
        <v>-17</v>
      </c>
      <c r="AK263" s="47">
        <v>-17</v>
      </c>
      <c r="AL263" s="47">
        <v>-14</v>
      </c>
      <c r="AM263" s="47">
        <v>-16</v>
      </c>
      <c r="AN263" s="47">
        <v>-20</v>
      </c>
      <c r="AO263" s="47">
        <v>-20</v>
      </c>
      <c r="AP263" s="47">
        <v>-21</v>
      </c>
      <c r="AQ263" s="47">
        <v>-24</v>
      </c>
      <c r="AR263" s="47">
        <v>-25</v>
      </c>
      <c r="AS263" s="47">
        <v>-25</v>
      </c>
      <c r="AT263" s="47">
        <v>-25</v>
      </c>
      <c r="AU263" s="47">
        <v>-27</v>
      </c>
      <c r="AV263" s="47">
        <v>-31</v>
      </c>
      <c r="AW263" s="187">
        <f t="shared" ref="AW263:BN263" si="905">AW$213*AW264</f>
        <v>-42.210050000000003</v>
      </c>
      <c r="AX263" s="187">
        <f t="shared" si="905"/>
        <v>-37.136844425335575</v>
      </c>
      <c r="AY263" s="187">
        <f t="shared" si="905"/>
        <v>-29.198944960759206</v>
      </c>
      <c r="AZ263" s="187">
        <f t="shared" si="905"/>
        <v>-30.527638198088205</v>
      </c>
      <c r="BA263" s="187">
        <f t="shared" si="905"/>
        <v>-45.967371966666676</v>
      </c>
      <c r="BB263" s="187">
        <f t="shared" si="905"/>
        <v>-35.46559937471477</v>
      </c>
      <c r="BC263" s="187">
        <f t="shared" si="905"/>
        <v>-27.951070769959202</v>
      </c>
      <c r="BD263" s="187">
        <f t="shared" si="905"/>
        <v>-31.835794381490061</v>
      </c>
      <c r="BE263" s="187">
        <f t="shared" si="905"/>
        <v>-44.563347876443714</v>
      </c>
      <c r="BF263" s="187">
        <f t="shared" si="905"/>
        <v>-35.416497121380516</v>
      </c>
      <c r="BG263" s="187">
        <f t="shared" si="905"/>
        <v>-27.926864215449939</v>
      </c>
      <c r="BH263" s="187">
        <f t="shared" si="905"/>
        <v>-37.632030607595169</v>
      </c>
      <c r="BI263" s="187">
        <f t="shared" si="905"/>
        <v>-46.553379799502068</v>
      </c>
      <c r="BJ263" s="187">
        <f t="shared" si="905"/>
        <v>-36.964434247526135</v>
      </c>
      <c r="BK263" s="187">
        <f t="shared" si="905"/>
        <v>-28.989101259840066</v>
      </c>
      <c r="BL263" s="187">
        <f t="shared" si="905"/>
        <v>-33.0970717437446</v>
      </c>
      <c r="BM263" s="187">
        <f t="shared" si="905"/>
        <v>-46.334163726254786</v>
      </c>
      <c r="BN263" s="187">
        <f t="shared" si="905"/>
        <v>-37.815018286656752</v>
      </c>
      <c r="BO263" s="49"/>
      <c r="BP263" s="44">
        <v>-33</v>
      </c>
      <c r="BQ263" s="161">
        <f>SUM(C263:F263)</f>
        <v>-40</v>
      </c>
      <c r="BR263" s="161">
        <f>SUM(G263:J263)</f>
        <v>-37</v>
      </c>
      <c r="BS263" s="161">
        <f>SUM(K263:N263)</f>
        <v>-37</v>
      </c>
      <c r="BT263" s="161">
        <f>SUM(O263:R263)</f>
        <v>-32</v>
      </c>
      <c r="BU263" s="161">
        <f>SUM(S263:V263)</f>
        <v>-26</v>
      </c>
      <c r="BV263" s="161">
        <f>SUM(W263:Z263)</f>
        <v>-49</v>
      </c>
      <c r="BW263" s="161">
        <f>SUM(AA263:AD263)</f>
        <v>-53</v>
      </c>
      <c r="BX263" s="161">
        <f>SUM(AE263:AH263)</f>
        <v>-61</v>
      </c>
      <c r="BY263" s="161">
        <f>SUM(AI263:AL263)</f>
        <v>-63</v>
      </c>
      <c r="BZ263" s="49">
        <f>SUM(AM263:AP263)</f>
        <v>-77</v>
      </c>
      <c r="CA263" s="49">
        <f>SUM(AQ263:AT263)</f>
        <v>-99</v>
      </c>
      <c r="CB263" s="49">
        <f>SUM(AU263:AX263)</f>
        <v>-137.34689442533556</v>
      </c>
      <c r="CC263" s="49">
        <f>SUM(AY263:BB263)</f>
        <v>-141.15955450022886</v>
      </c>
      <c r="CD263" s="49">
        <f>SUM(BC263:BF263)</f>
        <v>-139.76671014927348</v>
      </c>
      <c r="CE263" s="49">
        <f>SUM(BG263:BJ263)</f>
        <v>-149.0767088700733</v>
      </c>
      <c r="CF263" s="49">
        <f>SUM(BK263:BN263)</f>
        <v>-146.23535501649621</v>
      </c>
      <c r="CG263" s="3"/>
      <c r="CH263" s="3"/>
      <c r="CI263" s="3"/>
    </row>
    <row r="264" spans="1:87" ht="12.75" customHeight="1">
      <c r="A264" s="69" t="s">
        <v>87</v>
      </c>
      <c r="B264" s="34">
        <f t="shared" ref="B264:AV264" si="906">B263/B$213</f>
        <v>0.12857142857142856</v>
      </c>
      <c r="C264" s="34">
        <f t="shared" si="906"/>
        <v>0.19354838709677419</v>
      </c>
      <c r="D264" s="34">
        <f t="shared" si="906"/>
        <v>0.14925373134328357</v>
      </c>
      <c r="E264" s="34">
        <f t="shared" si="906"/>
        <v>0.15384615384615385</v>
      </c>
      <c r="F264" s="34">
        <f t="shared" si="906"/>
        <v>0.11940298507462686</v>
      </c>
      <c r="G264" s="34">
        <f t="shared" si="906"/>
        <v>0.13846153846153847</v>
      </c>
      <c r="H264" s="34">
        <f t="shared" si="906"/>
        <v>0.11392405063291139</v>
      </c>
      <c r="I264" s="34">
        <f t="shared" si="906"/>
        <v>0.12643678160919541</v>
      </c>
      <c r="J264" s="34">
        <f t="shared" si="906"/>
        <v>9.6385542168674704E-2</v>
      </c>
      <c r="K264" s="34">
        <f t="shared" si="906"/>
        <v>0.11392405063291139</v>
      </c>
      <c r="L264" s="34">
        <f t="shared" si="906"/>
        <v>0.1</v>
      </c>
      <c r="M264" s="34">
        <f t="shared" si="906"/>
        <v>0.11475409836065574</v>
      </c>
      <c r="N264" s="34">
        <f t="shared" si="906"/>
        <v>0.14285714285714285</v>
      </c>
      <c r="O264" s="34">
        <f t="shared" si="906"/>
        <v>7.5949367088607597E-2</v>
      </c>
      <c r="P264" s="34">
        <f t="shared" si="906"/>
        <v>9.8765432098765427E-2</v>
      </c>
      <c r="Q264" s="34">
        <f t="shared" si="906"/>
        <v>9.6385542168674704E-2</v>
      </c>
      <c r="R264" s="34">
        <f t="shared" si="906"/>
        <v>0.11494252873563218</v>
      </c>
      <c r="S264" s="34">
        <f t="shared" si="906"/>
        <v>0.10714285714285714</v>
      </c>
      <c r="T264" s="34">
        <f t="shared" si="906"/>
        <v>6.9767441860465115E-2</v>
      </c>
      <c r="U264" s="34">
        <f t="shared" si="906"/>
        <v>5.9405940594059403E-2</v>
      </c>
      <c r="V264" s="34">
        <f t="shared" si="906"/>
        <v>5.3191489361702128E-2</v>
      </c>
      <c r="W264" s="34">
        <f t="shared" si="906"/>
        <v>0.16666666666666666</v>
      </c>
      <c r="X264" s="34">
        <f t="shared" si="906"/>
        <v>0.12222222222222222</v>
      </c>
      <c r="Y264" s="34">
        <f t="shared" si="906"/>
        <v>0.12790697674418605</v>
      </c>
      <c r="Z264" s="34">
        <f t="shared" si="906"/>
        <v>0.13402061855670103</v>
      </c>
      <c r="AA264" s="34">
        <f t="shared" si="906"/>
        <v>0.1368421052631579</v>
      </c>
      <c r="AB264" s="34">
        <f t="shared" si="906"/>
        <v>0.12121212121212122</v>
      </c>
      <c r="AC264" s="34">
        <f t="shared" si="906"/>
        <v>0.13402061855670103</v>
      </c>
      <c r="AD264" s="34">
        <f t="shared" si="906"/>
        <v>0.15789473684210525</v>
      </c>
      <c r="AE264" s="34">
        <f t="shared" si="906"/>
        <v>0.12903225806451613</v>
      </c>
      <c r="AF264" s="34">
        <f t="shared" si="906"/>
        <v>0.15686274509803921</v>
      </c>
      <c r="AG264" s="34">
        <f t="shared" si="906"/>
        <v>0.1650485436893204</v>
      </c>
      <c r="AH264" s="34">
        <f t="shared" si="906"/>
        <v>0.14545454545454545</v>
      </c>
      <c r="AI264" s="34">
        <f t="shared" si="906"/>
        <v>0.15151515151515152</v>
      </c>
      <c r="AJ264" s="34">
        <f t="shared" si="906"/>
        <v>0.17</v>
      </c>
      <c r="AK264" s="34">
        <f t="shared" si="906"/>
        <v>0.19101123595505617</v>
      </c>
      <c r="AL264" s="34">
        <f t="shared" si="906"/>
        <v>0.12844036697247707</v>
      </c>
      <c r="AM264" s="34">
        <f t="shared" si="906"/>
        <v>0.1702127659574468</v>
      </c>
      <c r="AN264" s="34">
        <f t="shared" si="906"/>
        <v>0.18518518518518517</v>
      </c>
      <c r="AO264" s="34">
        <f t="shared" si="906"/>
        <v>0.18867924528301888</v>
      </c>
      <c r="AP264" s="34">
        <f t="shared" si="906"/>
        <v>0.17355371900826447</v>
      </c>
      <c r="AQ264" s="34">
        <f t="shared" si="906"/>
        <v>0.21428571428571427</v>
      </c>
      <c r="AR264" s="34">
        <f t="shared" si="906"/>
        <v>0.23148148148148148</v>
      </c>
      <c r="AS264" s="34">
        <f t="shared" si="906"/>
        <v>0.20161290322580644</v>
      </c>
      <c r="AT264" s="34">
        <f t="shared" si="906"/>
        <v>0.16778523489932887</v>
      </c>
      <c r="AU264" s="34">
        <f t="shared" si="906"/>
        <v>0.19014084507042253</v>
      </c>
      <c r="AV264" s="34">
        <f t="shared" si="906"/>
        <v>0.21379310344827587</v>
      </c>
      <c r="AW264" s="1">
        <v>0.2</v>
      </c>
      <c r="AX264" s="1">
        <f>AT264+0.05</f>
        <v>0.21778523489932888</v>
      </c>
      <c r="AY264" s="1">
        <f>AU264</f>
        <v>0.19014084507042253</v>
      </c>
      <c r="AZ264" s="1">
        <f>AV264</f>
        <v>0.21379310344827587</v>
      </c>
      <c r="BA264" s="1">
        <f>AW264</f>
        <v>0.2</v>
      </c>
      <c r="BB264" s="1">
        <f>AX264</f>
        <v>0.21778523489932888</v>
      </c>
      <c r="BC264" s="1">
        <f t="shared" ref="BC264:BJ264" si="907">AY264</f>
        <v>0.19014084507042253</v>
      </c>
      <c r="BD264" s="1">
        <f t="shared" si="907"/>
        <v>0.21379310344827587</v>
      </c>
      <c r="BE264" s="1">
        <f t="shared" si="907"/>
        <v>0.2</v>
      </c>
      <c r="BF264" s="1">
        <f t="shared" si="907"/>
        <v>0.21778523489932888</v>
      </c>
      <c r="BG264" s="1">
        <f t="shared" si="907"/>
        <v>0.19014084507042253</v>
      </c>
      <c r="BH264" s="1">
        <f t="shared" si="907"/>
        <v>0.21379310344827587</v>
      </c>
      <c r="BI264" s="1">
        <f t="shared" si="907"/>
        <v>0.2</v>
      </c>
      <c r="BJ264" s="1">
        <f t="shared" si="907"/>
        <v>0.21778523489932888</v>
      </c>
      <c r="BK264" s="1">
        <f>BG264</f>
        <v>0.19014084507042253</v>
      </c>
      <c r="BL264" s="1">
        <f>BH264</f>
        <v>0.21379310344827587</v>
      </c>
      <c r="BM264" s="1">
        <f>BI264</f>
        <v>0.2</v>
      </c>
      <c r="BN264" s="1">
        <f>BJ264</f>
        <v>0.21778523489932888</v>
      </c>
      <c r="BO264" s="40"/>
      <c r="BP264" s="35">
        <f t="shared" ref="BP264:CF264" si="908">BP263/BP$213</f>
        <v>0.12087912087912088</v>
      </c>
      <c r="BQ264" s="35">
        <f t="shared" si="908"/>
        <v>0.1532567049808429</v>
      </c>
      <c r="BR264" s="35">
        <f t="shared" si="908"/>
        <v>0.1178343949044586</v>
      </c>
      <c r="BS264" s="35">
        <f t="shared" si="908"/>
        <v>0.1178343949044586</v>
      </c>
      <c r="BT264" s="35">
        <f t="shared" si="908"/>
        <v>9.696969696969697E-2</v>
      </c>
      <c r="BU264" s="35">
        <f t="shared" si="908"/>
        <v>7.1232876712328766E-2</v>
      </c>
      <c r="BV264" s="35">
        <f t="shared" si="908"/>
        <v>0.13725490196078433</v>
      </c>
      <c r="BW264" s="35">
        <f t="shared" si="908"/>
        <v>0.13730569948186527</v>
      </c>
      <c r="BX264" s="35">
        <f t="shared" si="908"/>
        <v>0.14950980392156862</v>
      </c>
      <c r="BY264" s="35">
        <f t="shared" si="908"/>
        <v>0.15869017632241814</v>
      </c>
      <c r="BZ264" s="35">
        <f t="shared" si="908"/>
        <v>0.17948717948717949</v>
      </c>
      <c r="CA264" s="35">
        <f t="shared" si="908"/>
        <v>0.20081135902636918</v>
      </c>
      <c r="CB264" s="35">
        <f t="shared" si="908"/>
        <v>0.2054336014449564</v>
      </c>
      <c r="CC264" s="35">
        <f t="shared" si="908"/>
        <v>0.20486441595347102</v>
      </c>
      <c r="CD264" s="35">
        <f t="shared" si="908"/>
        <v>0.20513226343666816</v>
      </c>
      <c r="CE264" s="35">
        <f t="shared" si="908"/>
        <v>0.20551217169589944</v>
      </c>
      <c r="CF264" s="35">
        <f t="shared" si="908"/>
        <v>0.2052209015775405</v>
      </c>
      <c r="CG264" s="43"/>
      <c r="CH264" s="43"/>
      <c r="CI264" s="43"/>
    </row>
    <row r="265" spans="1:87" s="50" customFormat="1" ht="12.75" customHeight="1">
      <c r="A265" s="42" t="s">
        <v>111</v>
      </c>
      <c r="B265" s="26">
        <v>-28</v>
      </c>
      <c r="C265" s="26">
        <v>-30</v>
      </c>
      <c r="D265" s="26">
        <v>-27</v>
      </c>
      <c r="E265" s="26">
        <v>-29</v>
      </c>
      <c r="F265" s="26">
        <v>-25</v>
      </c>
      <c r="G265" s="26">
        <v>-23</v>
      </c>
      <c r="H265" s="26">
        <v>-28</v>
      </c>
      <c r="I265" s="26">
        <v>-30</v>
      </c>
      <c r="J265" s="26">
        <v>-24</v>
      </c>
      <c r="K265" s="26">
        <v>-22</v>
      </c>
      <c r="L265" s="26">
        <v>-27</v>
      </c>
      <c r="M265" s="26">
        <v>-25</v>
      </c>
      <c r="N265" s="26">
        <v>-22</v>
      </c>
      <c r="O265" s="26">
        <v>-20</v>
      </c>
      <c r="P265" s="26">
        <v>-23</v>
      </c>
      <c r="Q265" s="26">
        <v>-25</v>
      </c>
      <c r="R265" s="26">
        <v>-22</v>
      </c>
      <c r="S265" s="26">
        <v>-16</v>
      </c>
      <c r="T265" s="26">
        <v>-10</v>
      </c>
      <c r="U265" s="26">
        <v>-10</v>
      </c>
      <c r="V265" s="26">
        <v>-10</v>
      </c>
      <c r="W265" s="26">
        <v>-26</v>
      </c>
      <c r="X265" s="26">
        <v>-25</v>
      </c>
      <c r="Y265" s="26">
        <v>-26</v>
      </c>
      <c r="Z265" s="26">
        <v>-26</v>
      </c>
      <c r="AA265" s="26">
        <v>-27</v>
      </c>
      <c r="AB265" s="47">
        <v>-27</v>
      </c>
      <c r="AC265" s="47">
        <v>-27</v>
      </c>
      <c r="AD265" s="47">
        <v>-28</v>
      </c>
      <c r="AE265" s="47">
        <v>-28</v>
      </c>
      <c r="AF265" s="47">
        <v>-36</v>
      </c>
      <c r="AG265" s="47">
        <v>-38</v>
      </c>
      <c r="AH265" s="47">
        <v>-44</v>
      </c>
      <c r="AI265" s="47">
        <v>-47</v>
      </c>
      <c r="AJ265" s="47">
        <v>-39</v>
      </c>
      <c r="AK265" s="47">
        <v>-49</v>
      </c>
      <c r="AL265" s="47">
        <v>-49</v>
      </c>
      <c r="AM265" s="47">
        <v>-49</v>
      </c>
      <c r="AN265" s="47">
        <v>-61</v>
      </c>
      <c r="AO265" s="47">
        <v>-60</v>
      </c>
      <c r="AP265" s="47">
        <v>-59</v>
      </c>
      <c r="AQ265" s="47">
        <v>-66</v>
      </c>
      <c r="AR265" s="47">
        <v>-74</v>
      </c>
      <c r="AS265" s="47">
        <v>-74</v>
      </c>
      <c r="AT265" s="47">
        <v>-71</v>
      </c>
      <c r="AU265" s="47">
        <v>-85</v>
      </c>
      <c r="AV265" s="47">
        <v>-101</v>
      </c>
      <c r="AW265" s="187">
        <f t="shared" ref="AW265:BN265" si="909">AW$214*AW266</f>
        <v>-71.757085000000004</v>
      </c>
      <c r="AX265" s="187">
        <f t="shared" si="909"/>
        <v>-108.70946703967253</v>
      </c>
      <c r="AY265" s="187">
        <f t="shared" si="909"/>
        <v>-90.466315988645107</v>
      </c>
      <c r="AZ265" s="187">
        <f t="shared" si="909"/>
        <v>-116.30099988628268</v>
      </c>
      <c r="BA265" s="187">
        <f t="shared" si="909"/>
        <v>-85.470582250520849</v>
      </c>
      <c r="BB265" s="187">
        <f t="shared" si="909"/>
        <v>-107.39719262062971</v>
      </c>
      <c r="BC265" s="187">
        <f t="shared" si="909"/>
        <v>-89.588069580972075</v>
      </c>
      <c r="BD265" s="187">
        <f t="shared" si="909"/>
        <v>-121.28467635512223</v>
      </c>
      <c r="BE265" s="187">
        <f t="shared" si="909"/>
        <v>-88.383973288280032</v>
      </c>
      <c r="BF265" s="187">
        <f t="shared" si="909"/>
        <v>-111.31997167486325</v>
      </c>
      <c r="BG265" s="187">
        <f t="shared" si="909"/>
        <v>-92.822940028134397</v>
      </c>
      <c r="BH265" s="187">
        <f t="shared" si="909"/>
        <v>-146.9947500181697</v>
      </c>
      <c r="BI265" s="187">
        <f t="shared" si="909"/>
        <v>-95.514693036909406</v>
      </c>
      <c r="BJ265" s="187">
        <f t="shared" si="909"/>
        <v>-118.49222556202083</v>
      </c>
      <c r="BK265" s="187">
        <f t="shared" si="909"/>
        <v>-97.369449228524502</v>
      </c>
      <c r="BL265" s="187">
        <f t="shared" si="909"/>
        <v>-132.70514455813952</v>
      </c>
      <c r="BM265" s="187">
        <f t="shared" si="909"/>
        <v>-98.460097918291424</v>
      </c>
      <c r="BN265" s="187">
        <f t="shared" si="909"/>
        <v>-123.71756469469484</v>
      </c>
      <c r="BO265" s="49"/>
      <c r="BP265" s="44">
        <v>-110</v>
      </c>
      <c r="BQ265" s="161">
        <f>SUM(C265:F265)</f>
        <v>-111</v>
      </c>
      <c r="BR265" s="161">
        <f>SUM(G265:J265)</f>
        <v>-105</v>
      </c>
      <c r="BS265" s="161">
        <f>SUM(K265:N265)</f>
        <v>-96</v>
      </c>
      <c r="BT265" s="161">
        <f>SUM(O265:R265)</f>
        <v>-90</v>
      </c>
      <c r="BU265" s="161">
        <f>SUM(S265:V265)</f>
        <v>-46</v>
      </c>
      <c r="BV265" s="161">
        <f>SUM(W265:Z265)</f>
        <v>-103</v>
      </c>
      <c r="BW265" s="161">
        <f>SUM(AA265:AD265)</f>
        <v>-109</v>
      </c>
      <c r="BX265" s="161">
        <f>SUM(AE265:AH265)</f>
        <v>-146</v>
      </c>
      <c r="BY265" s="161">
        <f>SUM(AI265:AL265)</f>
        <v>-184</v>
      </c>
      <c r="BZ265" s="49">
        <f>SUM(AM265:AP265)</f>
        <v>-229</v>
      </c>
      <c r="CA265" s="49">
        <f>SUM(AQ265:AT265)</f>
        <v>-285</v>
      </c>
      <c r="CB265" s="49">
        <f>SUM(AU265:AX265)</f>
        <v>-366.46655203967254</v>
      </c>
      <c r="CC265" s="49">
        <f>SUM(AY265:BB265)</f>
        <v>-399.63509074607833</v>
      </c>
      <c r="CD265" s="49">
        <f>SUM(BC265:BF265)</f>
        <v>-410.57669089923763</v>
      </c>
      <c r="CE265" s="49">
        <f>SUM(BG265:BJ265)</f>
        <v>-453.82460864523438</v>
      </c>
      <c r="CF265" s="49">
        <f>SUM(BK265:BN265)</f>
        <v>-452.25225639965026</v>
      </c>
      <c r="CG265" s="3"/>
      <c r="CH265" s="3"/>
      <c r="CI265" s="3"/>
    </row>
    <row r="266" spans="1:87" ht="12.75" customHeight="1">
      <c r="A266" s="69" t="s">
        <v>125</v>
      </c>
      <c r="B266" s="34">
        <f t="shared" ref="B266:AV266" si="910">B265/B$214</f>
        <v>9.8939929328621903E-2</v>
      </c>
      <c r="C266" s="34">
        <f t="shared" si="910"/>
        <v>0.12244897959183673</v>
      </c>
      <c r="D266" s="34">
        <f t="shared" si="910"/>
        <v>0.108</v>
      </c>
      <c r="E266" s="34">
        <f t="shared" si="910"/>
        <v>0.11885245901639344</v>
      </c>
      <c r="F266" s="34">
        <f t="shared" si="910"/>
        <v>8.2508250825082508E-2</v>
      </c>
      <c r="G266" s="34">
        <f t="shared" si="910"/>
        <v>8.7786259541984726E-2</v>
      </c>
      <c r="H266" s="34">
        <f t="shared" si="910"/>
        <v>9.6551724137931033E-2</v>
      </c>
      <c r="I266" s="34">
        <f t="shared" si="910"/>
        <v>0.10169491525423729</v>
      </c>
      <c r="J266" s="34">
        <f t="shared" si="910"/>
        <v>9.6000000000000002E-2</v>
      </c>
      <c r="K266" s="34">
        <f t="shared" si="910"/>
        <v>8.461538461538462E-2</v>
      </c>
      <c r="L266" s="34">
        <f t="shared" si="910"/>
        <v>9.4076655052264813E-2</v>
      </c>
      <c r="M266" s="34">
        <f t="shared" si="910"/>
        <v>9.5785440613026823E-2</v>
      </c>
      <c r="N266" s="34">
        <f t="shared" si="910"/>
        <v>8.3018867924528297E-2</v>
      </c>
      <c r="O266" s="34">
        <f t="shared" si="910"/>
        <v>7.7519379844961239E-2</v>
      </c>
      <c r="P266" s="34">
        <f t="shared" si="910"/>
        <v>8.8461538461538466E-2</v>
      </c>
      <c r="Q266" s="34">
        <f t="shared" si="910"/>
        <v>0.1</v>
      </c>
      <c r="R266" s="34">
        <f t="shared" si="910"/>
        <v>8.2397003745318345E-2</v>
      </c>
      <c r="S266" s="34">
        <f t="shared" si="910"/>
        <v>6.4257028112449793E-2</v>
      </c>
      <c r="T266" s="34">
        <f t="shared" si="910"/>
        <v>3.9840637450199202E-2</v>
      </c>
      <c r="U266" s="34">
        <f t="shared" si="910"/>
        <v>3.6630036630036632E-2</v>
      </c>
      <c r="V266" s="34">
        <f t="shared" si="910"/>
        <v>3.6363636363636362E-2</v>
      </c>
      <c r="W266" s="34">
        <f t="shared" si="910"/>
        <v>9.6296296296296297E-2</v>
      </c>
      <c r="X266" s="34">
        <f t="shared" si="910"/>
        <v>0.10416666666666667</v>
      </c>
      <c r="Y266" s="34">
        <f t="shared" si="910"/>
        <v>0.10833333333333334</v>
      </c>
      <c r="Z266" s="34">
        <f t="shared" si="910"/>
        <v>0.1015625</v>
      </c>
      <c r="AA266" s="34">
        <f t="shared" si="910"/>
        <v>0.10112359550561797</v>
      </c>
      <c r="AB266" s="34">
        <f t="shared" si="910"/>
        <v>0.10227272727272728</v>
      </c>
      <c r="AC266" s="34">
        <f t="shared" si="910"/>
        <v>0.10465116279069768</v>
      </c>
      <c r="AD266" s="34">
        <f t="shared" si="910"/>
        <v>9.1205211726384364E-2</v>
      </c>
      <c r="AE266" s="34">
        <f t="shared" si="910"/>
        <v>9.4276094276094277E-2</v>
      </c>
      <c r="AF266" s="34">
        <f t="shared" si="910"/>
        <v>0.12203389830508475</v>
      </c>
      <c r="AG266" s="34">
        <f t="shared" si="910"/>
        <v>0.13058419243986255</v>
      </c>
      <c r="AH266" s="34">
        <f t="shared" si="910"/>
        <v>0.15120274914089346</v>
      </c>
      <c r="AI266" s="34">
        <f t="shared" si="910"/>
        <v>0.1492063492063492</v>
      </c>
      <c r="AJ266" s="34">
        <f t="shared" si="910"/>
        <v>0.13</v>
      </c>
      <c r="AK266" s="34">
        <f t="shared" si="910"/>
        <v>0.17192982456140352</v>
      </c>
      <c r="AL266" s="34">
        <f t="shared" si="910"/>
        <v>0.14040114613180515</v>
      </c>
      <c r="AM266" s="34">
        <f t="shared" si="910"/>
        <v>0.14759036144578314</v>
      </c>
      <c r="AN266" s="34">
        <f t="shared" si="910"/>
        <v>0.18711656441717792</v>
      </c>
      <c r="AO266" s="34">
        <f t="shared" si="910"/>
        <v>0.18237082066869301</v>
      </c>
      <c r="AP266" s="34">
        <f t="shared" si="910"/>
        <v>0.17201166180758018</v>
      </c>
      <c r="AQ266" s="34">
        <f t="shared" si="910"/>
        <v>0.17741935483870969</v>
      </c>
      <c r="AR266" s="34">
        <f t="shared" si="910"/>
        <v>0.2132564841498559</v>
      </c>
      <c r="AS266" s="34">
        <f t="shared" si="910"/>
        <v>0.19628647214854111</v>
      </c>
      <c r="AT266" s="34">
        <f t="shared" si="910"/>
        <v>0.17884130982367757</v>
      </c>
      <c r="AU266" s="34">
        <f t="shared" si="910"/>
        <v>0.19767441860465115</v>
      </c>
      <c r="AV266" s="34">
        <f t="shared" si="910"/>
        <v>0.22345132743362831</v>
      </c>
      <c r="AW266" s="1">
        <v>0.17</v>
      </c>
      <c r="AX266" s="1">
        <f>AT266+0.03</f>
        <v>0.20884130982367757</v>
      </c>
      <c r="AY266" s="1">
        <f>AU266</f>
        <v>0.19767441860465115</v>
      </c>
      <c r="AZ266" s="1">
        <f>AV266+0.007</f>
        <v>0.23045132743362831</v>
      </c>
      <c r="BA266" s="1">
        <f>AW266</f>
        <v>0.17</v>
      </c>
      <c r="BB266" s="1">
        <f>AX266</f>
        <v>0.20884130982367757</v>
      </c>
      <c r="BC266" s="1">
        <f t="shared" ref="BC266:BJ266" si="911">AY266</f>
        <v>0.19767441860465115</v>
      </c>
      <c r="BD266" s="1">
        <f t="shared" si="911"/>
        <v>0.23045132743362831</v>
      </c>
      <c r="BE266" s="1">
        <f t="shared" si="911"/>
        <v>0.17</v>
      </c>
      <c r="BF266" s="1">
        <f t="shared" si="911"/>
        <v>0.20884130982367757</v>
      </c>
      <c r="BG266" s="1">
        <f t="shared" si="911"/>
        <v>0.19767441860465115</v>
      </c>
      <c r="BH266" s="1">
        <f t="shared" si="911"/>
        <v>0.23045132743362831</v>
      </c>
      <c r="BI266" s="1">
        <f t="shared" si="911"/>
        <v>0.17</v>
      </c>
      <c r="BJ266" s="1">
        <f t="shared" si="911"/>
        <v>0.20884130982367757</v>
      </c>
      <c r="BK266" s="1">
        <f>BG266</f>
        <v>0.19767441860465115</v>
      </c>
      <c r="BL266" s="1">
        <f>BH266</f>
        <v>0.23045132743362831</v>
      </c>
      <c r="BM266" s="1">
        <f>BI266</f>
        <v>0.17</v>
      </c>
      <c r="BN266" s="1">
        <f>BJ266</f>
        <v>0.20884130982367757</v>
      </c>
      <c r="BO266" s="40"/>
      <c r="BP266" s="35">
        <f t="shared" ref="BP266:CF266" si="912">BP265/BP$214</f>
        <v>9.8302055406613048E-2</v>
      </c>
      <c r="BQ266" s="35">
        <f t="shared" si="912"/>
        <v>0.10652591170825336</v>
      </c>
      <c r="BR266" s="35">
        <f t="shared" si="912"/>
        <v>9.5715587967183227E-2</v>
      </c>
      <c r="BS266" s="35">
        <f t="shared" si="912"/>
        <v>8.9468779123951542E-2</v>
      </c>
      <c r="BT266" s="35">
        <f t="shared" si="912"/>
        <v>8.6956521739130432E-2</v>
      </c>
      <c r="BU266" s="35">
        <f t="shared" si="912"/>
        <v>4.3893129770992363E-2</v>
      </c>
      <c r="BV266" s="35">
        <f t="shared" si="912"/>
        <v>0.10238568588469185</v>
      </c>
      <c r="BW266" s="35">
        <f t="shared" si="912"/>
        <v>9.9452554744525551E-2</v>
      </c>
      <c r="BX266" s="35">
        <f t="shared" si="912"/>
        <v>0.12436115843270869</v>
      </c>
      <c r="BY266" s="35">
        <f t="shared" si="912"/>
        <v>0.14731785428342675</v>
      </c>
      <c r="BZ266" s="35">
        <f t="shared" si="912"/>
        <v>0.17218045112781954</v>
      </c>
      <c r="CA266" s="35">
        <f t="shared" si="912"/>
        <v>0.19089082384460818</v>
      </c>
      <c r="CB266" s="35">
        <f t="shared" si="912"/>
        <v>0.20084356903408954</v>
      </c>
      <c r="CC266" s="35">
        <f t="shared" si="912"/>
        <v>0.20190319467419235</v>
      </c>
      <c r="CD266" s="35">
        <f t="shared" si="912"/>
        <v>0.2020113109847137</v>
      </c>
      <c r="CE266" s="35">
        <f t="shared" si="912"/>
        <v>0.20290270488779033</v>
      </c>
      <c r="CF266" s="35">
        <f t="shared" si="912"/>
        <v>0.20189826728599408</v>
      </c>
    </row>
    <row r="267" spans="1:87" ht="12.75" customHeight="1">
      <c r="A267" s="69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 t="s">
        <v>171</v>
      </c>
      <c r="R267" s="34" t="s">
        <v>171</v>
      </c>
      <c r="S267" s="34" t="s">
        <v>171</v>
      </c>
      <c r="T267" s="34" t="s">
        <v>171</v>
      </c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  <c r="AV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  <c r="BJ267" s="34"/>
      <c r="BK267" s="34"/>
      <c r="BL267" s="34"/>
      <c r="BM267" s="34"/>
      <c r="BN267" s="34"/>
      <c r="BO267" s="35"/>
      <c r="BP267" s="35"/>
      <c r="BQ267" s="35"/>
      <c r="BR267" s="35"/>
      <c r="BS267" s="35"/>
      <c r="BT267" s="35"/>
      <c r="BU267" s="35"/>
      <c r="BV267" s="35"/>
      <c r="BW267" s="35"/>
      <c r="BX267" s="35"/>
      <c r="BY267" s="35"/>
      <c r="BZ267" s="35"/>
      <c r="CA267" s="35"/>
      <c r="CB267" s="35"/>
      <c r="CC267" s="35"/>
      <c r="CD267" s="35"/>
      <c r="CE267" s="35"/>
      <c r="CF267" s="35"/>
    </row>
    <row r="268" spans="1:87" ht="12.75" customHeight="1">
      <c r="A268" s="38" t="s">
        <v>118</v>
      </c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40"/>
      <c r="BP268" s="35"/>
      <c r="BQ268" s="35"/>
      <c r="BR268" s="35"/>
      <c r="BS268" s="35"/>
      <c r="BT268" s="35"/>
      <c r="BU268" s="35"/>
      <c r="BV268" s="35"/>
      <c r="BW268" s="35"/>
      <c r="BX268" s="35"/>
      <c r="BY268" s="35"/>
      <c r="BZ268" s="35"/>
      <c r="CA268" s="35"/>
      <c r="CB268" s="35"/>
      <c r="CC268" s="35"/>
      <c r="CD268" s="35"/>
      <c r="CE268" s="35"/>
      <c r="CF268" s="35"/>
      <c r="CG268" s="43"/>
      <c r="CH268" s="43"/>
      <c r="CI268" s="43"/>
    </row>
    <row r="269" spans="1:87" s="50" customFormat="1" ht="12.75" customHeight="1">
      <c r="A269" s="42" t="s">
        <v>59</v>
      </c>
      <c r="B269" s="26">
        <v>0</v>
      </c>
      <c r="C269" s="26">
        <v>0</v>
      </c>
      <c r="D269" s="26">
        <v>0</v>
      </c>
      <c r="E269" s="26">
        <v>0</v>
      </c>
      <c r="F269" s="26">
        <v>0</v>
      </c>
      <c r="G269" s="26">
        <v>0</v>
      </c>
      <c r="H269" s="26">
        <v>0</v>
      </c>
      <c r="I269" s="26">
        <v>0</v>
      </c>
      <c r="J269" s="26">
        <v>-27</v>
      </c>
      <c r="K269" s="26">
        <v>0</v>
      </c>
      <c r="L269" s="26">
        <v>0</v>
      </c>
      <c r="M269" s="26">
        <v>0</v>
      </c>
      <c r="N269" s="26">
        <v>0</v>
      </c>
      <c r="O269" s="26">
        <v>0</v>
      </c>
      <c r="P269" s="26">
        <v>-40</v>
      </c>
      <c r="Q269" s="26">
        <v>0</v>
      </c>
      <c r="R269" s="26">
        <v>-8</v>
      </c>
      <c r="S269" s="26">
        <f>5</f>
        <v>5</v>
      </c>
      <c r="T269" s="26">
        <v>0</v>
      </c>
      <c r="U269" s="26">
        <v>0</v>
      </c>
      <c r="V269" s="26">
        <v>0</v>
      </c>
      <c r="W269" s="26">
        <v>0</v>
      </c>
      <c r="X269" s="26">
        <v>0</v>
      </c>
      <c r="Y269" s="26">
        <v>0</v>
      </c>
      <c r="Z269" s="26">
        <v>0</v>
      </c>
      <c r="AA269" s="26">
        <v>0</v>
      </c>
      <c r="AB269" s="47">
        <v>0</v>
      </c>
      <c r="AC269" s="47">
        <v>0</v>
      </c>
      <c r="AD269" s="47">
        <v>0</v>
      </c>
      <c r="AE269" s="47">
        <v>0</v>
      </c>
      <c r="AF269" s="47">
        <v>0</v>
      </c>
      <c r="AG269" s="47">
        <v>0</v>
      </c>
      <c r="AH269" s="47">
        <v>0</v>
      </c>
      <c r="AI269" s="47">
        <v>0</v>
      </c>
      <c r="AJ269" s="47">
        <v>0</v>
      </c>
      <c r="AK269" s="47">
        <v>0</v>
      </c>
      <c r="AL269" s="47">
        <v>0</v>
      </c>
      <c r="AM269" s="47">
        <v>0</v>
      </c>
      <c r="AN269" s="47">
        <v>0</v>
      </c>
      <c r="AO269" s="47">
        <v>0</v>
      </c>
      <c r="AP269" s="47">
        <v>0</v>
      </c>
      <c r="AQ269" s="47">
        <v>0</v>
      </c>
      <c r="AR269" s="47">
        <v>0</v>
      </c>
      <c r="AS269" s="47">
        <v>0</v>
      </c>
      <c r="AT269" s="47">
        <v>0</v>
      </c>
      <c r="AU269" s="47">
        <v>0</v>
      </c>
      <c r="AV269" s="47">
        <v>0</v>
      </c>
      <c r="AW269" s="187">
        <f t="shared" ref="AW269:BN269" si="913">AW$213*AW270</f>
        <v>0</v>
      </c>
      <c r="AX269" s="187">
        <f t="shared" si="913"/>
        <v>0</v>
      </c>
      <c r="AY269" s="187">
        <f t="shared" si="913"/>
        <v>0</v>
      </c>
      <c r="AZ269" s="187">
        <f t="shared" si="913"/>
        <v>0</v>
      </c>
      <c r="BA269" s="187">
        <f t="shared" si="913"/>
        <v>0</v>
      </c>
      <c r="BB269" s="187">
        <f t="shared" si="913"/>
        <v>0</v>
      </c>
      <c r="BC269" s="187">
        <f t="shared" si="913"/>
        <v>0</v>
      </c>
      <c r="BD269" s="187">
        <f t="shared" si="913"/>
        <v>0</v>
      </c>
      <c r="BE269" s="187">
        <f t="shared" si="913"/>
        <v>0</v>
      </c>
      <c r="BF269" s="187">
        <f t="shared" si="913"/>
        <v>0</v>
      </c>
      <c r="BG269" s="187">
        <f t="shared" si="913"/>
        <v>0</v>
      </c>
      <c r="BH269" s="187">
        <f t="shared" si="913"/>
        <v>0</v>
      </c>
      <c r="BI269" s="187">
        <f t="shared" si="913"/>
        <v>0</v>
      </c>
      <c r="BJ269" s="187">
        <f t="shared" si="913"/>
        <v>0</v>
      </c>
      <c r="BK269" s="187">
        <f t="shared" si="913"/>
        <v>0</v>
      </c>
      <c r="BL269" s="187">
        <f t="shared" si="913"/>
        <v>0</v>
      </c>
      <c r="BM269" s="187">
        <f t="shared" si="913"/>
        <v>0</v>
      </c>
      <c r="BN269" s="187">
        <f t="shared" si="913"/>
        <v>0</v>
      </c>
      <c r="BO269" s="49"/>
      <c r="BP269" s="44">
        <v>-14</v>
      </c>
      <c r="BQ269" s="161">
        <f>SUM(C269:F269)</f>
        <v>0</v>
      </c>
      <c r="BR269" s="161">
        <f>SUM(G269:J269)</f>
        <v>-27</v>
      </c>
      <c r="BS269" s="161">
        <f>SUM(K269:N269)</f>
        <v>0</v>
      </c>
      <c r="BT269" s="161">
        <f>SUM(O269:R269)</f>
        <v>-48</v>
      </c>
      <c r="BU269" s="161">
        <f>SUM(S269:V269)</f>
        <v>5</v>
      </c>
      <c r="BV269" s="161">
        <f>SUM(W269:Z269)</f>
        <v>0</v>
      </c>
      <c r="BW269" s="161">
        <f>SUM(AA269:AD269)</f>
        <v>0</v>
      </c>
      <c r="BX269" s="161">
        <f>SUM(AE269:AH269)</f>
        <v>0</v>
      </c>
      <c r="BY269" s="161">
        <f>SUM(AI269:AL269)</f>
        <v>0</v>
      </c>
      <c r="BZ269" s="49">
        <f>SUM(AM269:AP269)</f>
        <v>0</v>
      </c>
      <c r="CA269" s="49">
        <f>SUM(AQ269:AT269)</f>
        <v>0</v>
      </c>
      <c r="CB269" s="49">
        <f>SUM(AU269:AX269)</f>
        <v>0</v>
      </c>
      <c r="CC269" s="49">
        <f>SUM(AY269:BB269)</f>
        <v>0</v>
      </c>
      <c r="CD269" s="49">
        <f>SUM(BC269:BF269)</f>
        <v>0</v>
      </c>
      <c r="CE269" s="49">
        <f>SUM(BG269:BJ269)</f>
        <v>0</v>
      </c>
      <c r="CF269" s="49">
        <f>SUM(BK269:BN269)</f>
        <v>0</v>
      </c>
      <c r="CG269" s="3"/>
      <c r="CH269" s="3"/>
      <c r="CI269" s="3"/>
    </row>
    <row r="270" spans="1:87" ht="12.75" customHeight="1">
      <c r="A270" s="69" t="s">
        <v>87</v>
      </c>
      <c r="B270" s="34">
        <f t="shared" ref="B270:AU270" si="914">B269/B$213</f>
        <v>0</v>
      </c>
      <c r="C270" s="34">
        <f t="shared" si="914"/>
        <v>0</v>
      </c>
      <c r="D270" s="34">
        <f t="shared" si="914"/>
        <v>0</v>
      </c>
      <c r="E270" s="34">
        <f t="shared" si="914"/>
        <v>0</v>
      </c>
      <c r="F270" s="34">
        <f t="shared" si="914"/>
        <v>0</v>
      </c>
      <c r="G270" s="34">
        <f t="shared" si="914"/>
        <v>0</v>
      </c>
      <c r="H270" s="34">
        <f t="shared" si="914"/>
        <v>0</v>
      </c>
      <c r="I270" s="34">
        <f t="shared" si="914"/>
        <v>0</v>
      </c>
      <c r="J270" s="34">
        <f t="shared" si="914"/>
        <v>0.3253012048192771</v>
      </c>
      <c r="K270" s="34">
        <f t="shared" si="914"/>
        <v>0</v>
      </c>
      <c r="L270" s="34">
        <f t="shared" si="914"/>
        <v>0</v>
      </c>
      <c r="M270" s="34">
        <f t="shared" si="914"/>
        <v>0</v>
      </c>
      <c r="N270" s="34">
        <f t="shared" si="914"/>
        <v>0</v>
      </c>
      <c r="O270" s="34">
        <f t="shared" si="914"/>
        <v>0</v>
      </c>
      <c r="P270" s="34">
        <f t="shared" si="914"/>
        <v>0.49382716049382713</v>
      </c>
      <c r="Q270" s="34">
        <f t="shared" si="914"/>
        <v>0</v>
      </c>
      <c r="R270" s="34">
        <f t="shared" si="914"/>
        <v>9.1954022988505746E-2</v>
      </c>
      <c r="S270" s="34">
        <f t="shared" si="914"/>
        <v>-5.9523809523809521E-2</v>
      </c>
      <c r="T270" s="34">
        <f t="shared" si="914"/>
        <v>0</v>
      </c>
      <c r="U270" s="34">
        <f t="shared" si="914"/>
        <v>0</v>
      </c>
      <c r="V270" s="34">
        <f t="shared" si="914"/>
        <v>0</v>
      </c>
      <c r="W270" s="34">
        <f t="shared" si="914"/>
        <v>0</v>
      </c>
      <c r="X270" s="34">
        <f t="shared" si="914"/>
        <v>0</v>
      </c>
      <c r="Y270" s="34">
        <f t="shared" si="914"/>
        <v>0</v>
      </c>
      <c r="Z270" s="34">
        <f t="shared" si="914"/>
        <v>0</v>
      </c>
      <c r="AA270" s="34">
        <f t="shared" si="914"/>
        <v>0</v>
      </c>
      <c r="AB270" s="34">
        <f t="shared" si="914"/>
        <v>0</v>
      </c>
      <c r="AC270" s="34">
        <f t="shared" si="914"/>
        <v>0</v>
      </c>
      <c r="AD270" s="34">
        <f t="shared" si="914"/>
        <v>0</v>
      </c>
      <c r="AE270" s="34">
        <f t="shared" si="914"/>
        <v>0</v>
      </c>
      <c r="AF270" s="34">
        <f t="shared" si="914"/>
        <v>0</v>
      </c>
      <c r="AG270" s="34">
        <f t="shared" si="914"/>
        <v>0</v>
      </c>
      <c r="AH270" s="34">
        <f t="shared" si="914"/>
        <v>0</v>
      </c>
      <c r="AI270" s="34">
        <f t="shared" si="914"/>
        <v>0</v>
      </c>
      <c r="AJ270" s="34">
        <f t="shared" si="914"/>
        <v>0</v>
      </c>
      <c r="AK270" s="34">
        <f t="shared" si="914"/>
        <v>0</v>
      </c>
      <c r="AL270" s="34">
        <f t="shared" si="914"/>
        <v>0</v>
      </c>
      <c r="AM270" s="34">
        <f t="shared" si="914"/>
        <v>0</v>
      </c>
      <c r="AN270" s="34">
        <f t="shared" si="914"/>
        <v>0</v>
      </c>
      <c r="AO270" s="34">
        <f t="shared" si="914"/>
        <v>0</v>
      </c>
      <c r="AP270" s="34">
        <f t="shared" si="914"/>
        <v>0</v>
      </c>
      <c r="AQ270" s="34">
        <f t="shared" si="914"/>
        <v>0</v>
      </c>
      <c r="AR270" s="34">
        <f t="shared" si="914"/>
        <v>0</v>
      </c>
      <c r="AS270" s="34">
        <f t="shared" si="914"/>
        <v>0</v>
      </c>
      <c r="AT270" s="34">
        <f t="shared" si="914"/>
        <v>0</v>
      </c>
      <c r="AU270" s="34">
        <f t="shared" si="914"/>
        <v>0</v>
      </c>
      <c r="AV270" s="34">
        <f t="shared" ref="AV270" si="915">AV269/AV$213</f>
        <v>0</v>
      </c>
      <c r="AW270" s="1">
        <f>AS270</f>
        <v>0</v>
      </c>
      <c r="AX270" s="1">
        <f>AT270</f>
        <v>0</v>
      </c>
      <c r="AY270" s="1">
        <f t="shared" ref="AY270:BF270" si="916">AU270</f>
        <v>0</v>
      </c>
      <c r="AZ270" s="1">
        <f t="shared" si="916"/>
        <v>0</v>
      </c>
      <c r="BA270" s="1">
        <f t="shared" si="916"/>
        <v>0</v>
      </c>
      <c r="BB270" s="1">
        <f t="shared" si="916"/>
        <v>0</v>
      </c>
      <c r="BC270" s="1">
        <f t="shared" si="916"/>
        <v>0</v>
      </c>
      <c r="BD270" s="1">
        <f t="shared" si="916"/>
        <v>0</v>
      </c>
      <c r="BE270" s="1">
        <f t="shared" si="916"/>
        <v>0</v>
      </c>
      <c r="BF270" s="1">
        <f t="shared" si="916"/>
        <v>0</v>
      </c>
      <c r="BG270" s="1">
        <f t="shared" ref="BG270:BN270" si="917">BC270</f>
        <v>0</v>
      </c>
      <c r="BH270" s="1">
        <f t="shared" si="917"/>
        <v>0</v>
      </c>
      <c r="BI270" s="1">
        <f t="shared" si="917"/>
        <v>0</v>
      </c>
      <c r="BJ270" s="1">
        <f t="shared" si="917"/>
        <v>0</v>
      </c>
      <c r="BK270" s="1">
        <f t="shared" si="917"/>
        <v>0</v>
      </c>
      <c r="BL270" s="1">
        <f t="shared" si="917"/>
        <v>0</v>
      </c>
      <c r="BM270" s="1">
        <f t="shared" si="917"/>
        <v>0</v>
      </c>
      <c r="BN270" s="1">
        <f t="shared" si="917"/>
        <v>0</v>
      </c>
      <c r="BO270" s="40"/>
      <c r="BP270" s="35">
        <f t="shared" ref="BP270:CF270" si="918">BP269/BP$213</f>
        <v>5.128205128205128E-2</v>
      </c>
      <c r="BQ270" s="35">
        <f t="shared" si="918"/>
        <v>0</v>
      </c>
      <c r="BR270" s="35">
        <f t="shared" si="918"/>
        <v>8.598726114649681E-2</v>
      </c>
      <c r="BS270" s="35">
        <f t="shared" si="918"/>
        <v>0</v>
      </c>
      <c r="BT270" s="35">
        <f t="shared" si="918"/>
        <v>0.14545454545454545</v>
      </c>
      <c r="BU270" s="35">
        <f t="shared" si="918"/>
        <v>-1.3698630136986301E-2</v>
      </c>
      <c r="BV270" s="35">
        <f t="shared" si="918"/>
        <v>0</v>
      </c>
      <c r="BW270" s="35">
        <f t="shared" si="918"/>
        <v>0</v>
      </c>
      <c r="BX270" s="35">
        <f t="shared" si="918"/>
        <v>0</v>
      </c>
      <c r="BY270" s="35">
        <f t="shared" si="918"/>
        <v>0</v>
      </c>
      <c r="BZ270" s="35">
        <f t="shared" si="918"/>
        <v>0</v>
      </c>
      <c r="CA270" s="35">
        <f t="shared" si="918"/>
        <v>0</v>
      </c>
      <c r="CB270" s="35">
        <f t="shared" si="918"/>
        <v>0</v>
      </c>
      <c r="CC270" s="35">
        <f t="shared" si="918"/>
        <v>0</v>
      </c>
      <c r="CD270" s="35">
        <f t="shared" si="918"/>
        <v>0</v>
      </c>
      <c r="CE270" s="35">
        <f t="shared" si="918"/>
        <v>0</v>
      </c>
      <c r="CF270" s="35">
        <f t="shared" si="918"/>
        <v>0</v>
      </c>
    </row>
    <row r="271" spans="1:87" ht="12.75" customHeight="1">
      <c r="A271" s="69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40"/>
      <c r="BP271" s="35"/>
      <c r="BQ271" s="35"/>
      <c r="BR271" s="35"/>
      <c r="BS271" s="35"/>
      <c r="BT271" s="35"/>
      <c r="BU271" s="35"/>
      <c r="BV271" s="35"/>
      <c r="BW271" s="35"/>
      <c r="BX271" s="35"/>
      <c r="BY271" s="35"/>
      <c r="BZ271" s="35"/>
      <c r="CA271" s="35"/>
      <c r="CB271" s="241">
        <v>-294.35090840286756</v>
      </c>
      <c r="CC271" s="241">
        <v>-280.1207877666053</v>
      </c>
      <c r="CD271" s="241">
        <v>-262.74618580630465</v>
      </c>
      <c r="CE271" s="241">
        <v>-250.69714275398195</v>
      </c>
      <c r="CF271" s="241">
        <v>-239.17265048218275</v>
      </c>
      <c r="CG271" s="134"/>
      <c r="CH271" s="134"/>
      <c r="CI271" s="134"/>
    </row>
    <row r="272" spans="1:87" s="172" customFormat="1" ht="12.75" customHeight="1">
      <c r="A272" s="38" t="s">
        <v>384</v>
      </c>
      <c r="B272" s="195">
        <f t="shared" ref="B272:AG272" si="919">B273+B275+B277</f>
        <v>-19</v>
      </c>
      <c r="C272" s="195">
        <f t="shared" si="919"/>
        <v>-20</v>
      </c>
      <c r="D272" s="195">
        <f t="shared" si="919"/>
        <v>10</v>
      </c>
      <c r="E272" s="195">
        <f t="shared" si="919"/>
        <v>-18</v>
      </c>
      <c r="F272" s="195">
        <f t="shared" si="919"/>
        <v>-24</v>
      </c>
      <c r="G272" s="195">
        <f t="shared" si="919"/>
        <v>-18</v>
      </c>
      <c r="H272" s="195">
        <f t="shared" si="919"/>
        <v>-38</v>
      </c>
      <c r="I272" s="195">
        <f t="shared" si="919"/>
        <v>-14</v>
      </c>
      <c r="J272" s="195">
        <f t="shared" si="919"/>
        <v>-36</v>
      </c>
      <c r="K272" s="195">
        <f t="shared" si="919"/>
        <v>-2</v>
      </c>
      <c r="L272" s="195">
        <f t="shared" si="919"/>
        <v>-21</v>
      </c>
      <c r="M272" s="195">
        <f t="shared" si="919"/>
        <v>15</v>
      </c>
      <c r="N272" s="195">
        <f t="shared" si="919"/>
        <v>-51</v>
      </c>
      <c r="O272" s="195">
        <f t="shared" si="919"/>
        <v>-26</v>
      </c>
      <c r="P272" s="195">
        <f t="shared" si="919"/>
        <v>26</v>
      </c>
      <c r="Q272" s="195">
        <f t="shared" si="919"/>
        <v>-20</v>
      </c>
      <c r="R272" s="195">
        <f t="shared" si="919"/>
        <v>-21</v>
      </c>
      <c r="S272" s="195">
        <f t="shared" si="919"/>
        <v>-16</v>
      </c>
      <c r="T272" s="195">
        <f t="shared" si="919"/>
        <v>-15</v>
      </c>
      <c r="U272" s="195">
        <f t="shared" si="919"/>
        <v>-16</v>
      </c>
      <c r="V272" s="195">
        <f t="shared" si="919"/>
        <v>-16</v>
      </c>
      <c r="W272" s="195">
        <f t="shared" si="919"/>
        <v>-13</v>
      </c>
      <c r="X272" s="195">
        <f t="shared" si="919"/>
        <v>-14</v>
      </c>
      <c r="Y272" s="195">
        <f t="shared" si="919"/>
        <v>-14</v>
      </c>
      <c r="Z272" s="195">
        <f t="shared" si="919"/>
        <v>-13</v>
      </c>
      <c r="AA272" s="195">
        <f t="shared" si="919"/>
        <v>-15</v>
      </c>
      <c r="AB272" s="195">
        <f t="shared" si="919"/>
        <v>-13</v>
      </c>
      <c r="AC272" s="195">
        <f t="shared" si="919"/>
        <v>-20</v>
      </c>
      <c r="AD272" s="195">
        <f t="shared" si="919"/>
        <v>-1</v>
      </c>
      <c r="AE272" s="195">
        <f t="shared" si="919"/>
        <v>-1</v>
      </c>
      <c r="AF272" s="195">
        <f t="shared" si="919"/>
        <v>-2</v>
      </c>
      <c r="AG272" s="195">
        <f t="shared" si="919"/>
        <v>-1</v>
      </c>
      <c r="AH272" s="195">
        <f t="shared" ref="AH272:BM272" si="920">AH273+AH275+AH277</f>
        <v>-6.1602522615384618</v>
      </c>
      <c r="AI272" s="195">
        <f t="shared" si="920"/>
        <v>-7</v>
      </c>
      <c r="AJ272" s="195">
        <f t="shared" si="920"/>
        <v>-9</v>
      </c>
      <c r="AK272" s="195">
        <f t="shared" si="920"/>
        <v>-8</v>
      </c>
      <c r="AL272" s="195">
        <f t="shared" si="920"/>
        <v>-17</v>
      </c>
      <c r="AM272" s="195">
        <f t="shared" si="920"/>
        <v>-8</v>
      </c>
      <c r="AN272" s="195">
        <f t="shared" si="920"/>
        <v>-10</v>
      </c>
      <c r="AO272" s="195">
        <f t="shared" si="920"/>
        <v>-12</v>
      </c>
      <c r="AP272" s="195">
        <f t="shared" si="920"/>
        <v>-9</v>
      </c>
      <c r="AQ272" s="195">
        <f t="shared" si="920"/>
        <v>-5</v>
      </c>
      <c r="AR272" s="195">
        <f t="shared" si="920"/>
        <v>-6</v>
      </c>
      <c r="AS272" s="195">
        <f t="shared" si="920"/>
        <v>-5</v>
      </c>
      <c r="AT272" s="195">
        <f t="shared" si="920"/>
        <v>-18</v>
      </c>
      <c r="AU272" s="195">
        <f t="shared" si="920"/>
        <v>-62</v>
      </c>
      <c r="AV272" s="195">
        <f t="shared" ref="AV272" si="921">AV273+AV275+AV277</f>
        <v>-52</v>
      </c>
      <c r="AW272" s="195">
        <f t="shared" si="920"/>
        <v>-82.074619356435647</v>
      </c>
      <c r="AX272" s="195">
        <f t="shared" si="920"/>
        <v>-61.702300452852022</v>
      </c>
      <c r="AY272" s="195">
        <f t="shared" si="920"/>
        <v>-57.297446565843643</v>
      </c>
      <c r="AZ272" s="195">
        <f t="shared" si="920"/>
        <v>-67.966273081474014</v>
      </c>
      <c r="BA272" s="195">
        <f t="shared" si="920"/>
        <v>-76.880553434495042</v>
      </c>
      <c r="BB272" s="195">
        <f t="shared" si="920"/>
        <v>-34.85585577590706</v>
      </c>
      <c r="BC272" s="195">
        <f t="shared" si="920"/>
        <v>-33.460776377344317</v>
      </c>
      <c r="BD272" s="195">
        <f t="shared" si="920"/>
        <v>-34.857121270836643</v>
      </c>
      <c r="BE272" s="195">
        <f t="shared" si="920"/>
        <v>-35.709036713884345</v>
      </c>
      <c r="BF272" s="195">
        <f t="shared" si="920"/>
        <v>-31.27823808220824</v>
      </c>
      <c r="BG272" s="195">
        <f t="shared" si="920"/>
        <v>-30.011489768459736</v>
      </c>
      <c r="BH272" s="195">
        <f t="shared" si="920"/>
        <v>-32.778729852848521</v>
      </c>
      <c r="BI272" s="195">
        <f t="shared" si="920"/>
        <v>-32.926417777310185</v>
      </c>
      <c r="BJ272" s="195">
        <f t="shared" si="920"/>
        <v>-28.304971620528335</v>
      </c>
      <c r="BK272" s="195">
        <f t="shared" si="920"/>
        <v>-27.103968628124491</v>
      </c>
      <c r="BL272" s="195">
        <f t="shared" si="920"/>
        <v>-28.949767326533319</v>
      </c>
      <c r="BM272" s="195">
        <f t="shared" si="920"/>
        <v>-30.192246217858184</v>
      </c>
      <c r="BN272" s="195">
        <f t="shared" ref="BN272" si="922">BN273+BN275+BN277</f>
        <v>-25.676741138767881</v>
      </c>
      <c r="BO272" s="196"/>
      <c r="BP272" s="30">
        <f t="shared" ref="BP272:CF272" si="923">BP273+BP275+BP277</f>
        <v>-65</v>
      </c>
      <c r="BQ272" s="30">
        <f t="shared" si="923"/>
        <v>-52</v>
      </c>
      <c r="BR272" s="30">
        <f t="shared" si="923"/>
        <v>-106</v>
      </c>
      <c r="BS272" s="30">
        <f t="shared" si="923"/>
        <v>-59</v>
      </c>
      <c r="BT272" s="30">
        <f t="shared" si="923"/>
        <v>-41</v>
      </c>
      <c r="BU272" s="30">
        <f t="shared" si="923"/>
        <v>-63</v>
      </c>
      <c r="BV272" s="30">
        <f t="shared" si="923"/>
        <v>-54</v>
      </c>
      <c r="BW272" s="30">
        <f t="shared" si="923"/>
        <v>-49</v>
      </c>
      <c r="BX272" s="30">
        <f t="shared" si="923"/>
        <v>-10.160252261538462</v>
      </c>
      <c r="BY272" s="30">
        <f t="shared" si="923"/>
        <v>-41</v>
      </c>
      <c r="BZ272" s="30">
        <f t="shared" si="923"/>
        <v>-39</v>
      </c>
      <c r="CA272" s="30">
        <f t="shared" si="923"/>
        <v>-34</v>
      </c>
      <c r="CB272" s="30">
        <f t="shared" si="923"/>
        <v>-257.77691980928768</v>
      </c>
      <c r="CC272" s="30">
        <f t="shared" si="923"/>
        <v>-237.00012885771977</v>
      </c>
      <c r="CD272" s="30">
        <f t="shared" si="923"/>
        <v>-135.30517244427355</v>
      </c>
      <c r="CE272" s="30">
        <f t="shared" si="923"/>
        <v>-124.02160901914678</v>
      </c>
      <c r="CF272" s="30">
        <f t="shared" si="923"/>
        <v>-111.92272331128387</v>
      </c>
      <c r="CG272" s="43"/>
      <c r="CH272" s="43"/>
      <c r="CI272" s="43"/>
    </row>
    <row r="273" spans="1:87" s="50" customFormat="1" ht="12.75" customHeight="1">
      <c r="A273" s="42" t="s">
        <v>121</v>
      </c>
      <c r="B273" s="26">
        <v>-2</v>
      </c>
      <c r="C273" s="26">
        <v>-3</v>
      </c>
      <c r="D273" s="26">
        <v>-3</v>
      </c>
      <c r="E273" s="26">
        <v>-3</v>
      </c>
      <c r="F273" s="26">
        <v>-3</v>
      </c>
      <c r="G273" s="26">
        <v>-3</v>
      </c>
      <c r="H273" s="26">
        <v>-8</v>
      </c>
      <c r="I273" s="26">
        <v>-14</v>
      </c>
      <c r="J273" s="26">
        <v>-27</v>
      </c>
      <c r="K273" s="26">
        <v>-15</v>
      </c>
      <c r="L273" s="26">
        <v>-14</v>
      </c>
      <c r="M273" s="26">
        <v>-23</v>
      </c>
      <c r="N273" s="26">
        <v>-41</v>
      </c>
      <c r="O273" s="26">
        <v>-15</v>
      </c>
      <c r="P273" s="26">
        <v>-14</v>
      </c>
      <c r="Q273" s="26">
        <v>-16</v>
      </c>
      <c r="R273" s="26">
        <v>-15</v>
      </c>
      <c r="S273" s="26">
        <v>-14</v>
      </c>
      <c r="T273" s="26">
        <v>-12</v>
      </c>
      <c r="U273" s="26">
        <v>-12</v>
      </c>
      <c r="V273" s="26">
        <v>-14</v>
      </c>
      <c r="W273" s="26">
        <v>-12</v>
      </c>
      <c r="X273" s="26">
        <v>-11</v>
      </c>
      <c r="Y273" s="26">
        <v>-12</v>
      </c>
      <c r="Z273" s="26">
        <v>-12</v>
      </c>
      <c r="AA273" s="26">
        <v>-13</v>
      </c>
      <c r="AB273" s="47">
        <v>-12</v>
      </c>
      <c r="AC273" s="47">
        <v>-18</v>
      </c>
      <c r="AD273" s="47">
        <v>0</v>
      </c>
      <c r="AE273" s="47">
        <v>0</v>
      </c>
      <c r="AF273" s="47">
        <v>0</v>
      </c>
      <c r="AG273" s="47">
        <v>0</v>
      </c>
      <c r="AH273" s="47">
        <v>-1.1602522615384618</v>
      </c>
      <c r="AI273" s="47">
        <v>-1</v>
      </c>
      <c r="AJ273" s="47">
        <v>-1</v>
      </c>
      <c r="AK273" s="47">
        <v>-1</v>
      </c>
      <c r="AL273" s="47">
        <v>-1</v>
      </c>
      <c r="AM273" s="47">
        <v>-2</v>
      </c>
      <c r="AN273" s="47">
        <v>-2</v>
      </c>
      <c r="AO273" s="47">
        <v>-5</v>
      </c>
      <c r="AP273" s="47">
        <v>-3</v>
      </c>
      <c r="AQ273" s="47">
        <v>0</v>
      </c>
      <c r="AR273" s="47">
        <v>0</v>
      </c>
      <c r="AS273" s="47">
        <v>0</v>
      </c>
      <c r="AT273" s="47">
        <v>-4</v>
      </c>
      <c r="AU273" s="47">
        <v>-22</v>
      </c>
      <c r="AV273" s="47">
        <v>-22</v>
      </c>
      <c r="AW273" s="187">
        <f t="shared" ref="AW273:BN273" si="924">AW274*AW$211</f>
        <v>-46.431055000000015</v>
      </c>
      <c r="AX273" s="187">
        <f t="shared" si="924"/>
        <v>-27.235091355704689</v>
      </c>
      <c r="AY273" s="187">
        <f t="shared" si="924"/>
        <v>-23.967769122067509</v>
      </c>
      <c r="AZ273" s="187">
        <f t="shared" si="924"/>
        <v>-35.736584992277955</v>
      </c>
      <c r="BA273" s="187">
        <f t="shared" si="924"/>
        <v>-45.714551420850007</v>
      </c>
      <c r="BB273" s="187">
        <f t="shared" si="924"/>
        <v>-4.7184346868047635</v>
      </c>
      <c r="BC273" s="187">
        <f t="shared" si="924"/>
        <v>-4.3179896476183339</v>
      </c>
      <c r="BD273" s="187">
        <f t="shared" si="924"/>
        <v>-6.6761426840059137</v>
      </c>
      <c r="BE273" s="187">
        <f t="shared" si="924"/>
        <v>-8.4581234269490171</v>
      </c>
      <c r="BF273" s="187">
        <f t="shared" si="924"/>
        <v>-4.9266948707493272</v>
      </c>
      <c r="BG273" s="187">
        <f t="shared" si="924"/>
        <v>-4.5296344517684419</v>
      </c>
      <c r="BH273" s="187">
        <f t="shared" si="924"/>
        <v>-8.1378598601404377</v>
      </c>
      <c r="BI273" s="187">
        <f t="shared" si="924"/>
        <v>-9.0987778173647467</v>
      </c>
      <c r="BJ273" s="187">
        <f t="shared" si="924"/>
        <v>-5.2637224183368687</v>
      </c>
      <c r="BK273" s="187">
        <f t="shared" si="924"/>
        <v>-4.8231566933320833</v>
      </c>
      <c r="BL273" s="187">
        <f t="shared" si="924"/>
        <v>-7.4042957196218513</v>
      </c>
      <c r="BM273" s="187">
        <f t="shared" si="924"/>
        <v>-9.3578462811418159</v>
      </c>
      <c r="BN273" s="187">
        <f t="shared" si="924"/>
        <v>-5.5299451603589791</v>
      </c>
      <c r="BO273" s="49"/>
      <c r="BP273" s="44">
        <v>-10</v>
      </c>
      <c r="BQ273" s="161">
        <f>SUM(C273:F273)</f>
        <v>-12</v>
      </c>
      <c r="BR273" s="161">
        <f>SUM(G273:J273)</f>
        <v>-52</v>
      </c>
      <c r="BS273" s="161">
        <f>SUM(K273:N273)</f>
        <v>-93</v>
      </c>
      <c r="BT273" s="161">
        <f>SUM(O273:R273)</f>
        <v>-60</v>
      </c>
      <c r="BU273" s="161">
        <f>SUM(S273:V273)</f>
        <v>-52</v>
      </c>
      <c r="BV273" s="161">
        <f>SUM(W273:Z273)</f>
        <v>-47</v>
      </c>
      <c r="BW273" s="161">
        <f>SUM(AA273:AD273)</f>
        <v>-43</v>
      </c>
      <c r="BX273" s="161">
        <f>SUM(AE273:AH273)</f>
        <v>-1.1602522615384618</v>
      </c>
      <c r="BY273" s="161">
        <f>SUM(AI273:AL273)</f>
        <v>-4</v>
      </c>
      <c r="BZ273" s="49">
        <f>SUM(AM273:AP273)</f>
        <v>-12</v>
      </c>
      <c r="CA273" s="49">
        <f>SUM(AQ273:AT273)</f>
        <v>-4</v>
      </c>
      <c r="CB273" s="49">
        <f>SUM(AU273:AX273)</f>
        <v>-117.66614635570471</v>
      </c>
      <c r="CC273" s="49">
        <f>SUM(AY273:BB273)</f>
        <v>-110.13734022200025</v>
      </c>
      <c r="CD273" s="49">
        <f>SUM(BC273:BF273)</f>
        <v>-24.378950629322592</v>
      </c>
      <c r="CE273" s="49">
        <f>SUM(BG273:BJ273)</f>
        <v>-27.029994547610492</v>
      </c>
      <c r="CF273" s="49">
        <f>SUM(BK273:BN273)</f>
        <v>-27.115243854454725</v>
      </c>
      <c r="CG273" s="3"/>
      <c r="CH273" s="3"/>
      <c r="CI273" s="3"/>
    </row>
    <row r="274" spans="1:87" ht="12.75" customHeight="1">
      <c r="A274" s="73" t="s">
        <v>122</v>
      </c>
      <c r="B274" s="34">
        <f t="shared" ref="B274:AV274" si="925">B273/B$211</f>
        <v>6.7567567567567571E-3</v>
      </c>
      <c r="C274" s="34">
        <f t="shared" si="925"/>
        <v>1.3761467889908258E-2</v>
      </c>
      <c r="D274" s="34">
        <f t="shared" si="925"/>
        <v>8.3102493074792248E-3</v>
      </c>
      <c r="E274" s="34">
        <f t="shared" si="925"/>
        <v>5.1546391752577319E-3</v>
      </c>
      <c r="F274" s="34">
        <f t="shared" si="925"/>
        <v>9.2307692307692316E-3</v>
      </c>
      <c r="G274" s="34">
        <f t="shared" si="925"/>
        <v>1.2711864406779662E-2</v>
      </c>
      <c r="H274" s="34">
        <f t="shared" si="925"/>
        <v>1.8867924528301886E-2</v>
      </c>
      <c r="I274" s="34">
        <f t="shared" si="925"/>
        <v>2.6022304832713755E-2</v>
      </c>
      <c r="J274" s="34">
        <f t="shared" si="925"/>
        <v>7.8034682080924858E-2</v>
      </c>
      <c r="K274" s="34">
        <f t="shared" si="925"/>
        <v>7.9365079365079361E-2</v>
      </c>
      <c r="L274" s="34">
        <f t="shared" si="925"/>
        <v>3.248259860788863E-2</v>
      </c>
      <c r="M274" s="34">
        <f t="shared" si="925"/>
        <v>5.6650246305418719E-2</v>
      </c>
      <c r="N274" s="34">
        <f t="shared" si="925"/>
        <v>0.15355805243445692</v>
      </c>
      <c r="O274" s="34">
        <f t="shared" si="925"/>
        <v>8.3798882681564241E-2</v>
      </c>
      <c r="P274" s="34">
        <f t="shared" si="925"/>
        <v>3.5175879396984924E-2</v>
      </c>
      <c r="Q274" s="34">
        <f t="shared" si="925"/>
        <v>3.1936127744510975E-2</v>
      </c>
      <c r="R274" s="34">
        <f t="shared" si="925"/>
        <v>7.2463768115942032E-2</v>
      </c>
      <c r="S274" s="34">
        <f t="shared" si="925"/>
        <v>6.0606060606060608E-2</v>
      </c>
      <c r="T274" s="34">
        <f t="shared" si="925"/>
        <v>2.8985507246376812E-2</v>
      </c>
      <c r="U274" s="34">
        <f t="shared" si="925"/>
        <v>3.0927835051546393E-2</v>
      </c>
      <c r="V274" s="34">
        <f t="shared" si="925"/>
        <v>6.363636363636363E-2</v>
      </c>
      <c r="W274" s="34">
        <f t="shared" si="925"/>
        <v>7.4534161490683232E-2</v>
      </c>
      <c r="X274" s="34">
        <f t="shared" si="925"/>
        <v>2.7707808564231738E-2</v>
      </c>
      <c r="Y274" s="34">
        <f t="shared" si="925"/>
        <v>2.247191011235955E-2</v>
      </c>
      <c r="Z274" s="34">
        <f t="shared" si="925"/>
        <v>5.6338028169014086E-2</v>
      </c>
      <c r="AA274" s="34">
        <f t="shared" si="925"/>
        <v>7.8787878787878782E-2</v>
      </c>
      <c r="AB274" s="34">
        <f t="shared" si="925"/>
        <v>3.0927835051546393E-2</v>
      </c>
      <c r="AC274" s="34">
        <f t="shared" si="925"/>
        <v>3.614457831325301E-2</v>
      </c>
      <c r="AD274" s="34">
        <f t="shared" si="925"/>
        <v>0</v>
      </c>
      <c r="AE274" s="34">
        <f t="shared" si="925"/>
        <v>0</v>
      </c>
      <c r="AF274" s="34">
        <f t="shared" si="925"/>
        <v>0</v>
      </c>
      <c r="AG274" s="34">
        <f t="shared" si="925"/>
        <v>0</v>
      </c>
      <c r="AH274" s="34">
        <f t="shared" si="925"/>
        <v>5.0262239189977484E-3</v>
      </c>
      <c r="AI274" s="34">
        <f t="shared" si="925"/>
        <v>6.0975609756097563E-3</v>
      </c>
      <c r="AJ274" s="34">
        <f t="shared" si="925"/>
        <v>2.6881720430107529E-3</v>
      </c>
      <c r="AK274" s="34">
        <f t="shared" si="925"/>
        <v>2.7548209366391185E-3</v>
      </c>
      <c r="AL274" s="34">
        <f t="shared" si="925"/>
        <v>4.4052863436123352E-3</v>
      </c>
      <c r="AM274" s="34">
        <f t="shared" si="925"/>
        <v>1.3793103448275862E-2</v>
      </c>
      <c r="AN274" s="34">
        <f t="shared" si="925"/>
        <v>5.4644808743169399E-3</v>
      </c>
      <c r="AO274" s="34">
        <f t="shared" si="925"/>
        <v>1.0893246187363835E-2</v>
      </c>
      <c r="AP274" s="34">
        <f t="shared" si="925"/>
        <v>1.3513513513513514E-2</v>
      </c>
      <c r="AQ274" s="34">
        <f t="shared" si="925"/>
        <v>0</v>
      </c>
      <c r="AR274" s="34">
        <f t="shared" si="925"/>
        <v>0</v>
      </c>
      <c r="AS274" s="34">
        <f t="shared" si="925"/>
        <v>0</v>
      </c>
      <c r="AT274" s="34">
        <f t="shared" si="925"/>
        <v>1.2738853503184714E-2</v>
      </c>
      <c r="AU274" s="34">
        <f t="shared" si="925"/>
        <v>7.5342465753424653E-2</v>
      </c>
      <c r="AV274" s="34">
        <f t="shared" si="925"/>
        <v>4.6808510638297871E-2</v>
      </c>
      <c r="AW274" s="1">
        <v>0.08</v>
      </c>
      <c r="AX274" s="1">
        <v>7.1999999999999995E-2</v>
      </c>
      <c r="AY274" s="1">
        <f>AX274</f>
        <v>7.1999999999999995E-2</v>
      </c>
      <c r="AZ274" s="1">
        <f t="shared" ref="AZ274:BA274" si="926">AY274</f>
        <v>7.1999999999999995E-2</v>
      </c>
      <c r="BA274" s="1">
        <f t="shared" si="926"/>
        <v>7.1999999999999995E-2</v>
      </c>
      <c r="BB274" s="1">
        <v>1.2999999999999999E-2</v>
      </c>
      <c r="BC274" s="1">
        <v>1.2999999999999999E-2</v>
      </c>
      <c r="BD274" s="1">
        <v>1.2999999999999999E-2</v>
      </c>
      <c r="BE274" s="1">
        <v>1.2999999999999999E-2</v>
      </c>
      <c r="BF274" s="1">
        <v>1.2999999999999999E-2</v>
      </c>
      <c r="BG274" s="1">
        <v>1.2999999999999999E-2</v>
      </c>
      <c r="BH274" s="1">
        <v>1.2999999999999999E-2</v>
      </c>
      <c r="BI274" s="1">
        <v>1.2999999999999999E-2</v>
      </c>
      <c r="BJ274" s="1">
        <v>1.2999999999999999E-2</v>
      </c>
      <c r="BK274" s="1">
        <v>1.2999999999999999E-2</v>
      </c>
      <c r="BL274" s="1">
        <v>1.2999999999999999E-2</v>
      </c>
      <c r="BM274" s="1">
        <v>1.2999999999999999E-2</v>
      </c>
      <c r="BN274" s="1">
        <v>1.2999999999999999E-2</v>
      </c>
      <c r="BO274" s="1"/>
      <c r="BP274" s="35">
        <f t="shared" ref="BP274:CF274" si="927">BP273/BP$211</f>
        <v>5.3850296176628969E-3</v>
      </c>
      <c r="BQ274" s="35">
        <f t="shared" si="927"/>
        <v>8.0753701211305519E-3</v>
      </c>
      <c r="BR274" s="35">
        <f t="shared" si="927"/>
        <v>3.367875647668394E-2</v>
      </c>
      <c r="BS274" s="35">
        <f t="shared" si="927"/>
        <v>7.1925754060324823E-2</v>
      </c>
      <c r="BT274" s="35">
        <f t="shared" si="927"/>
        <v>4.6692607003891051E-2</v>
      </c>
      <c r="BU274" s="35">
        <f t="shared" si="927"/>
        <v>4.1500399042298484E-2</v>
      </c>
      <c r="BV274" s="35">
        <f t="shared" si="927"/>
        <v>3.6015325670498081E-2</v>
      </c>
      <c r="BW274" s="35">
        <f t="shared" si="927"/>
        <v>3.4345047923322686E-2</v>
      </c>
      <c r="BX274" s="35">
        <f t="shared" si="927"/>
        <v>9.1154622064557511E-4</v>
      </c>
      <c r="BY274" s="35">
        <f t="shared" si="927"/>
        <v>3.552397868561279E-3</v>
      </c>
      <c r="BZ274" s="35">
        <f t="shared" si="927"/>
        <v>1.0067114093959731E-2</v>
      </c>
      <c r="CA274" s="35">
        <f t="shared" si="927"/>
        <v>2.6936026936026937E-3</v>
      </c>
      <c r="CB274" s="35">
        <f t="shared" si="927"/>
        <v>6.8384574198348244E-2</v>
      </c>
      <c r="CC274" s="35">
        <f t="shared" si="927"/>
        <v>6.0279601106985534E-2</v>
      </c>
      <c r="CD274" s="35">
        <f t="shared" si="927"/>
        <v>1.2999999999999999E-2</v>
      </c>
      <c r="CE274" s="35">
        <f t="shared" si="927"/>
        <v>1.2999999999999999E-2</v>
      </c>
      <c r="CF274" s="35">
        <f t="shared" si="927"/>
        <v>1.2999999999999999E-2</v>
      </c>
      <c r="CG274" s="43"/>
      <c r="CH274" s="43"/>
      <c r="CI274" s="43"/>
    </row>
    <row r="275" spans="1:87" s="50" customFormat="1" ht="12.75" customHeight="1">
      <c r="A275" s="42" t="s">
        <v>113</v>
      </c>
      <c r="B275" s="187">
        <f t="shared" ref="B275:AV275" si="928">B179</f>
        <v>-15</v>
      </c>
      <c r="C275" s="187">
        <f t="shared" si="928"/>
        <v>-15</v>
      </c>
      <c r="D275" s="187">
        <f t="shared" si="928"/>
        <v>-15</v>
      </c>
      <c r="E275" s="187">
        <f t="shared" si="928"/>
        <v>-14</v>
      </c>
      <c r="F275" s="187">
        <f t="shared" si="928"/>
        <v>-13</v>
      </c>
      <c r="G275" s="187">
        <f t="shared" si="928"/>
        <v>-13</v>
      </c>
      <c r="H275" s="187">
        <f t="shared" si="928"/>
        <v>-13</v>
      </c>
      <c r="I275" s="187">
        <f t="shared" si="928"/>
        <v>-11</v>
      </c>
      <c r="J275" s="187">
        <f t="shared" si="928"/>
        <v>-6</v>
      </c>
      <c r="K275" s="187">
        <f t="shared" si="928"/>
        <v>-7</v>
      </c>
      <c r="L275" s="187">
        <f t="shared" si="928"/>
        <v>-7</v>
      </c>
      <c r="M275" s="187">
        <f t="shared" si="928"/>
        <v>-7</v>
      </c>
      <c r="N275" s="187">
        <f t="shared" si="928"/>
        <v>-9</v>
      </c>
      <c r="O275" s="187">
        <f t="shared" si="928"/>
        <v>-4</v>
      </c>
      <c r="P275" s="187">
        <f t="shared" si="928"/>
        <v>-4</v>
      </c>
      <c r="Q275" s="187">
        <f t="shared" si="928"/>
        <v>-4</v>
      </c>
      <c r="R275" s="187">
        <f t="shared" si="928"/>
        <v>-4</v>
      </c>
      <c r="S275" s="187">
        <f t="shared" si="928"/>
        <v>-3</v>
      </c>
      <c r="T275" s="187">
        <f t="shared" si="928"/>
        <v>-4</v>
      </c>
      <c r="U275" s="187">
        <f t="shared" si="928"/>
        <v>-4</v>
      </c>
      <c r="V275" s="187">
        <f t="shared" si="928"/>
        <v>-3</v>
      </c>
      <c r="W275" s="187">
        <f t="shared" si="928"/>
        <v>-1</v>
      </c>
      <c r="X275" s="187">
        <f t="shared" si="928"/>
        <v>-3</v>
      </c>
      <c r="Y275" s="187">
        <f t="shared" si="928"/>
        <v>-2</v>
      </c>
      <c r="Z275" s="187">
        <f t="shared" si="928"/>
        <v>-1</v>
      </c>
      <c r="AA275" s="187">
        <f t="shared" si="928"/>
        <v>-2</v>
      </c>
      <c r="AB275" s="187">
        <f t="shared" si="928"/>
        <v>-1</v>
      </c>
      <c r="AC275" s="187">
        <f t="shared" si="928"/>
        <v>-2</v>
      </c>
      <c r="AD275" s="187">
        <f t="shared" si="928"/>
        <v>-1</v>
      </c>
      <c r="AE275" s="187">
        <f t="shared" si="928"/>
        <v>-1</v>
      </c>
      <c r="AF275" s="187">
        <f t="shared" si="928"/>
        <v>-2</v>
      </c>
      <c r="AG275" s="187">
        <f t="shared" si="928"/>
        <v>-1</v>
      </c>
      <c r="AH275" s="187">
        <f t="shared" si="928"/>
        <v>-5</v>
      </c>
      <c r="AI275" s="187">
        <f t="shared" si="928"/>
        <v>-6</v>
      </c>
      <c r="AJ275" s="187">
        <f t="shared" si="928"/>
        <v>-6</v>
      </c>
      <c r="AK275" s="187">
        <f t="shared" si="928"/>
        <v>-6</v>
      </c>
      <c r="AL275" s="187">
        <f t="shared" si="928"/>
        <v>-5</v>
      </c>
      <c r="AM275" s="187">
        <f t="shared" si="928"/>
        <v>-5</v>
      </c>
      <c r="AN275" s="187">
        <f t="shared" si="928"/>
        <v>-6</v>
      </c>
      <c r="AO275" s="187">
        <f t="shared" si="928"/>
        <v>-5</v>
      </c>
      <c r="AP275" s="187">
        <f t="shared" si="928"/>
        <v>-6</v>
      </c>
      <c r="AQ275" s="187">
        <f t="shared" si="928"/>
        <v>-5</v>
      </c>
      <c r="AR275" s="187">
        <f t="shared" si="928"/>
        <v>-6</v>
      </c>
      <c r="AS275" s="187">
        <f t="shared" si="928"/>
        <v>-5</v>
      </c>
      <c r="AT275" s="187">
        <f t="shared" si="928"/>
        <v>-14</v>
      </c>
      <c r="AU275" s="187">
        <f t="shared" si="928"/>
        <v>-40</v>
      </c>
      <c r="AV275" s="187">
        <f t="shared" si="928"/>
        <v>-30</v>
      </c>
      <c r="AW275" s="187">
        <f>AW276*BS!AV18</f>
        <v>-35.64356435643564</v>
      </c>
      <c r="AX275" s="187">
        <f>AX276*BS!AW18</f>
        <v>-34.467209097147332</v>
      </c>
      <c r="AY275" s="187">
        <f>AY276*BS!AX18</f>
        <v>-33.329677443776134</v>
      </c>
      <c r="AZ275" s="187">
        <f>AZ276*BS!AY18</f>
        <v>-32.22968808919606</v>
      </c>
      <c r="BA275" s="187">
        <f>BA276*BS!AZ18</f>
        <v>-31.166002013645034</v>
      </c>
      <c r="BB275" s="187">
        <f>BB276*BS!BA18</f>
        <v>-30.137421089102293</v>
      </c>
      <c r="BC275" s="187">
        <f>BC276*BS!BB18</f>
        <v>-29.14278672972598</v>
      </c>
      <c r="BD275" s="187">
        <f>BD276*BS!BC18</f>
        <v>-28.180978586830733</v>
      </c>
      <c r="BE275" s="187">
        <f>BE276*BS!BD18</f>
        <v>-27.250913286935326</v>
      </c>
      <c r="BF275" s="187">
        <f>BF276*BS!BE18</f>
        <v>-26.351543211458914</v>
      </c>
      <c r="BG275" s="187">
        <f>BG276*BS!BF18</f>
        <v>-25.481855316691295</v>
      </c>
      <c r="BH275" s="187">
        <f>BH276*BS!BG18</f>
        <v>-24.640869992708083</v>
      </c>
      <c r="BI275" s="187">
        <f>BI276*BS!BH18</f>
        <v>-23.82763995994544</v>
      </c>
      <c r="BJ275" s="187">
        <f>BJ276*BS!BI18</f>
        <v>-23.041249202191466</v>
      </c>
      <c r="BK275" s="187">
        <f>BK276*BS!BJ18</f>
        <v>-22.280811934792407</v>
      </c>
      <c r="BL275" s="187">
        <f>BL276*BS!BK18</f>
        <v>-21.54547160691147</v>
      </c>
      <c r="BM275" s="187">
        <f>BM276*BS!BL18</f>
        <v>-20.83439993671637</v>
      </c>
      <c r="BN275" s="187">
        <f>BN276*BS!BM18</f>
        <v>-20.1467959784089</v>
      </c>
      <c r="BO275" s="49"/>
      <c r="BP275" s="44">
        <v>-53</v>
      </c>
      <c r="BQ275" s="161">
        <f>SUM(C275:F275)</f>
        <v>-57</v>
      </c>
      <c r="BR275" s="161">
        <f>SUM(G275:J275)</f>
        <v>-43</v>
      </c>
      <c r="BS275" s="161">
        <f>SUM(K275:N275)</f>
        <v>-30</v>
      </c>
      <c r="BT275" s="161">
        <f>SUM(O275:R275)</f>
        <v>-16</v>
      </c>
      <c r="BU275" s="161">
        <f>SUM(S275:V275)</f>
        <v>-14</v>
      </c>
      <c r="BV275" s="161">
        <f>SUM(W275:Z275)</f>
        <v>-7</v>
      </c>
      <c r="BW275" s="161">
        <f>SUM(AA275:AD275)</f>
        <v>-6</v>
      </c>
      <c r="BX275" s="161">
        <f>SUM(AE275:AH275)</f>
        <v>-9</v>
      </c>
      <c r="BY275" s="161">
        <f>SUM(AI275:AL275)</f>
        <v>-23</v>
      </c>
      <c r="BZ275" s="49">
        <f>SUM(AM275:AP275)</f>
        <v>-22</v>
      </c>
      <c r="CA275" s="49">
        <f>SUM(AQ275:AT275)</f>
        <v>-30</v>
      </c>
      <c r="CB275" s="49">
        <f>SUM(AU275:AX275)</f>
        <v>-140.11077345358296</v>
      </c>
      <c r="CC275" s="49">
        <f>SUM(AY275:BB275)</f>
        <v>-126.86278863571953</v>
      </c>
      <c r="CD275" s="49">
        <f>SUM(BC275:BF275)</f>
        <v>-110.92622181495096</v>
      </c>
      <c r="CE275" s="49">
        <f>SUM(BG275:BJ275)</f>
        <v>-96.99161447153628</v>
      </c>
      <c r="CF275" s="49">
        <f>SUM(BK275:BN275)</f>
        <v>-84.807479456829142</v>
      </c>
      <c r="CG275" s="3"/>
      <c r="CH275" s="3"/>
      <c r="CI275" s="3"/>
    </row>
    <row r="276" spans="1:87" ht="12.75" customHeight="1">
      <c r="A276" s="73" t="s">
        <v>151</v>
      </c>
      <c r="B276" s="34" t="s">
        <v>17</v>
      </c>
      <c r="C276" s="34">
        <f>C275/BS!B18</f>
        <v>-7.3529411764705885E-2</v>
      </c>
      <c r="D276" s="34">
        <f>D275/BS!C18</f>
        <v>-8.1081081081081086E-2</v>
      </c>
      <c r="E276" s="34">
        <f>E275/BS!D18</f>
        <v>-8.3333333333333329E-2</v>
      </c>
      <c r="F276" s="34">
        <f>F275/BS!E18</f>
        <v>-8.1250000000000003E-2</v>
      </c>
      <c r="G276" s="34">
        <f>G275/BS!F18</f>
        <v>-9.0277777777777776E-2</v>
      </c>
      <c r="H276" s="34">
        <f>H275/BS!G18</f>
        <v>-9.7014925373134331E-2</v>
      </c>
      <c r="I276" s="34">
        <f>I275/BS!H18</f>
        <v>-2.6442307692307692E-2</v>
      </c>
      <c r="J276" s="34">
        <f>J275/BS!I18</f>
        <v>-1.4925373134328358E-2</v>
      </c>
      <c r="K276" s="34">
        <f>K275/BS!J18</f>
        <v>-1.8970189701897018E-2</v>
      </c>
      <c r="L276" s="34">
        <f>L275/BS!K18</f>
        <v>-2.0172910662824207E-2</v>
      </c>
      <c r="M276" s="34">
        <f>M275/BS!L18</f>
        <v>-2.0958083832335328E-2</v>
      </c>
      <c r="N276" s="34">
        <f>N275/BS!M18</f>
        <v>-2.9605263157894735E-2</v>
      </c>
      <c r="O276" s="34">
        <f>O275/BS!N18</f>
        <v>-1.5810276679841896E-2</v>
      </c>
      <c r="P276" s="34">
        <f>P275/BS!O18</f>
        <v>-1.7094017094017096E-2</v>
      </c>
      <c r="Q276" s="34">
        <f>Q275/BS!P18</f>
        <v>-1.8518518518518517E-2</v>
      </c>
      <c r="R276" s="34">
        <f>R275/BS!Q18</f>
        <v>-2.0408163265306121E-2</v>
      </c>
      <c r="S276" s="34">
        <f>S275/BS!R18</f>
        <v>-1.6949152542372881E-2</v>
      </c>
      <c r="T276" s="34">
        <f>T275/BS!S18</f>
        <v>-2.5000000000000001E-2</v>
      </c>
      <c r="U276" s="34">
        <f>U275/BS!T18</f>
        <v>-2.7972027972027972E-2</v>
      </c>
      <c r="V276" s="34">
        <f>V275/BS!U18</f>
        <v>-2.3622047244094488E-2</v>
      </c>
      <c r="W276" s="34">
        <f>W275/BS!V18</f>
        <v>-9.0090090090090089E-3</v>
      </c>
      <c r="X276" s="34">
        <f>X275/BS!W18</f>
        <v>-3.0612244897959183E-2</v>
      </c>
      <c r="Y276" s="34">
        <f>Y275/BS!X18</f>
        <v>-2.3809523809523808E-2</v>
      </c>
      <c r="Z276" s="34">
        <f>Z275/BS!Y18</f>
        <v>-1.4084507042253521E-2</v>
      </c>
      <c r="AA276" s="34">
        <f>AA275/BS!Z18</f>
        <v>-3.5087719298245612E-2</v>
      </c>
      <c r="AB276" s="34">
        <f>AB275/BS!AA18</f>
        <v>-2.3809523809523808E-2</v>
      </c>
      <c r="AC276" s="34">
        <f>AC275/BS!AB18</f>
        <v>-7.1428571428571425E-2</v>
      </c>
      <c r="AD276" s="34">
        <f>AD275/BS!AC18</f>
        <v>-0.1111111111111111</v>
      </c>
      <c r="AE276" s="34">
        <f>AE275/BS!AD18</f>
        <v>-0.125</v>
      </c>
      <c r="AF276" s="34">
        <f>AF275/BS!AE18</f>
        <v>-0.2857142857142857</v>
      </c>
      <c r="AG276" s="34">
        <f>AG275/BS!AF18</f>
        <v>-0.2</v>
      </c>
      <c r="AH276" s="34">
        <f>AH275/BS!AG18</f>
        <v>-6.1728395061728392E-2</v>
      </c>
      <c r="AI276" s="34">
        <f>AI275/BS!AH18</f>
        <v>-8.4507042253521125E-2</v>
      </c>
      <c r="AJ276" s="34">
        <f>AJ275/BS!AI18</f>
        <v>-5.6074766355140186E-2</v>
      </c>
      <c r="AK276" s="34">
        <f>AK275/BS!AJ18</f>
        <v>-0.06</v>
      </c>
      <c r="AL276" s="34">
        <f>AL275/BS!AK18</f>
        <v>-5.3763440860215055E-2</v>
      </c>
      <c r="AM276" s="34">
        <f>AM275/BS!AL18</f>
        <v>-5.7471264367816091E-2</v>
      </c>
      <c r="AN276" s="34">
        <f>AN275/BS!AM18</f>
        <v>-7.4999999999999997E-2</v>
      </c>
      <c r="AO276" s="34">
        <f>AO275/BS!AN18</f>
        <v>-6.9444444444444448E-2</v>
      </c>
      <c r="AP276" s="34">
        <f>AP275/BS!AO18</f>
        <v>-9.6774193548387094E-2</v>
      </c>
      <c r="AQ276" s="34">
        <f>AQ275/BS!AP18</f>
        <v>-9.4339622641509441E-2</v>
      </c>
      <c r="AR276" s="34">
        <f>AR275/BS!AQ18</f>
        <v>-0.125</v>
      </c>
      <c r="AS276" s="34">
        <f>AS275/BS!AR18</f>
        <v>-0.11904761904761904</v>
      </c>
      <c r="AT276" s="34">
        <f>AT275/BS!AS18</f>
        <v>-0.3783783783783784</v>
      </c>
      <c r="AU276" s="34">
        <f>AU275/BS!AT18</f>
        <v>-0.12944983818770225</v>
      </c>
      <c r="AV276" s="34">
        <f>AV275/BS!AU18</f>
        <v>-3.3003300330033E-2</v>
      </c>
      <c r="AW276" s="1">
        <f>AV276</f>
        <v>-3.3003300330033E-2</v>
      </c>
      <c r="AX276" s="1">
        <f t="shared" ref="AX276:BN276" si="929">AW276</f>
        <v>-3.3003300330033E-2</v>
      </c>
      <c r="AY276" s="1">
        <f t="shared" si="929"/>
        <v>-3.3003300330033E-2</v>
      </c>
      <c r="AZ276" s="1">
        <f t="shared" si="929"/>
        <v>-3.3003300330033E-2</v>
      </c>
      <c r="BA276" s="1">
        <f t="shared" si="929"/>
        <v>-3.3003300330033E-2</v>
      </c>
      <c r="BB276" s="1">
        <f t="shared" si="929"/>
        <v>-3.3003300330033E-2</v>
      </c>
      <c r="BC276" s="1">
        <f t="shared" si="929"/>
        <v>-3.3003300330033E-2</v>
      </c>
      <c r="BD276" s="1">
        <f t="shared" si="929"/>
        <v>-3.3003300330033E-2</v>
      </c>
      <c r="BE276" s="1">
        <f t="shared" si="929"/>
        <v>-3.3003300330033E-2</v>
      </c>
      <c r="BF276" s="1">
        <f t="shared" si="929"/>
        <v>-3.3003300330033E-2</v>
      </c>
      <c r="BG276" s="1">
        <f t="shared" si="929"/>
        <v>-3.3003300330033E-2</v>
      </c>
      <c r="BH276" s="1">
        <f t="shared" si="929"/>
        <v>-3.3003300330033E-2</v>
      </c>
      <c r="BI276" s="1">
        <f t="shared" si="929"/>
        <v>-3.3003300330033E-2</v>
      </c>
      <c r="BJ276" s="1">
        <f t="shared" si="929"/>
        <v>-3.3003300330033E-2</v>
      </c>
      <c r="BK276" s="1">
        <f t="shared" si="929"/>
        <v>-3.3003300330033E-2</v>
      </c>
      <c r="BL276" s="1">
        <f t="shared" si="929"/>
        <v>-3.3003300330033E-2</v>
      </c>
      <c r="BM276" s="1">
        <f t="shared" si="929"/>
        <v>-3.3003300330033E-2</v>
      </c>
      <c r="BN276" s="1">
        <f t="shared" si="929"/>
        <v>-3.3003300330033E-2</v>
      </c>
      <c r="BO276" s="1"/>
      <c r="BP276" s="35" t="s">
        <v>17</v>
      </c>
      <c r="BQ276" s="35" t="s">
        <v>17</v>
      </c>
      <c r="BR276" s="35" t="s">
        <v>17</v>
      </c>
      <c r="BS276" s="35" t="s">
        <v>17</v>
      </c>
      <c r="BT276" s="35" t="s">
        <v>17</v>
      </c>
      <c r="BU276" s="35" t="s">
        <v>17</v>
      </c>
      <c r="BV276" s="35" t="s">
        <v>17</v>
      </c>
      <c r="BW276" s="35" t="s">
        <v>17</v>
      </c>
      <c r="BX276" s="35" t="s">
        <v>17</v>
      </c>
      <c r="BY276" s="35" t="s">
        <v>17</v>
      </c>
      <c r="BZ276" s="35" t="s">
        <v>17</v>
      </c>
      <c r="CA276" s="35" t="s">
        <v>17</v>
      </c>
      <c r="CB276" s="35" t="s">
        <v>17</v>
      </c>
      <c r="CC276" s="35" t="s">
        <v>17</v>
      </c>
      <c r="CD276" s="35" t="s">
        <v>17</v>
      </c>
      <c r="CE276" s="35" t="s">
        <v>17</v>
      </c>
      <c r="CF276" s="35" t="s">
        <v>17</v>
      </c>
      <c r="CG276" s="43"/>
      <c r="CH276" s="43"/>
      <c r="CI276" s="43"/>
    </row>
    <row r="277" spans="1:87" s="50" customFormat="1" ht="12.75" customHeight="1">
      <c r="A277" s="42" t="s">
        <v>112</v>
      </c>
      <c r="B277" s="187">
        <f t="shared" ref="B277:AU277" si="930">B178</f>
        <v>-2</v>
      </c>
      <c r="C277" s="187">
        <f t="shared" si="930"/>
        <v>-2</v>
      </c>
      <c r="D277" s="187">
        <f t="shared" si="930"/>
        <v>28</v>
      </c>
      <c r="E277" s="187">
        <f t="shared" si="930"/>
        <v>-1</v>
      </c>
      <c r="F277" s="187">
        <f t="shared" si="930"/>
        <v>-8</v>
      </c>
      <c r="G277" s="187">
        <f t="shared" si="930"/>
        <v>-2</v>
      </c>
      <c r="H277" s="187">
        <f t="shared" si="930"/>
        <v>-17</v>
      </c>
      <c r="I277" s="187">
        <f t="shared" si="930"/>
        <v>11</v>
      </c>
      <c r="J277" s="187">
        <f t="shared" si="930"/>
        <v>-3</v>
      </c>
      <c r="K277" s="187">
        <f t="shared" si="930"/>
        <v>20</v>
      </c>
      <c r="L277" s="187">
        <f t="shared" si="930"/>
        <v>0</v>
      </c>
      <c r="M277" s="187">
        <f t="shared" si="930"/>
        <v>45</v>
      </c>
      <c r="N277" s="187">
        <f t="shared" si="930"/>
        <v>-1</v>
      </c>
      <c r="O277" s="187">
        <f t="shared" si="930"/>
        <v>-7</v>
      </c>
      <c r="P277" s="187">
        <f t="shared" si="930"/>
        <v>44</v>
      </c>
      <c r="Q277" s="187">
        <f t="shared" si="930"/>
        <v>0</v>
      </c>
      <c r="R277" s="187">
        <f t="shared" si="930"/>
        <v>-2</v>
      </c>
      <c r="S277" s="187">
        <f t="shared" si="930"/>
        <v>1</v>
      </c>
      <c r="T277" s="187">
        <f t="shared" si="930"/>
        <v>1</v>
      </c>
      <c r="U277" s="187">
        <f t="shared" si="930"/>
        <v>0</v>
      </c>
      <c r="V277" s="187">
        <f t="shared" si="930"/>
        <v>1</v>
      </c>
      <c r="W277" s="187">
        <f t="shared" si="930"/>
        <v>0</v>
      </c>
      <c r="X277" s="187">
        <f t="shared" si="930"/>
        <v>0</v>
      </c>
      <c r="Y277" s="187">
        <f t="shared" si="930"/>
        <v>0</v>
      </c>
      <c r="Z277" s="187">
        <f t="shared" si="930"/>
        <v>0</v>
      </c>
      <c r="AA277" s="187">
        <f t="shared" si="930"/>
        <v>0</v>
      </c>
      <c r="AB277" s="187">
        <f t="shared" si="930"/>
        <v>0</v>
      </c>
      <c r="AC277" s="187">
        <f t="shared" si="930"/>
        <v>0</v>
      </c>
      <c r="AD277" s="187">
        <f t="shared" si="930"/>
        <v>0</v>
      </c>
      <c r="AE277" s="187">
        <f t="shared" si="930"/>
        <v>0</v>
      </c>
      <c r="AF277" s="187">
        <f t="shared" si="930"/>
        <v>0</v>
      </c>
      <c r="AG277" s="187">
        <f t="shared" si="930"/>
        <v>0</v>
      </c>
      <c r="AH277" s="187">
        <f t="shared" si="930"/>
        <v>0</v>
      </c>
      <c r="AI277" s="187">
        <f t="shared" si="930"/>
        <v>0</v>
      </c>
      <c r="AJ277" s="187">
        <f t="shared" si="930"/>
        <v>-2</v>
      </c>
      <c r="AK277" s="187">
        <f t="shared" si="930"/>
        <v>-1</v>
      </c>
      <c r="AL277" s="187">
        <f t="shared" si="930"/>
        <v>-11</v>
      </c>
      <c r="AM277" s="187">
        <f t="shared" si="930"/>
        <v>-1</v>
      </c>
      <c r="AN277" s="187">
        <f t="shared" si="930"/>
        <v>-2</v>
      </c>
      <c r="AO277" s="187">
        <f t="shared" si="930"/>
        <v>-2</v>
      </c>
      <c r="AP277" s="187">
        <f t="shared" si="930"/>
        <v>0</v>
      </c>
      <c r="AQ277" s="187">
        <f t="shared" si="930"/>
        <v>0</v>
      </c>
      <c r="AR277" s="187">
        <f t="shared" si="930"/>
        <v>0</v>
      </c>
      <c r="AS277" s="187">
        <f t="shared" si="930"/>
        <v>0</v>
      </c>
      <c r="AT277" s="187">
        <f t="shared" si="930"/>
        <v>0</v>
      </c>
      <c r="AU277" s="187">
        <f t="shared" si="930"/>
        <v>0</v>
      </c>
      <c r="AV277" s="187">
        <f t="shared" ref="AV277" si="931">AV178</f>
        <v>0</v>
      </c>
      <c r="AW277" s="242">
        <v>0</v>
      </c>
      <c r="AX277" s="242">
        <v>0</v>
      </c>
      <c r="AY277" s="242">
        <v>0</v>
      </c>
      <c r="AZ277" s="242">
        <v>0</v>
      </c>
      <c r="BA277" s="242">
        <v>0</v>
      </c>
      <c r="BB277" s="242">
        <v>0</v>
      </c>
      <c r="BC277" s="242">
        <v>0</v>
      </c>
      <c r="BD277" s="242">
        <v>0</v>
      </c>
      <c r="BE277" s="242">
        <v>0</v>
      </c>
      <c r="BF277" s="242">
        <v>0</v>
      </c>
      <c r="BG277" s="242">
        <v>0</v>
      </c>
      <c r="BH277" s="242">
        <v>0</v>
      </c>
      <c r="BI277" s="242">
        <v>0</v>
      </c>
      <c r="BJ277" s="242">
        <v>0</v>
      </c>
      <c r="BK277" s="242">
        <v>0</v>
      </c>
      <c r="BL277" s="242">
        <v>0</v>
      </c>
      <c r="BM277" s="242">
        <v>0</v>
      </c>
      <c r="BN277" s="242">
        <v>0</v>
      </c>
      <c r="BO277" s="243"/>
      <c r="BP277" s="44">
        <v>-2</v>
      </c>
      <c r="BQ277" s="161">
        <f>SUM(C277:F277)</f>
        <v>17</v>
      </c>
      <c r="BR277" s="161">
        <f>SUM(G277:J277)</f>
        <v>-11</v>
      </c>
      <c r="BS277" s="161">
        <f>SUM(K277:N277)</f>
        <v>64</v>
      </c>
      <c r="BT277" s="161">
        <f>SUM(O277:R277)</f>
        <v>35</v>
      </c>
      <c r="BU277" s="161">
        <f>SUM(S277:V277)</f>
        <v>3</v>
      </c>
      <c r="BV277" s="161">
        <f>SUM(W277:Z277)</f>
        <v>0</v>
      </c>
      <c r="BW277" s="161">
        <f>SUM(AA277:AD277)</f>
        <v>0</v>
      </c>
      <c r="BX277" s="161">
        <f>SUM(AE277:AH277)</f>
        <v>0</v>
      </c>
      <c r="BY277" s="161">
        <f>SUM(AI277:AL277)</f>
        <v>-14</v>
      </c>
      <c r="BZ277" s="49">
        <f>SUM(AM277:AP277)</f>
        <v>-5</v>
      </c>
      <c r="CA277" s="49">
        <f>SUM(AQ277:AT277)</f>
        <v>0</v>
      </c>
      <c r="CB277" s="49">
        <f>SUM(AU277:AX277)</f>
        <v>0</v>
      </c>
      <c r="CC277" s="49">
        <f>SUM(AY277:BB277)</f>
        <v>0</v>
      </c>
      <c r="CD277" s="49">
        <f>SUM(BC277:BF277)</f>
        <v>0</v>
      </c>
      <c r="CE277" s="49">
        <f>SUM(BG277:BJ277)</f>
        <v>0</v>
      </c>
      <c r="CF277" s="49">
        <f>SUM(BK277:BN277)</f>
        <v>0</v>
      </c>
      <c r="CG277" s="3"/>
      <c r="CH277" s="3"/>
      <c r="CI277" s="3"/>
    </row>
    <row r="278" spans="1:87" ht="12.75" customHeight="1">
      <c r="A278" s="69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  <c r="AV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  <c r="BJ278" s="34"/>
      <c r="BK278" s="34"/>
      <c r="BL278" s="34"/>
      <c r="BM278" s="34"/>
      <c r="BN278" s="34"/>
      <c r="BO278" s="35"/>
      <c r="BP278" s="35"/>
      <c r="BQ278" s="35"/>
      <c r="BR278" s="35"/>
      <c r="BS278" s="35"/>
      <c r="BT278" s="35"/>
      <c r="BU278" s="35"/>
      <c r="BV278" s="35"/>
      <c r="BW278" s="35"/>
      <c r="BX278" s="35"/>
      <c r="BY278" s="35"/>
      <c r="BZ278" s="35"/>
      <c r="CA278" s="35"/>
      <c r="CB278" s="35"/>
      <c r="CC278" s="35"/>
      <c r="CD278" s="35"/>
      <c r="CE278" s="35"/>
      <c r="CF278" s="35"/>
      <c r="CG278" s="150"/>
      <c r="CH278" s="147"/>
      <c r="CI278" s="147"/>
    </row>
    <row r="279" spans="1:87" s="151" customFormat="1">
      <c r="A279" s="42" t="s">
        <v>116</v>
      </c>
      <c r="B279" s="204">
        <f t="shared" ref="B279:AU279" si="932">B180</f>
        <v>-20</v>
      </c>
      <c r="C279" s="204">
        <f t="shared" si="932"/>
        <v>-2</v>
      </c>
      <c r="D279" s="204">
        <f t="shared" si="932"/>
        <v>-6</v>
      </c>
      <c r="E279" s="204">
        <f t="shared" si="932"/>
        <v>-154</v>
      </c>
      <c r="F279" s="204">
        <f t="shared" si="932"/>
        <v>1</v>
      </c>
      <c r="G279" s="204">
        <f t="shared" si="932"/>
        <v>-18</v>
      </c>
      <c r="H279" s="204">
        <f t="shared" si="932"/>
        <v>1</v>
      </c>
      <c r="I279" s="204">
        <f t="shared" si="932"/>
        <v>0</v>
      </c>
      <c r="J279" s="204">
        <f t="shared" si="932"/>
        <v>1</v>
      </c>
      <c r="K279" s="204">
        <f t="shared" si="932"/>
        <v>-27</v>
      </c>
      <c r="L279" s="204">
        <f t="shared" si="932"/>
        <v>2</v>
      </c>
      <c r="M279" s="204">
        <f t="shared" si="932"/>
        <v>-2</v>
      </c>
      <c r="N279" s="204">
        <f t="shared" si="932"/>
        <v>0</v>
      </c>
      <c r="O279" s="204">
        <f t="shared" si="932"/>
        <v>-1</v>
      </c>
      <c r="P279" s="204">
        <f t="shared" si="932"/>
        <v>2</v>
      </c>
      <c r="Q279" s="204">
        <f t="shared" si="932"/>
        <v>1</v>
      </c>
      <c r="R279" s="204">
        <f t="shared" si="932"/>
        <v>-1</v>
      </c>
      <c r="S279" s="204">
        <f t="shared" si="932"/>
        <v>0</v>
      </c>
      <c r="T279" s="204">
        <f t="shared" si="932"/>
        <v>0</v>
      </c>
      <c r="U279" s="204">
        <f t="shared" si="932"/>
        <v>0</v>
      </c>
      <c r="V279" s="204">
        <f t="shared" si="932"/>
        <v>0</v>
      </c>
      <c r="W279" s="204">
        <f t="shared" si="932"/>
        <v>0</v>
      </c>
      <c r="X279" s="204">
        <f t="shared" si="932"/>
        <v>0</v>
      </c>
      <c r="Y279" s="204">
        <f t="shared" si="932"/>
        <v>0</v>
      </c>
      <c r="Z279" s="204">
        <f t="shared" si="932"/>
        <v>0</v>
      </c>
      <c r="AA279" s="204">
        <f t="shared" si="932"/>
        <v>0</v>
      </c>
      <c r="AB279" s="204">
        <f t="shared" si="932"/>
        <v>0</v>
      </c>
      <c r="AC279" s="204">
        <f t="shared" si="932"/>
        <v>0</v>
      </c>
      <c r="AD279" s="204">
        <f t="shared" si="932"/>
        <v>0</v>
      </c>
      <c r="AE279" s="204">
        <f t="shared" si="932"/>
        <v>0</v>
      </c>
      <c r="AF279" s="204">
        <f t="shared" si="932"/>
        <v>0</v>
      </c>
      <c r="AG279" s="204">
        <f t="shared" si="932"/>
        <v>0</v>
      </c>
      <c r="AH279" s="204">
        <f t="shared" si="932"/>
        <v>0</v>
      </c>
      <c r="AI279" s="204">
        <f t="shared" si="932"/>
        <v>0</v>
      </c>
      <c r="AJ279" s="204">
        <f t="shared" si="932"/>
        <v>0</v>
      </c>
      <c r="AK279" s="204">
        <f t="shared" si="932"/>
        <v>0</v>
      </c>
      <c r="AL279" s="204">
        <f t="shared" si="932"/>
        <v>0</v>
      </c>
      <c r="AM279" s="204">
        <f t="shared" si="932"/>
        <v>0</v>
      </c>
      <c r="AN279" s="204">
        <f t="shared" si="932"/>
        <v>0</v>
      </c>
      <c r="AO279" s="204">
        <f t="shared" si="932"/>
        <v>0</v>
      </c>
      <c r="AP279" s="204">
        <f t="shared" si="932"/>
        <v>0</v>
      </c>
      <c r="AQ279" s="204">
        <f t="shared" si="932"/>
        <v>0</v>
      </c>
      <c r="AR279" s="204">
        <f t="shared" si="932"/>
        <v>0</v>
      </c>
      <c r="AS279" s="204">
        <f t="shared" si="932"/>
        <v>0</v>
      </c>
      <c r="AT279" s="204">
        <f t="shared" si="932"/>
        <v>0</v>
      </c>
      <c r="AU279" s="204">
        <f t="shared" si="932"/>
        <v>0</v>
      </c>
      <c r="AV279" s="244">
        <v>0</v>
      </c>
      <c r="AW279" s="244">
        <v>0</v>
      </c>
      <c r="AX279" s="244">
        <v>0</v>
      </c>
      <c r="AY279" s="244">
        <v>0</v>
      </c>
      <c r="AZ279" s="244">
        <v>0</v>
      </c>
      <c r="BA279" s="244">
        <v>0</v>
      </c>
      <c r="BB279" s="244">
        <v>0</v>
      </c>
      <c r="BC279" s="244">
        <v>0</v>
      </c>
      <c r="BD279" s="244">
        <v>0</v>
      </c>
      <c r="BE279" s="244">
        <v>0</v>
      </c>
      <c r="BF279" s="244">
        <v>0</v>
      </c>
      <c r="BG279" s="244">
        <v>0</v>
      </c>
      <c r="BH279" s="244">
        <v>0</v>
      </c>
      <c r="BI279" s="244">
        <v>0</v>
      </c>
      <c r="BJ279" s="244">
        <v>0</v>
      </c>
      <c r="BK279" s="244">
        <v>0</v>
      </c>
      <c r="BL279" s="244">
        <v>0</v>
      </c>
      <c r="BM279" s="244">
        <v>0</v>
      </c>
      <c r="BN279" s="244">
        <v>0</v>
      </c>
      <c r="BO279" s="138"/>
      <c r="BP279" s="176">
        <f t="shared" ref="BP279:CF279" si="933">BP180</f>
        <v>-140</v>
      </c>
      <c r="BQ279" s="176">
        <f t="shared" si="933"/>
        <v>-161</v>
      </c>
      <c r="BR279" s="176">
        <f t="shared" si="933"/>
        <v>-16</v>
      </c>
      <c r="BS279" s="176">
        <f t="shared" si="933"/>
        <v>-27</v>
      </c>
      <c r="BT279" s="176">
        <f t="shared" si="933"/>
        <v>1</v>
      </c>
      <c r="BU279" s="176">
        <f t="shared" si="933"/>
        <v>0</v>
      </c>
      <c r="BV279" s="176">
        <f t="shared" si="933"/>
        <v>0</v>
      </c>
      <c r="BW279" s="176">
        <f t="shared" si="933"/>
        <v>0</v>
      </c>
      <c r="BX279" s="176">
        <f t="shared" si="933"/>
        <v>0</v>
      </c>
      <c r="BY279" s="176">
        <f t="shared" si="933"/>
        <v>0</v>
      </c>
      <c r="BZ279" s="176">
        <f t="shared" si="933"/>
        <v>0</v>
      </c>
      <c r="CA279" s="176">
        <f t="shared" si="933"/>
        <v>0</v>
      </c>
      <c r="CB279" s="176">
        <f t="shared" si="933"/>
        <v>0</v>
      </c>
      <c r="CC279" s="176">
        <f t="shared" si="933"/>
        <v>0</v>
      </c>
      <c r="CD279" s="176">
        <f t="shared" si="933"/>
        <v>0</v>
      </c>
      <c r="CE279" s="176">
        <f t="shared" si="933"/>
        <v>0</v>
      </c>
      <c r="CF279" s="176">
        <f t="shared" si="933"/>
        <v>0</v>
      </c>
      <c r="CG279" s="150"/>
      <c r="CH279" s="147"/>
      <c r="CI279" s="147"/>
    </row>
    <row r="280" spans="1:87" s="151" customFormat="1">
      <c r="A280" s="42" t="s">
        <v>126</v>
      </c>
      <c r="B280" s="204">
        <f t="shared" ref="B280:AG280" si="934">B269</f>
        <v>0</v>
      </c>
      <c r="C280" s="204">
        <f t="shared" si="934"/>
        <v>0</v>
      </c>
      <c r="D280" s="204">
        <f t="shared" si="934"/>
        <v>0</v>
      </c>
      <c r="E280" s="204">
        <f t="shared" si="934"/>
        <v>0</v>
      </c>
      <c r="F280" s="204">
        <f t="shared" si="934"/>
        <v>0</v>
      </c>
      <c r="G280" s="204">
        <f t="shared" si="934"/>
        <v>0</v>
      </c>
      <c r="H280" s="204">
        <f t="shared" si="934"/>
        <v>0</v>
      </c>
      <c r="I280" s="204">
        <f t="shared" si="934"/>
        <v>0</v>
      </c>
      <c r="J280" s="204">
        <f t="shared" si="934"/>
        <v>-27</v>
      </c>
      <c r="K280" s="204">
        <f t="shared" si="934"/>
        <v>0</v>
      </c>
      <c r="L280" s="204">
        <f t="shared" si="934"/>
        <v>0</v>
      </c>
      <c r="M280" s="204">
        <f t="shared" si="934"/>
        <v>0</v>
      </c>
      <c r="N280" s="204">
        <f t="shared" si="934"/>
        <v>0</v>
      </c>
      <c r="O280" s="204">
        <f t="shared" si="934"/>
        <v>0</v>
      </c>
      <c r="P280" s="204">
        <f t="shared" si="934"/>
        <v>-40</v>
      </c>
      <c r="Q280" s="204">
        <f t="shared" si="934"/>
        <v>0</v>
      </c>
      <c r="R280" s="204">
        <f t="shared" si="934"/>
        <v>-8</v>
      </c>
      <c r="S280" s="204">
        <f t="shared" si="934"/>
        <v>5</v>
      </c>
      <c r="T280" s="204">
        <f t="shared" si="934"/>
        <v>0</v>
      </c>
      <c r="U280" s="204">
        <f t="shared" si="934"/>
        <v>0</v>
      </c>
      <c r="V280" s="204">
        <f t="shared" si="934"/>
        <v>0</v>
      </c>
      <c r="W280" s="204">
        <f t="shared" si="934"/>
        <v>0</v>
      </c>
      <c r="X280" s="204">
        <f t="shared" si="934"/>
        <v>0</v>
      </c>
      <c r="Y280" s="204">
        <f t="shared" si="934"/>
        <v>0</v>
      </c>
      <c r="Z280" s="204">
        <f t="shared" si="934"/>
        <v>0</v>
      </c>
      <c r="AA280" s="204">
        <f t="shared" si="934"/>
        <v>0</v>
      </c>
      <c r="AB280" s="204">
        <f t="shared" si="934"/>
        <v>0</v>
      </c>
      <c r="AC280" s="204">
        <f t="shared" si="934"/>
        <v>0</v>
      </c>
      <c r="AD280" s="204">
        <f t="shared" si="934"/>
        <v>0</v>
      </c>
      <c r="AE280" s="204">
        <f t="shared" si="934"/>
        <v>0</v>
      </c>
      <c r="AF280" s="204">
        <f t="shared" si="934"/>
        <v>0</v>
      </c>
      <c r="AG280" s="204">
        <f t="shared" si="934"/>
        <v>0</v>
      </c>
      <c r="AH280" s="204">
        <f t="shared" ref="AH280:BN280" si="935">AH269</f>
        <v>0</v>
      </c>
      <c r="AI280" s="204">
        <f t="shared" si="935"/>
        <v>0</v>
      </c>
      <c r="AJ280" s="204">
        <f t="shared" si="935"/>
        <v>0</v>
      </c>
      <c r="AK280" s="204">
        <f t="shared" si="935"/>
        <v>0</v>
      </c>
      <c r="AL280" s="204">
        <f t="shared" si="935"/>
        <v>0</v>
      </c>
      <c r="AM280" s="204">
        <f t="shared" si="935"/>
        <v>0</v>
      </c>
      <c r="AN280" s="204">
        <f t="shared" si="935"/>
        <v>0</v>
      </c>
      <c r="AO280" s="204">
        <f t="shared" si="935"/>
        <v>0</v>
      </c>
      <c r="AP280" s="204">
        <f t="shared" si="935"/>
        <v>0</v>
      </c>
      <c r="AQ280" s="204">
        <f t="shared" si="935"/>
        <v>0</v>
      </c>
      <c r="AR280" s="204">
        <f t="shared" si="935"/>
        <v>0</v>
      </c>
      <c r="AS280" s="204">
        <f t="shared" si="935"/>
        <v>0</v>
      </c>
      <c r="AT280" s="204">
        <f t="shared" si="935"/>
        <v>0</v>
      </c>
      <c r="AU280" s="204">
        <f t="shared" si="935"/>
        <v>0</v>
      </c>
      <c r="AV280" s="204">
        <f t="shared" si="935"/>
        <v>0</v>
      </c>
      <c r="AW280" s="204">
        <f t="shared" si="935"/>
        <v>0</v>
      </c>
      <c r="AX280" s="204">
        <f t="shared" si="935"/>
        <v>0</v>
      </c>
      <c r="AY280" s="204">
        <f t="shared" si="935"/>
        <v>0</v>
      </c>
      <c r="AZ280" s="204">
        <f t="shared" si="935"/>
        <v>0</v>
      </c>
      <c r="BA280" s="204">
        <f t="shared" si="935"/>
        <v>0</v>
      </c>
      <c r="BB280" s="204">
        <f t="shared" si="935"/>
        <v>0</v>
      </c>
      <c r="BC280" s="204">
        <f t="shared" si="935"/>
        <v>0</v>
      </c>
      <c r="BD280" s="204">
        <f t="shared" si="935"/>
        <v>0</v>
      </c>
      <c r="BE280" s="204">
        <f t="shared" si="935"/>
        <v>0</v>
      </c>
      <c r="BF280" s="204">
        <f t="shared" si="935"/>
        <v>0</v>
      </c>
      <c r="BG280" s="204">
        <f t="shared" si="935"/>
        <v>0</v>
      </c>
      <c r="BH280" s="204">
        <f t="shared" si="935"/>
        <v>0</v>
      </c>
      <c r="BI280" s="204">
        <f t="shared" si="935"/>
        <v>0</v>
      </c>
      <c r="BJ280" s="204">
        <f t="shared" si="935"/>
        <v>0</v>
      </c>
      <c r="BK280" s="204">
        <f t="shared" si="935"/>
        <v>0</v>
      </c>
      <c r="BL280" s="204">
        <f t="shared" si="935"/>
        <v>0</v>
      </c>
      <c r="BM280" s="204">
        <f t="shared" si="935"/>
        <v>0</v>
      </c>
      <c r="BN280" s="204">
        <f t="shared" si="935"/>
        <v>0</v>
      </c>
      <c r="BO280" s="176"/>
      <c r="BP280" s="176">
        <f t="shared" ref="BP280:CF280" si="936">BP269</f>
        <v>-14</v>
      </c>
      <c r="BQ280" s="176">
        <f t="shared" si="936"/>
        <v>0</v>
      </c>
      <c r="BR280" s="176">
        <f t="shared" si="936"/>
        <v>-27</v>
      </c>
      <c r="BS280" s="176">
        <f t="shared" si="936"/>
        <v>0</v>
      </c>
      <c r="BT280" s="176">
        <f t="shared" si="936"/>
        <v>-48</v>
      </c>
      <c r="BU280" s="176">
        <f t="shared" si="936"/>
        <v>5</v>
      </c>
      <c r="BV280" s="176">
        <f t="shared" si="936"/>
        <v>0</v>
      </c>
      <c r="BW280" s="176">
        <f t="shared" si="936"/>
        <v>0</v>
      </c>
      <c r="BX280" s="176">
        <f t="shared" si="936"/>
        <v>0</v>
      </c>
      <c r="BY280" s="176">
        <f t="shared" si="936"/>
        <v>0</v>
      </c>
      <c r="BZ280" s="176">
        <f t="shared" si="936"/>
        <v>0</v>
      </c>
      <c r="CA280" s="176">
        <f t="shared" si="936"/>
        <v>0</v>
      </c>
      <c r="CB280" s="176">
        <f t="shared" si="936"/>
        <v>0</v>
      </c>
      <c r="CC280" s="176">
        <f t="shared" si="936"/>
        <v>0</v>
      </c>
      <c r="CD280" s="176">
        <f t="shared" si="936"/>
        <v>0</v>
      </c>
      <c r="CE280" s="176">
        <f t="shared" si="936"/>
        <v>0</v>
      </c>
      <c r="CF280" s="176">
        <f t="shared" si="936"/>
        <v>0</v>
      </c>
      <c r="CG280" s="150"/>
      <c r="CH280" s="147"/>
      <c r="CI280" s="147"/>
    </row>
    <row r="281" spans="1:87" s="151" customFormat="1">
      <c r="A281" s="245"/>
      <c r="B281" s="204"/>
      <c r="C281" s="204"/>
      <c r="D281" s="204"/>
      <c r="E281" s="204"/>
      <c r="F281" s="204"/>
      <c r="G281" s="204"/>
      <c r="H281" s="204"/>
      <c r="I281" s="204"/>
      <c r="J281" s="204"/>
      <c r="K281" s="204"/>
      <c r="L281" s="204"/>
      <c r="M281" s="204"/>
      <c r="N281" s="204"/>
      <c r="O281" s="204"/>
      <c r="P281" s="204"/>
      <c r="Q281" s="204"/>
      <c r="R281" s="204"/>
      <c r="S281" s="204"/>
      <c r="T281" s="204"/>
      <c r="U281" s="204"/>
      <c r="V281" s="204"/>
      <c r="W281" s="204"/>
      <c r="X281" s="204"/>
      <c r="Y281" s="204"/>
      <c r="Z281" s="204"/>
      <c r="AA281" s="204"/>
      <c r="AB281" s="204"/>
      <c r="AC281" s="204"/>
      <c r="AD281" s="204"/>
      <c r="AE281" s="204"/>
      <c r="AF281" s="204"/>
      <c r="AG281" s="204"/>
      <c r="AH281" s="204"/>
      <c r="AI281" s="204"/>
      <c r="AJ281" s="204"/>
      <c r="AK281" s="204"/>
      <c r="AL281" s="204"/>
      <c r="AM281" s="204"/>
      <c r="AN281" s="204"/>
      <c r="AO281" s="204"/>
      <c r="AP281" s="204"/>
      <c r="AQ281" s="204"/>
      <c r="AR281" s="204"/>
      <c r="AS281" s="204"/>
      <c r="AT281" s="204"/>
      <c r="AU281" s="204"/>
      <c r="AV281" s="204"/>
      <c r="AW281" s="204"/>
      <c r="AX281" s="204"/>
      <c r="AY281" s="204"/>
      <c r="AZ281" s="204"/>
      <c r="BA281" s="204"/>
      <c r="BB281" s="204"/>
      <c r="BC281" s="204"/>
      <c r="BD281" s="204"/>
      <c r="BE281" s="204"/>
      <c r="BF281" s="204"/>
      <c r="BG281" s="204"/>
      <c r="BH281" s="204"/>
      <c r="BI281" s="204"/>
      <c r="BJ281" s="204"/>
      <c r="BK281" s="204"/>
      <c r="BL281" s="204"/>
      <c r="BM281" s="204"/>
      <c r="BN281" s="204"/>
      <c r="BO281" s="176"/>
      <c r="BP281" s="176"/>
      <c r="BQ281" s="176"/>
      <c r="BR281" s="176"/>
      <c r="BS281" s="176"/>
      <c r="BT281" s="176"/>
      <c r="BU281" s="176"/>
      <c r="BV281" s="176"/>
      <c r="BW281" s="176"/>
      <c r="BX281" s="176"/>
      <c r="BY281" s="176"/>
      <c r="BZ281" s="176"/>
      <c r="CA281" s="176"/>
      <c r="CB281" s="176"/>
      <c r="CC281" s="176"/>
      <c r="CD281" s="176"/>
      <c r="CE281" s="176"/>
      <c r="CF281" s="176"/>
      <c r="CG281" s="3"/>
      <c r="CH281" s="3"/>
      <c r="CI281" s="3"/>
    </row>
    <row r="282" spans="1:87" ht="12.75" customHeight="1">
      <c r="A282" s="38" t="s">
        <v>117</v>
      </c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  <c r="AT282" s="34"/>
      <c r="AU282" s="34"/>
      <c r="AV282" s="34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34"/>
      <c r="BH282" s="34"/>
      <c r="BI282" s="34"/>
      <c r="BJ282" s="34"/>
      <c r="BK282" s="34"/>
      <c r="BL282" s="34"/>
      <c r="BM282" s="34"/>
      <c r="BN282" s="34"/>
      <c r="BO282" s="35"/>
      <c r="BP282" s="35"/>
      <c r="BQ282" s="35"/>
      <c r="BR282" s="35"/>
      <c r="BS282" s="35"/>
      <c r="BT282" s="35"/>
      <c r="BU282" s="35"/>
      <c r="BV282" s="35"/>
      <c r="BW282" s="35"/>
      <c r="BX282" s="35"/>
      <c r="BY282" s="35"/>
      <c r="BZ282" s="35"/>
      <c r="CA282" s="35"/>
      <c r="CB282" s="35"/>
      <c r="CC282" s="35"/>
      <c r="CD282" s="35"/>
      <c r="CE282" s="35"/>
      <c r="CF282" s="35"/>
      <c r="CG282" s="43"/>
      <c r="CH282" s="43"/>
      <c r="CI282" s="43"/>
    </row>
    <row r="283" spans="1:87" s="50" customFormat="1" ht="12.75" customHeight="1">
      <c r="A283" s="42" t="s">
        <v>121</v>
      </c>
      <c r="B283" s="26">
        <v>1</v>
      </c>
      <c r="C283" s="26">
        <v>0</v>
      </c>
      <c r="D283" s="26">
        <v>1</v>
      </c>
      <c r="E283" s="26">
        <v>0</v>
      </c>
      <c r="F283" s="26">
        <v>0</v>
      </c>
      <c r="G283" s="26">
        <v>0</v>
      </c>
      <c r="H283" s="26">
        <v>0</v>
      </c>
      <c r="I283" s="26">
        <v>0</v>
      </c>
      <c r="J283" s="26">
        <v>0</v>
      </c>
      <c r="K283" s="26">
        <v>0</v>
      </c>
      <c r="L283" s="26">
        <v>0</v>
      </c>
      <c r="M283" s="26">
        <v>0</v>
      </c>
      <c r="N283" s="26">
        <v>0</v>
      </c>
      <c r="O283" s="26">
        <v>0</v>
      </c>
      <c r="P283" s="26">
        <v>0</v>
      </c>
      <c r="Q283" s="26">
        <v>0</v>
      </c>
      <c r="R283" s="26">
        <v>0</v>
      </c>
      <c r="S283" s="26">
        <v>-122</v>
      </c>
      <c r="T283" s="26">
        <v>0</v>
      </c>
      <c r="U283" s="26">
        <v>0</v>
      </c>
      <c r="V283" s="26">
        <v>0</v>
      </c>
      <c r="W283" s="26">
        <v>0</v>
      </c>
      <c r="X283" s="26">
        <v>0</v>
      </c>
      <c r="Y283" s="26">
        <v>0</v>
      </c>
      <c r="Z283" s="26">
        <v>0</v>
      </c>
      <c r="AA283" s="26">
        <v>0</v>
      </c>
      <c r="AB283" s="47">
        <v>0</v>
      </c>
      <c r="AC283" s="47">
        <v>0</v>
      </c>
      <c r="AD283" s="47">
        <v>0</v>
      </c>
      <c r="AE283" s="47">
        <v>0</v>
      </c>
      <c r="AF283" s="47">
        <v>0</v>
      </c>
      <c r="AG283" s="47">
        <v>0</v>
      </c>
      <c r="AH283" s="47">
        <v>0</v>
      </c>
      <c r="AI283" s="47">
        <v>0</v>
      </c>
      <c r="AJ283" s="47">
        <v>0</v>
      </c>
      <c r="AK283" s="47">
        <v>0</v>
      </c>
      <c r="AL283" s="47">
        <v>0</v>
      </c>
      <c r="AM283" s="47">
        <v>0</v>
      </c>
      <c r="AN283" s="47">
        <v>0</v>
      </c>
      <c r="AO283" s="47">
        <v>0</v>
      </c>
      <c r="AP283" s="47">
        <v>0</v>
      </c>
      <c r="AQ283" s="47">
        <v>0</v>
      </c>
      <c r="AR283" s="47">
        <v>0</v>
      </c>
      <c r="AS283" s="47">
        <v>0</v>
      </c>
      <c r="AT283" s="47">
        <v>0</v>
      </c>
      <c r="AU283" s="47">
        <v>0</v>
      </c>
      <c r="AV283" s="47">
        <v>0</v>
      </c>
      <c r="AW283" s="187">
        <f t="shared" ref="AW283:BN283" si="937">AW284*AW$211</f>
        <v>0</v>
      </c>
      <c r="AX283" s="187">
        <f t="shared" si="937"/>
        <v>0</v>
      </c>
      <c r="AY283" s="187">
        <f t="shared" si="937"/>
        <v>0</v>
      </c>
      <c r="AZ283" s="187">
        <f t="shared" si="937"/>
        <v>0</v>
      </c>
      <c r="BA283" s="187">
        <f t="shared" si="937"/>
        <v>0</v>
      </c>
      <c r="BB283" s="187">
        <f t="shared" si="937"/>
        <v>0</v>
      </c>
      <c r="BC283" s="187">
        <f t="shared" si="937"/>
        <v>0</v>
      </c>
      <c r="BD283" s="187">
        <f t="shared" si="937"/>
        <v>0</v>
      </c>
      <c r="BE283" s="187">
        <f t="shared" si="937"/>
        <v>0</v>
      </c>
      <c r="BF283" s="187">
        <f t="shared" si="937"/>
        <v>0</v>
      </c>
      <c r="BG283" s="187">
        <f t="shared" si="937"/>
        <v>0</v>
      </c>
      <c r="BH283" s="187">
        <f t="shared" si="937"/>
        <v>0</v>
      </c>
      <c r="BI283" s="187">
        <f t="shared" si="937"/>
        <v>0</v>
      </c>
      <c r="BJ283" s="187">
        <f t="shared" si="937"/>
        <v>0</v>
      </c>
      <c r="BK283" s="187">
        <f t="shared" si="937"/>
        <v>0</v>
      </c>
      <c r="BL283" s="187">
        <f t="shared" si="937"/>
        <v>0</v>
      </c>
      <c r="BM283" s="187">
        <f t="shared" si="937"/>
        <v>0</v>
      </c>
      <c r="BN283" s="187">
        <f t="shared" si="937"/>
        <v>0</v>
      </c>
      <c r="BO283" s="49"/>
      <c r="BP283" s="44">
        <v>3</v>
      </c>
      <c r="BQ283" s="161">
        <f>SUM(C283:F283)</f>
        <v>1</v>
      </c>
      <c r="BR283" s="161">
        <f>SUM(G283:J283)</f>
        <v>0</v>
      </c>
      <c r="BS283" s="161">
        <f>SUM(K283:N283)</f>
        <v>0</v>
      </c>
      <c r="BT283" s="161">
        <f>SUM(O283:R283)</f>
        <v>0</v>
      </c>
      <c r="BU283" s="161">
        <f>SUM(S283:V283)</f>
        <v>-122</v>
      </c>
      <c r="BV283" s="161">
        <f>SUM(W283:Z283)</f>
        <v>0</v>
      </c>
      <c r="BW283" s="161">
        <f>SUM(AA283:AD283)</f>
        <v>0</v>
      </c>
      <c r="BX283" s="161">
        <f>SUM(AE283:AH283)</f>
        <v>0</v>
      </c>
      <c r="BY283" s="161">
        <f>SUM(AI283:AL283)</f>
        <v>0</v>
      </c>
      <c r="BZ283" s="161">
        <f>SUM(AM283:AP283)</f>
        <v>0</v>
      </c>
      <c r="CA283" s="161">
        <f>SUM(AQ283:AT283)</f>
        <v>0</v>
      </c>
      <c r="CB283" s="161">
        <f>SUM(AU283:AX283)</f>
        <v>0</v>
      </c>
      <c r="CC283" s="161">
        <f>SUM(AY283:BB283)</f>
        <v>0</v>
      </c>
      <c r="CD283" s="161">
        <f>SUM(BC283:BF283)</f>
        <v>0</v>
      </c>
      <c r="CE283" s="161">
        <f>SUM(BG283:BJ283)</f>
        <v>0</v>
      </c>
      <c r="CF283" s="161">
        <f>SUM(BK283:BN283)</f>
        <v>0</v>
      </c>
      <c r="CG283" s="3"/>
      <c r="CH283" s="3"/>
      <c r="CI283" s="3"/>
    </row>
    <row r="284" spans="1:87" ht="12.75" customHeight="1">
      <c r="A284" s="69" t="s">
        <v>122</v>
      </c>
      <c r="B284" s="34">
        <f t="shared" ref="B284:AU284" si="938">B283/B$211</f>
        <v>-3.3783783783783786E-3</v>
      </c>
      <c r="C284" s="34">
        <f t="shared" si="938"/>
        <v>0</v>
      </c>
      <c r="D284" s="34">
        <f t="shared" si="938"/>
        <v>-2.7700831024930748E-3</v>
      </c>
      <c r="E284" s="34">
        <f t="shared" si="938"/>
        <v>0</v>
      </c>
      <c r="F284" s="34">
        <f t="shared" si="938"/>
        <v>0</v>
      </c>
      <c r="G284" s="34">
        <f t="shared" si="938"/>
        <v>0</v>
      </c>
      <c r="H284" s="34">
        <f t="shared" si="938"/>
        <v>0</v>
      </c>
      <c r="I284" s="34">
        <f t="shared" si="938"/>
        <v>0</v>
      </c>
      <c r="J284" s="34">
        <f t="shared" si="938"/>
        <v>0</v>
      </c>
      <c r="K284" s="34">
        <f t="shared" si="938"/>
        <v>0</v>
      </c>
      <c r="L284" s="34">
        <f t="shared" si="938"/>
        <v>0</v>
      </c>
      <c r="M284" s="34">
        <f t="shared" si="938"/>
        <v>0</v>
      </c>
      <c r="N284" s="34">
        <f t="shared" si="938"/>
        <v>0</v>
      </c>
      <c r="O284" s="34">
        <f t="shared" si="938"/>
        <v>0</v>
      </c>
      <c r="P284" s="34">
        <f t="shared" si="938"/>
        <v>0</v>
      </c>
      <c r="Q284" s="34">
        <f t="shared" si="938"/>
        <v>0</v>
      </c>
      <c r="R284" s="34">
        <f t="shared" si="938"/>
        <v>0</v>
      </c>
      <c r="S284" s="34">
        <f t="shared" si="938"/>
        <v>0.52813852813852813</v>
      </c>
      <c r="T284" s="34">
        <f t="shared" si="938"/>
        <v>0</v>
      </c>
      <c r="U284" s="34">
        <f t="shared" si="938"/>
        <v>0</v>
      </c>
      <c r="V284" s="34">
        <f t="shared" si="938"/>
        <v>0</v>
      </c>
      <c r="W284" s="34">
        <f t="shared" si="938"/>
        <v>0</v>
      </c>
      <c r="X284" s="34">
        <f t="shared" si="938"/>
        <v>0</v>
      </c>
      <c r="Y284" s="34">
        <f t="shared" si="938"/>
        <v>0</v>
      </c>
      <c r="Z284" s="34">
        <f t="shared" si="938"/>
        <v>0</v>
      </c>
      <c r="AA284" s="34">
        <f t="shared" si="938"/>
        <v>0</v>
      </c>
      <c r="AB284" s="34">
        <f t="shared" si="938"/>
        <v>0</v>
      </c>
      <c r="AC284" s="34">
        <f t="shared" si="938"/>
        <v>0</v>
      </c>
      <c r="AD284" s="34">
        <f t="shared" si="938"/>
        <v>0</v>
      </c>
      <c r="AE284" s="34">
        <f t="shared" si="938"/>
        <v>0</v>
      </c>
      <c r="AF284" s="34">
        <f t="shared" si="938"/>
        <v>0</v>
      </c>
      <c r="AG284" s="34">
        <f t="shared" si="938"/>
        <v>0</v>
      </c>
      <c r="AH284" s="34">
        <f t="shared" si="938"/>
        <v>0</v>
      </c>
      <c r="AI284" s="34">
        <f t="shared" si="938"/>
        <v>0</v>
      </c>
      <c r="AJ284" s="34">
        <f t="shared" si="938"/>
        <v>0</v>
      </c>
      <c r="AK284" s="34">
        <f t="shared" si="938"/>
        <v>0</v>
      </c>
      <c r="AL284" s="34">
        <f t="shared" si="938"/>
        <v>0</v>
      </c>
      <c r="AM284" s="34">
        <f t="shared" si="938"/>
        <v>0</v>
      </c>
      <c r="AN284" s="34">
        <f t="shared" si="938"/>
        <v>0</v>
      </c>
      <c r="AO284" s="34">
        <f t="shared" si="938"/>
        <v>0</v>
      </c>
      <c r="AP284" s="34">
        <f t="shared" si="938"/>
        <v>0</v>
      </c>
      <c r="AQ284" s="34">
        <f t="shared" si="938"/>
        <v>0</v>
      </c>
      <c r="AR284" s="34">
        <f t="shared" si="938"/>
        <v>0</v>
      </c>
      <c r="AS284" s="34">
        <f t="shared" si="938"/>
        <v>0</v>
      </c>
      <c r="AT284" s="34">
        <f t="shared" si="938"/>
        <v>0</v>
      </c>
      <c r="AU284" s="34">
        <f t="shared" si="938"/>
        <v>0</v>
      </c>
      <c r="AV284" s="34">
        <f t="shared" ref="AV284" si="939">AV283/AV$211</f>
        <v>0</v>
      </c>
      <c r="AW284" s="1">
        <v>0</v>
      </c>
      <c r="AX284" s="1">
        <v>0</v>
      </c>
      <c r="AY284" s="1">
        <v>0</v>
      </c>
      <c r="AZ284" s="1">
        <v>0</v>
      </c>
      <c r="BA284" s="1">
        <v>0</v>
      </c>
      <c r="BB284" s="1">
        <v>0</v>
      </c>
      <c r="BC284" s="1">
        <v>0</v>
      </c>
      <c r="BD284" s="1">
        <v>0</v>
      </c>
      <c r="BE284" s="1">
        <v>0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0</v>
      </c>
      <c r="BL284" s="1">
        <v>0</v>
      </c>
      <c r="BM284" s="1">
        <v>0</v>
      </c>
      <c r="BN284" s="1">
        <v>0</v>
      </c>
      <c r="BO284" s="40"/>
      <c r="BP284" s="35">
        <f t="shared" ref="BP284:CF284" si="940">BP283/BP$211</f>
        <v>-1.6155088852988692E-3</v>
      </c>
      <c r="BQ284" s="35">
        <f t="shared" si="940"/>
        <v>-6.7294751009421266E-4</v>
      </c>
      <c r="BR284" s="35">
        <f t="shared" si="940"/>
        <v>0</v>
      </c>
      <c r="BS284" s="35">
        <f t="shared" si="940"/>
        <v>0</v>
      </c>
      <c r="BT284" s="35">
        <f t="shared" si="940"/>
        <v>0</v>
      </c>
      <c r="BU284" s="35">
        <f t="shared" si="940"/>
        <v>9.7366320830007985E-2</v>
      </c>
      <c r="BV284" s="35">
        <f t="shared" si="940"/>
        <v>0</v>
      </c>
      <c r="BW284" s="35">
        <f t="shared" si="940"/>
        <v>0</v>
      </c>
      <c r="BX284" s="35">
        <f t="shared" si="940"/>
        <v>0</v>
      </c>
      <c r="BY284" s="35">
        <f t="shared" si="940"/>
        <v>0</v>
      </c>
      <c r="BZ284" s="35">
        <f t="shared" si="940"/>
        <v>0</v>
      </c>
      <c r="CA284" s="35">
        <f t="shared" si="940"/>
        <v>0</v>
      </c>
      <c r="CB284" s="35">
        <f t="shared" si="940"/>
        <v>0</v>
      </c>
      <c r="CC284" s="35">
        <f t="shared" si="940"/>
        <v>0</v>
      </c>
      <c r="CD284" s="35">
        <f t="shared" si="940"/>
        <v>0</v>
      </c>
      <c r="CE284" s="35">
        <f t="shared" si="940"/>
        <v>0</v>
      </c>
      <c r="CF284" s="35">
        <f t="shared" si="940"/>
        <v>0</v>
      </c>
    </row>
    <row r="285" spans="1:87">
      <c r="A285" s="8"/>
      <c r="B285" s="191"/>
      <c r="C285" s="191"/>
      <c r="D285" s="191"/>
      <c r="E285" s="191"/>
      <c r="F285" s="215"/>
      <c r="G285" s="215"/>
      <c r="H285" s="215"/>
      <c r="I285" s="215"/>
      <c r="J285" s="215"/>
      <c r="K285" s="246"/>
      <c r="L285" s="246"/>
      <c r="M285" s="246"/>
      <c r="N285" s="246"/>
      <c r="O285" s="246"/>
      <c r="P285" s="246"/>
      <c r="Q285" s="246"/>
      <c r="R285" s="246"/>
      <c r="S285" s="246"/>
      <c r="T285" s="246"/>
      <c r="U285" s="191"/>
      <c r="V285" s="191"/>
      <c r="W285" s="191"/>
      <c r="X285" s="191"/>
      <c r="Y285" s="191"/>
      <c r="Z285" s="191"/>
      <c r="AA285" s="191"/>
      <c r="AB285" s="191"/>
      <c r="AC285" s="191"/>
      <c r="AD285" s="191"/>
      <c r="AE285" s="191"/>
      <c r="AF285" s="191"/>
      <c r="AG285" s="191"/>
      <c r="AH285" s="191"/>
      <c r="AI285" s="191"/>
      <c r="AJ285" s="191"/>
      <c r="AK285" s="191"/>
      <c r="AL285" s="191"/>
      <c r="AM285" s="191"/>
      <c r="AN285" s="191"/>
      <c r="AO285" s="191"/>
      <c r="AP285" s="191"/>
      <c r="AQ285" s="191"/>
      <c r="AR285" s="191"/>
      <c r="AS285" s="191"/>
      <c r="AT285" s="191"/>
      <c r="AU285" s="191"/>
      <c r="AV285" s="191"/>
      <c r="AW285" s="191"/>
      <c r="AX285" s="191"/>
      <c r="AY285" s="191"/>
      <c r="AZ285" s="191"/>
      <c r="BA285" s="191"/>
      <c r="BB285" s="191"/>
      <c r="BC285" s="191"/>
      <c r="BD285" s="191"/>
      <c r="BE285" s="191"/>
      <c r="BF285" s="191"/>
      <c r="BG285" s="191"/>
      <c r="BH285" s="191"/>
      <c r="BI285" s="191"/>
      <c r="BJ285" s="191"/>
      <c r="BK285" s="191"/>
      <c r="BL285" s="191"/>
      <c r="BM285" s="191"/>
      <c r="BN285" s="191"/>
      <c r="BO285" s="191"/>
      <c r="BP285" s="191"/>
      <c r="BQ285" s="191"/>
      <c r="BR285" s="191"/>
      <c r="BS285" s="191"/>
      <c r="BT285" s="191"/>
      <c r="BU285" s="191"/>
      <c r="BV285" s="191"/>
      <c r="BW285" s="191"/>
      <c r="BX285" s="191"/>
      <c r="BY285" s="191"/>
      <c r="BZ285" s="191"/>
      <c r="CA285" s="191"/>
      <c r="CB285" s="191"/>
      <c r="CC285" s="191"/>
      <c r="CD285" s="191"/>
      <c r="CE285" s="191"/>
      <c r="CF285" s="191"/>
    </row>
    <row r="286" spans="1:87">
      <c r="A286" s="38" t="s">
        <v>458</v>
      </c>
      <c r="B286" s="191"/>
      <c r="C286" s="191"/>
      <c r="D286" s="191"/>
      <c r="E286" s="191"/>
      <c r="F286" s="215"/>
      <c r="G286" s="215"/>
      <c r="H286" s="215"/>
      <c r="I286" s="215"/>
      <c r="J286" s="215"/>
      <c r="K286" s="246"/>
      <c r="L286" s="246"/>
      <c r="M286" s="246"/>
      <c r="N286" s="246"/>
      <c r="O286" s="246"/>
      <c r="P286" s="246"/>
      <c r="Q286" s="246"/>
      <c r="R286" s="246"/>
      <c r="S286" s="246"/>
      <c r="T286" s="246"/>
      <c r="U286" s="191"/>
      <c r="V286" s="191"/>
      <c r="W286" s="191"/>
      <c r="X286" s="191"/>
      <c r="Y286" s="191"/>
      <c r="Z286" s="191"/>
      <c r="AA286" s="191"/>
      <c r="AB286" s="191"/>
      <c r="AC286" s="191"/>
      <c r="AD286" s="191"/>
      <c r="AE286" s="191"/>
      <c r="AF286" s="191"/>
      <c r="AG286" s="191"/>
      <c r="AH286" s="191"/>
      <c r="AI286" s="191"/>
      <c r="AJ286" s="191"/>
      <c r="AK286" s="191"/>
      <c r="AL286" s="191"/>
      <c r="AM286" s="191"/>
      <c r="AN286" s="191"/>
      <c r="AO286" s="191"/>
      <c r="AP286" s="191"/>
      <c r="AQ286" s="191"/>
      <c r="AR286" s="191"/>
      <c r="AS286" s="191"/>
      <c r="AT286" s="191"/>
      <c r="AU286" s="190"/>
      <c r="AV286" s="191"/>
      <c r="AW286" s="191"/>
      <c r="AX286" s="191"/>
      <c r="AY286" s="191"/>
      <c r="AZ286" s="191"/>
      <c r="BA286" s="191"/>
      <c r="BB286" s="191"/>
      <c r="BC286" s="191"/>
      <c r="BD286" s="191"/>
      <c r="BE286" s="191"/>
      <c r="BF286" s="191"/>
      <c r="BG286" s="191"/>
      <c r="BH286" s="191"/>
      <c r="BI286" s="191"/>
      <c r="BJ286" s="191"/>
      <c r="BK286" s="191"/>
      <c r="BL286" s="191"/>
      <c r="BM286" s="191"/>
      <c r="BN286" s="191"/>
      <c r="BO286" s="191"/>
      <c r="BP286" s="191"/>
      <c r="BQ286" s="191"/>
      <c r="BR286" s="191"/>
      <c r="BS286" s="191"/>
      <c r="BT286" s="191"/>
      <c r="BU286" s="191"/>
      <c r="BV286" s="191"/>
      <c r="BW286" s="191"/>
      <c r="BX286" s="191"/>
      <c r="BY286" s="191"/>
      <c r="BZ286" s="191"/>
      <c r="CA286" s="191"/>
      <c r="CB286" s="191"/>
      <c r="CC286" s="191"/>
      <c r="CD286" s="191"/>
      <c r="CE286" s="191"/>
      <c r="CF286" s="191"/>
    </row>
    <row r="287" spans="1:87">
      <c r="A287" s="8" t="s">
        <v>90</v>
      </c>
      <c r="B287" s="240"/>
      <c r="C287" s="240"/>
      <c r="D287" s="240"/>
      <c r="E287" s="240"/>
      <c r="F287" s="240"/>
      <c r="G287" s="240"/>
      <c r="H287" s="240"/>
      <c r="I287" s="240"/>
      <c r="J287" s="240"/>
      <c r="K287" s="240"/>
      <c r="L287" s="240"/>
      <c r="M287" s="240"/>
      <c r="N287" s="240"/>
      <c r="O287" s="240"/>
      <c r="P287" s="240"/>
      <c r="Q287" s="240"/>
      <c r="R287" s="240"/>
      <c r="S287" s="240"/>
      <c r="T287" s="240"/>
      <c r="U287" s="247"/>
      <c r="V287" s="247"/>
      <c r="W287" s="247"/>
      <c r="X287" s="247"/>
      <c r="Y287" s="248"/>
      <c r="Z287" s="249"/>
      <c r="AA287" s="249"/>
      <c r="AB287" s="249"/>
      <c r="AC287" s="249"/>
      <c r="AD287" s="249"/>
      <c r="AE287" s="249"/>
      <c r="AF287" s="249"/>
      <c r="AG287" s="249"/>
      <c r="AH287" s="249"/>
      <c r="AI287" s="249"/>
      <c r="AJ287" s="249"/>
      <c r="AK287" s="249"/>
      <c r="AL287" s="249"/>
      <c r="AM287" s="249"/>
      <c r="AN287" s="249"/>
      <c r="AO287" s="249"/>
      <c r="AP287" s="249"/>
      <c r="AQ287" s="249"/>
      <c r="AR287" s="249"/>
      <c r="AS287" s="249"/>
      <c r="AT287" s="249"/>
      <c r="AU287" s="249"/>
      <c r="AV287" s="247"/>
      <c r="AW287" s="247"/>
      <c r="AX287" s="247"/>
      <c r="AY287" s="247"/>
      <c r="AZ287" s="247"/>
      <c r="BA287" s="247"/>
      <c r="BB287" s="247"/>
      <c r="BC287" s="247"/>
      <c r="BD287" s="247"/>
      <c r="BE287" s="247"/>
      <c r="BF287" s="247"/>
      <c r="BG287" s="247"/>
      <c r="BH287" s="247"/>
      <c r="BI287" s="247"/>
      <c r="BJ287" s="247"/>
      <c r="BK287" s="247"/>
      <c r="BL287" s="247"/>
      <c r="BM287" s="247"/>
      <c r="BN287" s="247"/>
      <c r="BO287" s="250"/>
      <c r="BP287" s="76"/>
      <c r="BQ287" s="76"/>
      <c r="BR287" s="76"/>
      <c r="BS287" s="76"/>
      <c r="BT287" s="76"/>
      <c r="BU287" s="76"/>
      <c r="BV287" s="76"/>
      <c r="BW287" s="76"/>
      <c r="BX287" s="76"/>
      <c r="BY287" s="76"/>
      <c r="BZ287" s="76"/>
      <c r="CA287" s="76"/>
      <c r="CB287" s="76"/>
      <c r="CC287" s="76"/>
      <c r="CD287" s="76"/>
      <c r="CE287" s="76"/>
      <c r="CF287" s="76"/>
      <c r="CG287" s="251"/>
      <c r="CH287" s="252"/>
      <c r="CI287" s="252"/>
    </row>
    <row r="288" spans="1:87" s="259" customFormat="1">
      <c r="A288" s="253" t="s">
        <v>120</v>
      </c>
      <c r="B288" s="254">
        <v>0</v>
      </c>
      <c r="C288" s="254">
        <v>0</v>
      </c>
      <c r="D288" s="254">
        <v>0</v>
      </c>
      <c r="E288" s="254">
        <v>0</v>
      </c>
      <c r="F288" s="254">
        <v>0</v>
      </c>
      <c r="G288" s="254">
        <v>0</v>
      </c>
      <c r="H288" s="254">
        <v>4</v>
      </c>
      <c r="I288" s="254">
        <v>5</v>
      </c>
      <c r="J288" s="254">
        <v>5</v>
      </c>
      <c r="K288" s="254">
        <v>5</v>
      </c>
      <c r="L288" s="254">
        <v>5</v>
      </c>
      <c r="M288" s="254">
        <v>5</v>
      </c>
      <c r="N288" s="254">
        <v>5</v>
      </c>
      <c r="O288" s="254">
        <v>5</v>
      </c>
      <c r="P288" s="254">
        <v>5</v>
      </c>
      <c r="Q288" s="254">
        <v>6</v>
      </c>
      <c r="R288" s="254">
        <v>5</v>
      </c>
      <c r="S288" s="254">
        <v>5</v>
      </c>
      <c r="T288" s="254">
        <v>6</v>
      </c>
      <c r="U288" s="254">
        <v>5</v>
      </c>
      <c r="V288" s="254">
        <v>5.578662500000001</v>
      </c>
      <c r="W288" s="254">
        <v>5.6419803193750004</v>
      </c>
      <c r="X288" s="254">
        <v>11</v>
      </c>
      <c r="Y288" s="254">
        <v>5</v>
      </c>
      <c r="Z288" s="254">
        <v>5</v>
      </c>
      <c r="AA288" s="254">
        <v>2</v>
      </c>
      <c r="AB288" s="255">
        <v>0</v>
      </c>
      <c r="AC288" s="255">
        <v>0</v>
      </c>
      <c r="AD288" s="255">
        <v>0</v>
      </c>
      <c r="AE288" s="255">
        <v>0</v>
      </c>
      <c r="AF288" s="255">
        <v>0</v>
      </c>
      <c r="AG288" s="255">
        <v>0</v>
      </c>
      <c r="AH288" s="255">
        <v>0</v>
      </c>
      <c r="AI288" s="255">
        <v>0</v>
      </c>
      <c r="AJ288" s="255">
        <v>0</v>
      </c>
      <c r="AK288" s="255">
        <v>0</v>
      </c>
      <c r="AL288" s="255">
        <v>0</v>
      </c>
      <c r="AM288" s="255">
        <v>0</v>
      </c>
      <c r="AN288" s="255">
        <v>0</v>
      </c>
      <c r="AO288" s="255">
        <v>0</v>
      </c>
      <c r="AP288" s="255">
        <v>0</v>
      </c>
      <c r="AQ288" s="255">
        <v>0</v>
      </c>
      <c r="AR288" s="255">
        <v>0</v>
      </c>
      <c r="AS288" s="255">
        <v>0</v>
      </c>
      <c r="AT288" s="255">
        <v>0</v>
      </c>
      <c r="AU288" s="255">
        <v>0</v>
      </c>
      <c r="AV288" s="255">
        <v>0</v>
      </c>
      <c r="AW288" s="256">
        <f>-Debt!AW20</f>
        <v>0</v>
      </c>
      <c r="AX288" s="256">
        <f>-Debt!AX20</f>
        <v>0</v>
      </c>
      <c r="AY288" s="256">
        <f>-Debt!AY20</f>
        <v>0</v>
      </c>
      <c r="AZ288" s="256">
        <f>-Debt!AZ20</f>
        <v>0</v>
      </c>
      <c r="BA288" s="256">
        <f>-Debt!BA20</f>
        <v>0</v>
      </c>
      <c r="BB288" s="256">
        <f>-Debt!BB20</f>
        <v>0</v>
      </c>
      <c r="BC288" s="256">
        <f>-Debt!BC20</f>
        <v>0</v>
      </c>
      <c r="BD288" s="256">
        <f>-Debt!BD20</f>
        <v>0</v>
      </c>
      <c r="BE288" s="256">
        <f>-Debt!BE20</f>
        <v>0</v>
      </c>
      <c r="BF288" s="256">
        <f>-Debt!BF20</f>
        <v>0</v>
      </c>
      <c r="BG288" s="256">
        <f>-Debt!BG20</f>
        <v>0</v>
      </c>
      <c r="BH288" s="256">
        <f>-Debt!BH20</f>
        <v>0</v>
      </c>
      <c r="BI288" s="256">
        <f>-Debt!BI20</f>
        <v>0</v>
      </c>
      <c r="BJ288" s="256">
        <f>-Debt!BJ20</f>
        <v>0</v>
      </c>
      <c r="BK288" s="256">
        <f>-Debt!BK20</f>
        <v>0</v>
      </c>
      <c r="BL288" s="256">
        <f>-Debt!BL20</f>
        <v>0</v>
      </c>
      <c r="BM288" s="256">
        <f>-Debt!BM20</f>
        <v>0</v>
      </c>
      <c r="BN288" s="256">
        <f>-Debt!BN20</f>
        <v>0</v>
      </c>
      <c r="BO288" s="257"/>
      <c r="BP288" s="258">
        <v>0</v>
      </c>
      <c r="BQ288" s="257">
        <f>SUM(C288:F288)</f>
        <v>0</v>
      </c>
      <c r="BR288" s="257">
        <f>SUM(G288:J288)</f>
        <v>14</v>
      </c>
      <c r="BS288" s="257">
        <f>SUM(K288:N288)</f>
        <v>20</v>
      </c>
      <c r="BT288" s="257">
        <f>SUM(O288:R288)</f>
        <v>21</v>
      </c>
      <c r="BU288" s="257">
        <f>SUM(S288:V288)</f>
        <v>21.5786625</v>
      </c>
      <c r="BV288" s="257">
        <f>SUM(W288:Z288)</f>
        <v>26.641980319375001</v>
      </c>
      <c r="BW288" s="257">
        <f>SUM(AA288:AD288)</f>
        <v>2</v>
      </c>
      <c r="BX288" s="257">
        <f>SUM(AE288:AH288)</f>
        <v>0</v>
      </c>
      <c r="BY288" s="257">
        <f>SUM(AI288:AL288)</f>
        <v>0</v>
      </c>
      <c r="BZ288" s="257">
        <f>SUM(AM288:AP288)</f>
        <v>0</v>
      </c>
      <c r="CA288" s="257">
        <f>SUM(AQ288:AT288)</f>
        <v>0</v>
      </c>
      <c r="CB288" s="257">
        <f>SUM(AU288:AX288)</f>
        <v>0</v>
      </c>
      <c r="CC288" s="257">
        <f>SUM(AY288:BB288)</f>
        <v>0</v>
      </c>
      <c r="CD288" s="257">
        <f>SUM(BC288:BF288)</f>
        <v>0</v>
      </c>
      <c r="CE288" s="257">
        <f>SUM(BG288:BJ288)</f>
        <v>0</v>
      </c>
      <c r="CF288" s="257">
        <f>SUM(BK288:BN288)</f>
        <v>0</v>
      </c>
      <c r="CG288" s="251"/>
      <c r="CH288" s="252"/>
      <c r="CI288" s="252"/>
    </row>
    <row r="289" spans="1:87" s="259" customFormat="1">
      <c r="A289" s="253" t="s">
        <v>127</v>
      </c>
      <c r="B289" s="254">
        <v>-1</v>
      </c>
      <c r="C289" s="254">
        <v>-5</v>
      </c>
      <c r="D289" s="254">
        <v>28</v>
      </c>
      <c r="E289" s="254">
        <v>0</v>
      </c>
      <c r="F289" s="254">
        <v>0</v>
      </c>
      <c r="G289" s="254">
        <v>0</v>
      </c>
      <c r="H289" s="254">
        <v>0</v>
      </c>
      <c r="I289" s="254">
        <v>0</v>
      </c>
      <c r="J289" s="254">
        <v>0</v>
      </c>
      <c r="K289" s="254">
        <v>0</v>
      </c>
      <c r="L289" s="254">
        <v>0</v>
      </c>
      <c r="M289" s="254">
        <v>14</v>
      </c>
      <c r="N289" s="254">
        <v>25</v>
      </c>
      <c r="O289" s="254">
        <v>0</v>
      </c>
      <c r="P289" s="254">
        <v>0</v>
      </c>
      <c r="Q289" s="254">
        <v>0</v>
      </c>
      <c r="R289" s="254">
        <v>0</v>
      </c>
      <c r="S289" s="254">
        <v>0</v>
      </c>
      <c r="T289" s="254">
        <v>0</v>
      </c>
      <c r="U289" s="254">
        <v>0</v>
      </c>
      <c r="V289" s="254">
        <v>0</v>
      </c>
      <c r="W289" s="254">
        <v>0</v>
      </c>
      <c r="X289" s="254">
        <v>0</v>
      </c>
      <c r="Y289" s="254">
        <v>0</v>
      </c>
      <c r="Z289" s="254">
        <v>0</v>
      </c>
      <c r="AA289" s="254">
        <v>0</v>
      </c>
      <c r="AB289" s="255">
        <v>0</v>
      </c>
      <c r="AC289" s="255">
        <v>0</v>
      </c>
      <c r="AD289" s="255">
        <v>0</v>
      </c>
      <c r="AE289" s="255">
        <v>0</v>
      </c>
      <c r="AF289" s="255">
        <v>0</v>
      </c>
      <c r="AG289" s="255">
        <v>0</v>
      </c>
      <c r="AH289" s="255">
        <v>0</v>
      </c>
      <c r="AI289" s="255">
        <v>0</v>
      </c>
      <c r="AJ289" s="255">
        <v>0</v>
      </c>
      <c r="AK289" s="255">
        <v>0</v>
      </c>
      <c r="AL289" s="255">
        <v>0</v>
      </c>
      <c r="AM289" s="255">
        <v>0</v>
      </c>
      <c r="AN289" s="255">
        <v>0</v>
      </c>
      <c r="AO289" s="255">
        <v>0</v>
      </c>
      <c r="AP289" s="255">
        <v>0</v>
      </c>
      <c r="AQ289" s="255">
        <v>0</v>
      </c>
      <c r="AR289" s="255">
        <v>0</v>
      </c>
      <c r="AS289" s="255">
        <v>0</v>
      </c>
      <c r="AT289" s="255">
        <v>0</v>
      </c>
      <c r="AU289" s="255">
        <v>0</v>
      </c>
      <c r="AV289" s="255">
        <v>0</v>
      </c>
      <c r="AW289" s="260">
        <v>0</v>
      </c>
      <c r="AX289" s="260">
        <v>0</v>
      </c>
      <c r="AY289" s="260">
        <v>0</v>
      </c>
      <c r="AZ289" s="260">
        <v>0</v>
      </c>
      <c r="BA289" s="260">
        <v>0</v>
      </c>
      <c r="BB289" s="260">
        <v>0</v>
      </c>
      <c r="BC289" s="260">
        <v>0</v>
      </c>
      <c r="BD289" s="260">
        <v>0</v>
      </c>
      <c r="BE289" s="260">
        <v>0</v>
      </c>
      <c r="BF289" s="260">
        <v>0</v>
      </c>
      <c r="BG289" s="260">
        <v>0</v>
      </c>
      <c r="BH289" s="260">
        <v>0</v>
      </c>
      <c r="BI289" s="260">
        <v>0</v>
      </c>
      <c r="BJ289" s="260">
        <v>0</v>
      </c>
      <c r="BK289" s="260">
        <v>0</v>
      </c>
      <c r="BL289" s="260">
        <v>0</v>
      </c>
      <c r="BM289" s="260">
        <v>0</v>
      </c>
      <c r="BN289" s="260">
        <v>0</v>
      </c>
      <c r="BO289" s="261"/>
      <c r="BP289" s="258">
        <v>-26</v>
      </c>
      <c r="BQ289" s="257">
        <f>SUM(C289:F289)</f>
        <v>23</v>
      </c>
      <c r="BR289" s="257">
        <f>SUM(G289:J289)</f>
        <v>0</v>
      </c>
      <c r="BS289" s="257">
        <f>SUM(K289:N289)</f>
        <v>39</v>
      </c>
      <c r="BT289" s="257">
        <f>SUM(O289:R289)</f>
        <v>0</v>
      </c>
      <c r="BU289" s="257">
        <f>SUM(S289:V289)</f>
        <v>0</v>
      </c>
      <c r="BV289" s="257">
        <f>SUM(W289:Z289)</f>
        <v>0</v>
      </c>
      <c r="BW289" s="257">
        <f>SUM(AA289:AD289)</f>
        <v>0</v>
      </c>
      <c r="BX289" s="257">
        <f>SUM(AE289:AH289)</f>
        <v>0</v>
      </c>
      <c r="BY289" s="257">
        <f>SUM(AI289:AL289)</f>
        <v>0</v>
      </c>
      <c r="BZ289" s="257">
        <f>SUM(AM289:AP289)</f>
        <v>0</v>
      </c>
      <c r="CA289" s="257">
        <f>SUM(AQ289:AT289)</f>
        <v>0</v>
      </c>
      <c r="CB289" s="257">
        <f>SUM(AU289:AX289)</f>
        <v>0</v>
      </c>
      <c r="CC289" s="257">
        <f>SUM(AY289:BB289)</f>
        <v>0</v>
      </c>
      <c r="CD289" s="257">
        <f>SUM(BC289:BF289)</f>
        <v>0</v>
      </c>
      <c r="CE289" s="257">
        <f>SUM(BG289:BJ289)</f>
        <v>0</v>
      </c>
      <c r="CF289" s="257">
        <f>SUM(BK289:BN289)</f>
        <v>0</v>
      </c>
      <c r="CG289" s="43"/>
      <c r="CH289" s="43"/>
      <c r="CI289" s="43"/>
    </row>
    <row r="290" spans="1:87" s="50" customFormat="1">
      <c r="A290" s="42" t="s">
        <v>71</v>
      </c>
      <c r="B290" s="262">
        <v>-41</v>
      </c>
      <c r="C290" s="262">
        <v>-28</v>
      </c>
      <c r="D290" s="262">
        <v>30</v>
      </c>
      <c r="E290" s="262">
        <v>57</v>
      </c>
      <c r="F290" s="262">
        <v>34</v>
      </c>
      <c r="G290" s="262">
        <v>-57</v>
      </c>
      <c r="H290" s="262">
        <v>46</v>
      </c>
      <c r="I290" s="262">
        <v>118</v>
      </c>
      <c r="J290" s="262">
        <v>61</v>
      </c>
      <c r="K290" s="262">
        <v>-60</v>
      </c>
      <c r="L290" s="262">
        <v>7</v>
      </c>
      <c r="M290" s="262">
        <v>56</v>
      </c>
      <c r="N290" s="262">
        <v>58</v>
      </c>
      <c r="O290" s="262">
        <v>-46</v>
      </c>
      <c r="P290" s="262">
        <v>22</v>
      </c>
      <c r="Q290" s="262">
        <v>123</v>
      </c>
      <c r="R290" s="262">
        <v>80</v>
      </c>
      <c r="S290" s="262">
        <v>2</v>
      </c>
      <c r="T290" s="262">
        <v>62</v>
      </c>
      <c r="U290" s="263">
        <v>116</v>
      </c>
      <c r="V290" s="263">
        <v>39</v>
      </c>
      <c r="W290" s="263">
        <v>-53</v>
      </c>
      <c r="X290" s="263">
        <v>48</v>
      </c>
      <c r="Y290" s="263">
        <v>153</v>
      </c>
      <c r="Z290" s="263">
        <v>419</v>
      </c>
      <c r="AA290" s="263">
        <v>-106</v>
      </c>
      <c r="AB290" s="161">
        <f t="shared" ref="AB290:BN290" si="941">AB202-AB291</f>
        <v>57.89</v>
      </c>
      <c r="AC290" s="161">
        <f t="shared" si="941"/>
        <v>211.42999999999998</v>
      </c>
      <c r="AD290" s="161">
        <f t="shared" si="941"/>
        <v>-79.86</v>
      </c>
      <c r="AE290" s="161">
        <f t="shared" si="941"/>
        <v>-78.960000000000008</v>
      </c>
      <c r="AF290" s="161">
        <f t="shared" si="941"/>
        <v>67.66</v>
      </c>
      <c r="AG290" s="161">
        <f t="shared" si="941"/>
        <v>10.389999999999986</v>
      </c>
      <c r="AH290" s="161">
        <f t="shared" si="941"/>
        <v>-41.546347025076912</v>
      </c>
      <c r="AI290" s="161">
        <f t="shared" si="941"/>
        <v>-15.74</v>
      </c>
      <c r="AJ290" s="161">
        <f t="shared" si="941"/>
        <v>38.58</v>
      </c>
      <c r="AK290" s="161">
        <f t="shared" si="941"/>
        <v>125.88</v>
      </c>
      <c r="AL290" s="161">
        <f t="shared" si="941"/>
        <v>76.759999999999991</v>
      </c>
      <c r="AM290" s="161">
        <f t="shared" si="941"/>
        <v>1008.22</v>
      </c>
      <c r="AN290" s="161">
        <f t="shared" si="941"/>
        <v>639.66</v>
      </c>
      <c r="AO290" s="161">
        <f t="shared" si="941"/>
        <v>142.63999999999999</v>
      </c>
      <c r="AP290" s="161">
        <f t="shared" si="941"/>
        <v>80.679999999999993</v>
      </c>
      <c r="AQ290" s="161">
        <f t="shared" si="941"/>
        <v>-11.920000000000002</v>
      </c>
      <c r="AR290" s="161">
        <f t="shared" si="941"/>
        <v>49.06</v>
      </c>
      <c r="AS290" s="161">
        <f t="shared" si="941"/>
        <v>161.84</v>
      </c>
      <c r="AT290" s="161">
        <f t="shared" si="941"/>
        <v>-10.519999999999996</v>
      </c>
      <c r="AU290" s="161">
        <f t="shared" si="941"/>
        <v>-53.6</v>
      </c>
      <c r="AV290" s="161">
        <f t="shared" ref="AV290" si="942">AV202-AV291</f>
        <v>67.36</v>
      </c>
      <c r="AW290" s="161">
        <f t="shared" si="941"/>
        <v>199.95039542732499</v>
      </c>
      <c r="AX290" s="161">
        <f t="shared" si="941"/>
        <v>-76.376262184041977</v>
      </c>
      <c r="AY290" s="161">
        <f t="shared" si="941"/>
        <v>-65.779650748543943</v>
      </c>
      <c r="AZ290" s="161">
        <f t="shared" si="941"/>
        <v>8.1196730618691788</v>
      </c>
      <c r="BA290" s="161">
        <f t="shared" si="941"/>
        <v>203.82334886400636</v>
      </c>
      <c r="BB290" s="161">
        <f t="shared" si="941"/>
        <v>3.1889823018222074</v>
      </c>
      <c r="BC290" s="161">
        <f t="shared" si="941"/>
        <v>-77.149799444150815</v>
      </c>
      <c r="BD290" s="161">
        <f t="shared" si="941"/>
        <v>6.2315226504260437</v>
      </c>
      <c r="BE290" s="161">
        <f t="shared" si="941"/>
        <v>198.05182281773486</v>
      </c>
      <c r="BF290" s="161">
        <f t="shared" si="941"/>
        <v>4.1049825341999053</v>
      </c>
      <c r="BG290" s="161">
        <f t="shared" si="941"/>
        <v>-77.636679552932449</v>
      </c>
      <c r="BH290" s="161">
        <f t="shared" si="941"/>
        <v>37.142071258153493</v>
      </c>
      <c r="BI290" s="161">
        <f t="shared" si="941"/>
        <v>200.85169111359946</v>
      </c>
      <c r="BJ290" s="161">
        <f t="shared" si="941"/>
        <v>-3.7231307694969615</v>
      </c>
      <c r="BK290" s="161">
        <f t="shared" si="941"/>
        <v>-86.100052507401273</v>
      </c>
      <c r="BL290" s="161">
        <f t="shared" si="941"/>
        <v>6.1981635782248645</v>
      </c>
      <c r="BM290" s="161">
        <f t="shared" si="941"/>
        <v>209.35404602276813</v>
      </c>
      <c r="BN290" s="161">
        <f t="shared" si="941"/>
        <v>2.3982240803916284</v>
      </c>
      <c r="BO290" s="161"/>
      <c r="BP290" s="29">
        <v>86</v>
      </c>
      <c r="BQ290" s="49">
        <f>SUM(C290:F290)</f>
        <v>93</v>
      </c>
      <c r="BR290" s="49">
        <f>SUM(G290:J290)</f>
        <v>168</v>
      </c>
      <c r="BS290" s="49">
        <f>SUM(K290:N290)</f>
        <v>61</v>
      </c>
      <c r="BT290" s="49">
        <f>SUM(O290:R290)</f>
        <v>179</v>
      </c>
      <c r="BU290" s="49">
        <f>SUM(S290:V290)</f>
        <v>219</v>
      </c>
      <c r="BV290" s="49">
        <f>SUM(W290:Z290)</f>
        <v>567</v>
      </c>
      <c r="BW290" s="49">
        <f>SUM(AA290:AD290)</f>
        <v>83.46</v>
      </c>
      <c r="BX290" s="49">
        <f>SUM(AE290:AH290)</f>
        <v>-42.456347025076937</v>
      </c>
      <c r="BY290" s="49">
        <f>SUM(AI290:AL290)</f>
        <v>225.48</v>
      </c>
      <c r="BZ290" s="49">
        <f>SUM(AM290:AP290)</f>
        <v>1871.2</v>
      </c>
      <c r="CA290" s="49">
        <f>SUM(AQ290:AT290)</f>
        <v>188.46000000000004</v>
      </c>
      <c r="CB290" s="49">
        <f>SUM(AU290:AX290)</f>
        <v>137.33413324328302</v>
      </c>
      <c r="CC290" s="49">
        <f>SUM(AY290:BB290)</f>
        <v>149.35235347915381</v>
      </c>
      <c r="CD290" s="49">
        <f>SUM(BC290:BF290)</f>
        <v>131.23852855820999</v>
      </c>
      <c r="CE290" s="49">
        <f>SUM(BG290:BJ290)</f>
        <v>156.63395204932357</v>
      </c>
      <c r="CF290" s="49">
        <f>SUM(BK290:BN290)</f>
        <v>131.85038117398335</v>
      </c>
      <c r="CG290" s="43"/>
      <c r="CH290" s="43"/>
      <c r="CI290" s="43"/>
    </row>
    <row r="291" spans="1:87" s="50" customFormat="1">
      <c r="A291" s="264" t="s">
        <v>76</v>
      </c>
      <c r="B291" s="187">
        <f t="shared" ref="B291:AA291" si="943">B202-B290</f>
        <v>-9</v>
      </c>
      <c r="C291" s="187">
        <f t="shared" si="943"/>
        <v>31</v>
      </c>
      <c r="D291" s="187">
        <f t="shared" si="943"/>
        <v>-13</v>
      </c>
      <c r="E291" s="187">
        <f t="shared" si="943"/>
        <v>-76</v>
      </c>
      <c r="F291" s="187">
        <f t="shared" si="943"/>
        <v>-32</v>
      </c>
      <c r="G291" s="187">
        <f t="shared" si="943"/>
        <v>48</v>
      </c>
      <c r="H291" s="187">
        <f t="shared" si="943"/>
        <v>-6</v>
      </c>
      <c r="I291" s="187">
        <f t="shared" si="943"/>
        <v>-130</v>
      </c>
      <c r="J291" s="187">
        <f t="shared" si="943"/>
        <v>-22</v>
      </c>
      <c r="K291" s="187">
        <f t="shared" si="943"/>
        <v>51</v>
      </c>
      <c r="L291" s="187">
        <f t="shared" si="943"/>
        <v>-20</v>
      </c>
      <c r="M291" s="187">
        <f t="shared" si="943"/>
        <v>-68</v>
      </c>
      <c r="N291" s="187">
        <f t="shared" si="943"/>
        <v>-65</v>
      </c>
      <c r="O291" s="187">
        <f t="shared" si="943"/>
        <v>40</v>
      </c>
      <c r="P291" s="187">
        <f t="shared" si="943"/>
        <v>-35</v>
      </c>
      <c r="Q291" s="187">
        <f t="shared" si="943"/>
        <v>-133</v>
      </c>
      <c r="R291" s="187">
        <f t="shared" si="943"/>
        <v>-50</v>
      </c>
      <c r="S291" s="187">
        <f t="shared" si="943"/>
        <v>-21</v>
      </c>
      <c r="T291" s="187">
        <f t="shared" si="943"/>
        <v>-77</v>
      </c>
      <c r="U291" s="187">
        <f t="shared" si="943"/>
        <v>-130</v>
      </c>
      <c r="V291" s="187">
        <f t="shared" si="943"/>
        <v>-41</v>
      </c>
      <c r="W291" s="187">
        <f t="shared" si="943"/>
        <v>-14</v>
      </c>
      <c r="X291" s="187">
        <f t="shared" si="943"/>
        <v>-60</v>
      </c>
      <c r="Y291" s="187">
        <f t="shared" si="943"/>
        <v>-168</v>
      </c>
      <c r="Z291" s="187">
        <f t="shared" si="943"/>
        <v>-46</v>
      </c>
      <c r="AA291" s="187">
        <f t="shared" si="943"/>
        <v>-6</v>
      </c>
      <c r="AB291" s="187">
        <f t="shared" ref="AB291:BN291" si="944">AB$292*(AB240+AB198+AB288)</f>
        <v>-43.89</v>
      </c>
      <c r="AC291" s="187">
        <f t="shared" si="944"/>
        <v>-206.42999999999998</v>
      </c>
      <c r="AD291" s="187">
        <f t="shared" si="944"/>
        <v>-70.14</v>
      </c>
      <c r="AE291" s="187">
        <f t="shared" si="944"/>
        <v>-26.04</v>
      </c>
      <c r="AF291" s="187">
        <f t="shared" si="944"/>
        <v>-51.66</v>
      </c>
      <c r="AG291" s="187">
        <f t="shared" si="944"/>
        <v>-180.39</v>
      </c>
      <c r="AH291" s="187">
        <f t="shared" si="944"/>
        <v>-105.45365297492309</v>
      </c>
      <c r="AI291" s="187">
        <f t="shared" si="944"/>
        <v>-10.26</v>
      </c>
      <c r="AJ291" s="187">
        <f t="shared" si="944"/>
        <v>-59.58</v>
      </c>
      <c r="AK291" s="187">
        <f t="shared" si="944"/>
        <v>-128.88</v>
      </c>
      <c r="AL291" s="187">
        <f t="shared" si="944"/>
        <v>-86.759999999999991</v>
      </c>
      <c r="AM291" s="187">
        <f t="shared" si="944"/>
        <v>-23.22</v>
      </c>
      <c r="AN291" s="187">
        <f t="shared" si="944"/>
        <v>-69.66</v>
      </c>
      <c r="AO291" s="187">
        <f t="shared" si="944"/>
        <v>-170.64</v>
      </c>
      <c r="AP291" s="187">
        <f t="shared" si="944"/>
        <v>-76.679999999999993</v>
      </c>
      <c r="AQ291" s="187">
        <f t="shared" si="944"/>
        <v>-91.08</v>
      </c>
      <c r="AR291" s="187">
        <f t="shared" si="944"/>
        <v>-3.06</v>
      </c>
      <c r="AS291" s="187">
        <f t="shared" si="944"/>
        <v>-195.84</v>
      </c>
      <c r="AT291" s="187">
        <f t="shared" si="944"/>
        <v>-78.48</v>
      </c>
      <c r="AU291" s="187">
        <f t="shared" si="944"/>
        <v>-50.4</v>
      </c>
      <c r="AV291" s="187">
        <f t="shared" ref="AV291" si="945">AV$292*(AV240+AV198+AV288)</f>
        <v>-99.36</v>
      </c>
      <c r="AW291" s="187">
        <f t="shared" si="944"/>
        <v>-200.68873047655862</v>
      </c>
      <c r="AX291" s="187">
        <f t="shared" si="944"/>
        <v>-89.134264688602443</v>
      </c>
      <c r="AY291" s="187">
        <f t="shared" si="944"/>
        <v>-64.933817527772376</v>
      </c>
      <c r="AZ291" s="187">
        <f t="shared" si="944"/>
        <v>-102.28332159537121</v>
      </c>
      <c r="BA291" s="187">
        <f t="shared" si="944"/>
        <v>-210.58976354373002</v>
      </c>
      <c r="BB291" s="187">
        <f t="shared" si="944"/>
        <v>-81.626575777793619</v>
      </c>
      <c r="BC291" s="187">
        <f t="shared" si="944"/>
        <v>-70.695451709008651</v>
      </c>
      <c r="BD291" s="187">
        <f t="shared" si="944"/>
        <v>-109.93377979904463</v>
      </c>
      <c r="BE291" s="187">
        <f t="shared" si="944"/>
        <v>-226.03685230637612</v>
      </c>
      <c r="BF291" s="187">
        <f t="shared" si="944"/>
        <v>-92.767239768740154</v>
      </c>
      <c r="BG291" s="187">
        <f t="shared" si="944"/>
        <v>-79.516829595789673</v>
      </c>
      <c r="BH291" s="187">
        <f t="shared" si="944"/>
        <v>-139.02871410400508</v>
      </c>
      <c r="BI291" s="187">
        <f t="shared" si="944"/>
        <v>-246.77448041984141</v>
      </c>
      <c r="BJ291" s="187">
        <f t="shared" si="944"/>
        <v>-103.88692854636751</v>
      </c>
      <c r="BK291" s="187">
        <f t="shared" si="944"/>
        <v>-89.324819346364308</v>
      </c>
      <c r="BL291" s="187">
        <f t="shared" si="944"/>
        <v>-129.80024508152101</v>
      </c>
      <c r="BM291" s="187">
        <f t="shared" si="944"/>
        <v>-256.50385276213854</v>
      </c>
      <c r="BN291" s="187">
        <f t="shared" si="944"/>
        <v>-113.6549323963068</v>
      </c>
      <c r="BO291" s="49"/>
      <c r="BP291" s="29">
        <v>-57</v>
      </c>
      <c r="BQ291" s="49">
        <f>SUM(C291:F291)</f>
        <v>-90</v>
      </c>
      <c r="BR291" s="49">
        <f>SUM(G291:J291)</f>
        <v>-110</v>
      </c>
      <c r="BS291" s="49">
        <f>SUM(K291:N291)</f>
        <v>-102</v>
      </c>
      <c r="BT291" s="49">
        <f>SUM(O291:R291)</f>
        <v>-178</v>
      </c>
      <c r="BU291" s="49">
        <f>SUM(S291:V291)</f>
        <v>-269</v>
      </c>
      <c r="BV291" s="49">
        <f>SUM(W291:Z291)</f>
        <v>-288</v>
      </c>
      <c r="BW291" s="49">
        <f>SUM(AA291:AD291)</f>
        <v>-326.45999999999998</v>
      </c>
      <c r="BX291" s="49">
        <f>SUM(AE291:AH291)</f>
        <v>-363.54365297492308</v>
      </c>
      <c r="BY291" s="49">
        <f>SUM(AI291:AL291)</f>
        <v>-285.48</v>
      </c>
      <c r="BZ291" s="49">
        <f>SUM(AM291:AP291)</f>
        <v>-340.2</v>
      </c>
      <c r="CA291" s="49">
        <f>SUM(AQ291:AT291)</f>
        <v>-368.46000000000004</v>
      </c>
      <c r="CB291" s="49">
        <f>SUM(AU291:AX291)</f>
        <v>-439.58299516516104</v>
      </c>
      <c r="CC291" s="49">
        <f>SUM(AY291:BB291)</f>
        <v>-459.43347844466723</v>
      </c>
      <c r="CD291" s="49">
        <f>SUM(BC291:BF291)</f>
        <v>-499.43332358316957</v>
      </c>
      <c r="CE291" s="49">
        <f>SUM(BG291:BJ291)</f>
        <v>-569.20695266600364</v>
      </c>
      <c r="CF291" s="49">
        <f>SUM(BK291:BN291)</f>
        <v>-589.28384958633069</v>
      </c>
      <c r="CG291" s="3"/>
      <c r="CH291" s="3"/>
      <c r="CI291" s="3"/>
    </row>
    <row r="292" spans="1:87">
      <c r="A292" s="69" t="s">
        <v>7</v>
      </c>
      <c r="B292" s="34">
        <f t="shared" ref="B292:AA292" si="946">B291/(B240+B198+B288)</f>
        <v>-0.28125</v>
      </c>
      <c r="C292" s="34">
        <f t="shared" si="946"/>
        <v>-0.28440366972477066</v>
      </c>
      <c r="D292" s="34">
        <f t="shared" si="946"/>
        <v>-0.28888888888888886</v>
      </c>
      <c r="E292" s="34">
        <f t="shared" si="946"/>
        <v>-0.27941176470588236</v>
      </c>
      <c r="F292" s="34">
        <f t="shared" si="946"/>
        <v>-0.27826086956521739</v>
      </c>
      <c r="G292" s="34">
        <f t="shared" si="946"/>
        <v>-0.2807017543859649</v>
      </c>
      <c r="H292" s="34">
        <f t="shared" si="946"/>
        <v>-0.2608695652173913</v>
      </c>
      <c r="I292" s="34">
        <f t="shared" si="946"/>
        <v>-0.28017241379310343</v>
      </c>
      <c r="J292" s="34">
        <f t="shared" si="946"/>
        <v>-0.28205128205128205</v>
      </c>
      <c r="K292" s="34">
        <f t="shared" si="946"/>
        <v>-0.28176795580110497</v>
      </c>
      <c r="L292" s="34">
        <f t="shared" si="946"/>
        <v>-0.28985507246376813</v>
      </c>
      <c r="M292" s="34">
        <f t="shared" si="946"/>
        <v>-0.27868852459016391</v>
      </c>
      <c r="N292" s="34">
        <f t="shared" si="946"/>
        <v>-0.27777777777777779</v>
      </c>
      <c r="O292" s="34">
        <f t="shared" si="946"/>
        <v>-0.2484472049689441</v>
      </c>
      <c r="P292" s="34">
        <f t="shared" si="946"/>
        <v>-0.25</v>
      </c>
      <c r="Q292" s="34">
        <f t="shared" si="946"/>
        <v>-0.2504708097928437</v>
      </c>
      <c r="R292" s="34">
        <f t="shared" si="946"/>
        <v>-0.24752475247524752</v>
      </c>
      <c r="S292" s="34">
        <f t="shared" si="946"/>
        <v>-0.25609756097560976</v>
      </c>
      <c r="T292" s="34">
        <f t="shared" si="946"/>
        <v>-0.24919093851132687</v>
      </c>
      <c r="U292" s="34">
        <f t="shared" si="946"/>
        <v>-0.25096525096525096</v>
      </c>
      <c r="V292" s="34">
        <f t="shared" si="946"/>
        <v>-0.24761644635219829</v>
      </c>
      <c r="W292" s="34">
        <f t="shared" si="946"/>
        <v>-0.22349229587925137</v>
      </c>
      <c r="X292" s="34">
        <f t="shared" si="946"/>
        <v>-0.22058823529411764</v>
      </c>
      <c r="Y292" s="34">
        <f t="shared" si="946"/>
        <v>-0.21989528795811519</v>
      </c>
      <c r="Z292" s="34">
        <f t="shared" si="946"/>
        <v>-0.22222222222222221</v>
      </c>
      <c r="AA292" s="34">
        <f t="shared" si="946"/>
        <v>-0.21428571428571427</v>
      </c>
      <c r="AB292" s="265">
        <v>-0.21</v>
      </c>
      <c r="AC292" s="265">
        <v>-0.21</v>
      </c>
      <c r="AD292" s="265">
        <v>-0.21</v>
      </c>
      <c r="AE292" s="265">
        <v>-0.21</v>
      </c>
      <c r="AF292" s="265">
        <v>-0.21</v>
      </c>
      <c r="AG292" s="265">
        <v>-0.21</v>
      </c>
      <c r="AH292" s="265">
        <v>-0.21</v>
      </c>
      <c r="AI292" s="265">
        <v>-0.18</v>
      </c>
      <c r="AJ292" s="265">
        <v>-0.18</v>
      </c>
      <c r="AK292" s="265">
        <v>-0.18</v>
      </c>
      <c r="AL292" s="265">
        <v>-0.18</v>
      </c>
      <c r="AM292" s="265">
        <v>-0.18</v>
      </c>
      <c r="AN292" s="265">
        <v>-0.18</v>
      </c>
      <c r="AO292" s="265">
        <v>-0.18</v>
      </c>
      <c r="AP292" s="265">
        <v>-0.18</v>
      </c>
      <c r="AQ292" s="265">
        <v>-0.18</v>
      </c>
      <c r="AR292" s="265">
        <v>-0.18</v>
      </c>
      <c r="AS292" s="265">
        <v>-0.18</v>
      </c>
      <c r="AT292" s="265">
        <v>-0.18</v>
      </c>
      <c r="AU292" s="265">
        <v>-0.18</v>
      </c>
      <c r="AV292" s="265">
        <v>-0.18</v>
      </c>
      <c r="AW292" s="1">
        <f t="shared" ref="AW292:BB292" si="947">AV292</f>
        <v>-0.18</v>
      </c>
      <c r="AX292" s="1">
        <f t="shared" si="947"/>
        <v>-0.18</v>
      </c>
      <c r="AY292" s="1">
        <f t="shared" si="947"/>
        <v>-0.18</v>
      </c>
      <c r="AZ292" s="1">
        <f t="shared" si="947"/>
        <v>-0.18</v>
      </c>
      <c r="BA292" s="1">
        <f t="shared" si="947"/>
        <v>-0.18</v>
      </c>
      <c r="BB292" s="1">
        <f t="shared" si="947"/>
        <v>-0.18</v>
      </c>
      <c r="BC292" s="1">
        <f t="shared" ref="BC292:BJ292" si="948">BB292</f>
        <v>-0.18</v>
      </c>
      <c r="BD292" s="1">
        <f t="shared" si="948"/>
        <v>-0.18</v>
      </c>
      <c r="BE292" s="1">
        <f t="shared" si="948"/>
        <v>-0.18</v>
      </c>
      <c r="BF292" s="1">
        <f t="shared" si="948"/>
        <v>-0.18</v>
      </c>
      <c r="BG292" s="1">
        <f t="shared" si="948"/>
        <v>-0.18</v>
      </c>
      <c r="BH292" s="1">
        <f t="shared" si="948"/>
        <v>-0.18</v>
      </c>
      <c r="BI292" s="1">
        <f t="shared" si="948"/>
        <v>-0.18</v>
      </c>
      <c r="BJ292" s="1">
        <f t="shared" si="948"/>
        <v>-0.18</v>
      </c>
      <c r="BK292" s="1">
        <f>BJ292</f>
        <v>-0.18</v>
      </c>
      <c r="BL292" s="1">
        <f>BK292</f>
        <v>-0.18</v>
      </c>
      <c r="BM292" s="1">
        <f>BL292</f>
        <v>-0.18</v>
      </c>
      <c r="BN292" s="1">
        <f>BM292</f>
        <v>-0.18</v>
      </c>
      <c r="BO292" s="40"/>
      <c r="BP292" s="35">
        <f t="shared" ref="BP292:CF292" si="949">BP291/(BP240+BP198+BP288)</f>
        <v>0.20802919708029197</v>
      </c>
      <c r="BQ292" s="35">
        <f t="shared" si="949"/>
        <v>-0.27863777089783281</v>
      </c>
      <c r="BR292" s="35">
        <f t="shared" si="949"/>
        <v>-0.27918781725888325</v>
      </c>
      <c r="BS292" s="35">
        <f t="shared" si="949"/>
        <v>-0.27868852459016391</v>
      </c>
      <c r="BT292" s="35">
        <f t="shared" si="949"/>
        <v>-0.25</v>
      </c>
      <c r="BU292" s="35">
        <f t="shared" si="949"/>
        <v>-0.25033067320932401</v>
      </c>
      <c r="BV292" s="35">
        <f t="shared" si="949"/>
        <v>-0.22058114271842874</v>
      </c>
      <c r="BW292" s="35">
        <f t="shared" si="949"/>
        <v>-0.21007722007722007</v>
      </c>
      <c r="BX292" s="35">
        <f t="shared" si="949"/>
        <v>-0.21</v>
      </c>
      <c r="BY292" s="35">
        <f t="shared" si="949"/>
        <v>-0.18000000000000002</v>
      </c>
      <c r="BZ292" s="35">
        <f t="shared" si="949"/>
        <v>-0.18</v>
      </c>
      <c r="CA292" s="35">
        <f t="shared" si="949"/>
        <v>-0.18000000000000002</v>
      </c>
      <c r="CB292" s="35">
        <f t="shared" si="949"/>
        <v>-0.18000000000000005</v>
      </c>
      <c r="CC292" s="35">
        <f t="shared" si="949"/>
        <v>-0.18000000000000005</v>
      </c>
      <c r="CD292" s="35">
        <f t="shared" si="949"/>
        <v>-0.18</v>
      </c>
      <c r="CE292" s="35">
        <f t="shared" si="949"/>
        <v>-0.18</v>
      </c>
      <c r="CF292" s="35">
        <f t="shared" si="949"/>
        <v>-0.18000000000000005</v>
      </c>
    </row>
    <row r="293" spans="1:87" ht="12.75" customHeight="1">
      <c r="A293" s="69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  <c r="AU293" s="34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40"/>
      <c r="BP293" s="35"/>
      <c r="BQ293" s="35"/>
      <c r="BR293" s="35"/>
      <c r="BS293" s="35"/>
      <c r="BT293" s="35"/>
      <c r="BU293" s="35"/>
      <c r="BV293" s="35"/>
      <c r="BW293" s="35"/>
      <c r="BX293" s="35"/>
      <c r="BY293" s="35"/>
      <c r="BZ293" s="35"/>
      <c r="CA293" s="35"/>
      <c r="CB293" s="35"/>
      <c r="CC293" s="35"/>
      <c r="CD293" s="35"/>
      <c r="CE293" s="35"/>
      <c r="CF293" s="35"/>
      <c r="CG293" s="24"/>
      <c r="CH293" s="24"/>
      <c r="CI293" s="24"/>
    </row>
    <row r="294" spans="1:87" s="24" customFormat="1" ht="12.75" customHeight="1">
      <c r="A294" s="184" t="s">
        <v>459</v>
      </c>
      <c r="B294" s="184"/>
      <c r="C294" s="184"/>
      <c r="D294" s="184"/>
      <c r="E294" s="184"/>
      <c r="F294" s="184"/>
      <c r="G294" s="184"/>
      <c r="H294" s="184"/>
      <c r="I294" s="184"/>
      <c r="J294" s="184"/>
      <c r="K294" s="184"/>
      <c r="L294" s="184"/>
      <c r="M294" s="184"/>
      <c r="N294" s="184"/>
      <c r="O294" s="184"/>
      <c r="P294" s="184"/>
      <c r="Q294" s="184"/>
      <c r="R294" s="184"/>
      <c r="S294" s="184"/>
      <c r="T294" s="184"/>
      <c r="U294" s="184"/>
      <c r="V294" s="184"/>
      <c r="W294" s="184"/>
      <c r="X294" s="184"/>
      <c r="Y294" s="184"/>
      <c r="Z294" s="184"/>
      <c r="AA294" s="184"/>
      <c r="AB294" s="184"/>
      <c r="AC294" s="184"/>
      <c r="AD294" s="184"/>
      <c r="AE294" s="184"/>
      <c r="AF294" s="184"/>
      <c r="AG294" s="184"/>
      <c r="AH294" s="184"/>
      <c r="AI294" s="184"/>
      <c r="AJ294" s="184"/>
      <c r="AK294" s="184"/>
      <c r="AL294" s="184"/>
      <c r="AM294" s="184"/>
      <c r="AN294" s="184"/>
      <c r="AO294" s="184"/>
      <c r="AP294" s="184"/>
      <c r="AQ294" s="184"/>
      <c r="AR294" s="184"/>
      <c r="AS294" s="184"/>
      <c r="AT294" s="184"/>
      <c r="AU294" s="184"/>
      <c r="AV294" s="184"/>
      <c r="AW294" s="184"/>
      <c r="AX294" s="184"/>
      <c r="AY294" s="184"/>
      <c r="AZ294" s="184"/>
      <c r="BA294" s="184"/>
      <c r="BB294" s="184"/>
      <c r="BC294" s="184"/>
      <c r="BD294" s="184"/>
      <c r="BE294" s="184"/>
      <c r="BF294" s="184"/>
      <c r="BG294" s="184"/>
      <c r="BH294" s="184"/>
      <c r="BI294" s="184"/>
      <c r="BJ294" s="184"/>
      <c r="BK294" s="184"/>
      <c r="BL294" s="184"/>
      <c r="BM294" s="184"/>
      <c r="BN294" s="184"/>
      <c r="BO294" s="184"/>
      <c r="BP294" s="184"/>
      <c r="BQ294" s="184"/>
      <c r="BR294" s="184"/>
      <c r="BS294" s="184"/>
      <c r="BT294" s="184"/>
      <c r="BU294" s="184"/>
      <c r="BV294" s="184"/>
      <c r="BW294" s="184"/>
      <c r="BX294" s="184"/>
      <c r="BY294" s="184"/>
      <c r="BZ294" s="184"/>
      <c r="CA294" s="184"/>
      <c r="CB294" s="184"/>
      <c r="CC294" s="184"/>
      <c r="CD294" s="184"/>
      <c r="CE294" s="184"/>
      <c r="CF294" s="184"/>
      <c r="CG294" s="266"/>
      <c r="CH294" s="266"/>
      <c r="CI294" s="266"/>
    </row>
    <row r="295" spans="1:87" s="266" customFormat="1">
      <c r="A295" s="267" t="s">
        <v>460</v>
      </c>
      <c r="B295" s="268">
        <v>327</v>
      </c>
      <c r="C295" s="269">
        <f t="shared" ref="C295:AH295" si="950">B298</f>
        <v>330</v>
      </c>
      <c r="D295" s="269">
        <f t="shared" si="950"/>
        <v>330</v>
      </c>
      <c r="E295" s="269">
        <f t="shared" si="950"/>
        <v>332</v>
      </c>
      <c r="F295" s="269">
        <f t="shared" si="950"/>
        <v>330</v>
      </c>
      <c r="G295" s="269">
        <f t="shared" si="950"/>
        <v>333</v>
      </c>
      <c r="H295" s="269">
        <f t="shared" si="950"/>
        <v>331</v>
      </c>
      <c r="I295" s="269">
        <f t="shared" si="950"/>
        <v>332</v>
      </c>
      <c r="J295" s="269">
        <f t="shared" si="950"/>
        <v>332</v>
      </c>
      <c r="K295" s="269">
        <f t="shared" si="950"/>
        <v>320</v>
      </c>
      <c r="L295" s="269">
        <f t="shared" si="950"/>
        <v>318</v>
      </c>
      <c r="M295" s="269">
        <f t="shared" si="950"/>
        <v>312</v>
      </c>
      <c r="N295" s="269">
        <f t="shared" si="950"/>
        <v>301</v>
      </c>
      <c r="O295" s="269">
        <f t="shared" si="950"/>
        <v>302</v>
      </c>
      <c r="P295" s="269">
        <f t="shared" si="950"/>
        <v>306</v>
      </c>
      <c r="Q295" s="269">
        <f t="shared" si="950"/>
        <v>309</v>
      </c>
      <c r="R295" s="269">
        <f t="shared" si="950"/>
        <v>309</v>
      </c>
      <c r="S295" s="269">
        <f t="shared" si="950"/>
        <v>311</v>
      </c>
      <c r="T295" s="269">
        <f t="shared" si="950"/>
        <v>313</v>
      </c>
      <c r="U295" s="269">
        <f t="shared" si="950"/>
        <v>312</v>
      </c>
      <c r="V295" s="269">
        <f t="shared" si="950"/>
        <v>310</v>
      </c>
      <c r="W295" s="269">
        <f t="shared" si="950"/>
        <v>310</v>
      </c>
      <c r="X295" s="269">
        <f t="shared" si="950"/>
        <v>310</v>
      </c>
      <c r="Y295" s="269">
        <f t="shared" si="950"/>
        <v>311</v>
      </c>
      <c r="Z295" s="269">
        <f t="shared" si="950"/>
        <v>310</v>
      </c>
      <c r="AA295" s="269">
        <f t="shared" si="950"/>
        <v>301</v>
      </c>
      <c r="AB295" s="269">
        <f t="shared" si="950"/>
        <v>301</v>
      </c>
      <c r="AC295" s="269">
        <f t="shared" si="950"/>
        <v>300</v>
      </c>
      <c r="AD295" s="269">
        <f t="shared" si="950"/>
        <v>307</v>
      </c>
      <c r="AE295" s="269">
        <f t="shared" si="950"/>
        <v>308</v>
      </c>
      <c r="AF295" s="269">
        <f t="shared" si="950"/>
        <v>309</v>
      </c>
      <c r="AG295" s="269">
        <f t="shared" si="950"/>
        <v>308</v>
      </c>
      <c r="AH295" s="269">
        <f t="shared" si="950"/>
        <v>307</v>
      </c>
      <c r="AI295" s="269">
        <f t="shared" ref="AI295:BN295" si="951">AH298</f>
        <v>306</v>
      </c>
      <c r="AJ295" s="269">
        <f t="shared" si="951"/>
        <v>305</v>
      </c>
      <c r="AK295" s="269">
        <f t="shared" si="951"/>
        <v>304</v>
      </c>
      <c r="AL295" s="269">
        <f t="shared" si="951"/>
        <v>301</v>
      </c>
      <c r="AM295" s="269">
        <f t="shared" si="951"/>
        <v>298</v>
      </c>
      <c r="AN295" s="269">
        <f t="shared" si="951"/>
        <v>295</v>
      </c>
      <c r="AO295" s="269">
        <f t="shared" si="951"/>
        <v>291.97891299999998</v>
      </c>
      <c r="AP295" s="269">
        <f t="shared" si="951"/>
        <v>289.67430100000001</v>
      </c>
      <c r="AQ295" s="269">
        <f t="shared" si="951"/>
        <v>288.68761999999998</v>
      </c>
      <c r="AR295" s="269">
        <f t="shared" si="951"/>
        <v>288.79681499999998</v>
      </c>
      <c r="AS295" s="269">
        <f t="shared" si="951"/>
        <v>290.07748099999998</v>
      </c>
      <c r="AT295" s="269">
        <f t="shared" si="951"/>
        <v>287.62602700000002</v>
      </c>
      <c r="AU295" s="269">
        <f t="shared" si="951"/>
        <v>286.19117599999998</v>
      </c>
      <c r="AV295" s="269">
        <f t="shared" si="951"/>
        <v>286.19117599999998</v>
      </c>
      <c r="AW295" s="269">
        <f t="shared" si="951"/>
        <v>284.95177601445192</v>
      </c>
      <c r="AX295" s="269">
        <f t="shared" si="951"/>
        <v>283.39614210864437</v>
      </c>
      <c r="AY295" s="269">
        <f t="shared" si="951"/>
        <v>282.04934793428708</v>
      </c>
      <c r="AZ295" s="269">
        <f t="shared" si="951"/>
        <v>280.44908898264481</v>
      </c>
      <c r="BA295" s="269">
        <f t="shared" si="951"/>
        <v>279.03918620945569</v>
      </c>
      <c r="BB295" s="269">
        <f t="shared" si="951"/>
        <v>277.54088323339039</v>
      </c>
      <c r="BC295" s="269">
        <f t="shared" si="951"/>
        <v>278.58335223077489</v>
      </c>
      <c r="BD295" s="269">
        <f t="shared" si="951"/>
        <v>279.39896934177654</v>
      </c>
      <c r="BE295" s="269">
        <f t="shared" si="951"/>
        <v>280.44459358787623</v>
      </c>
      <c r="BF295" s="269">
        <f t="shared" si="951"/>
        <v>281.37650709111585</v>
      </c>
      <c r="BG295" s="269">
        <f t="shared" si="951"/>
        <v>282.36329377608786</v>
      </c>
      <c r="BH295" s="269">
        <f t="shared" si="951"/>
        <v>283.13804173203738</v>
      </c>
      <c r="BI295" s="269">
        <f t="shared" si="951"/>
        <v>284.30514068461235</v>
      </c>
      <c r="BJ295" s="269">
        <f t="shared" si="951"/>
        <v>285.22870344271951</v>
      </c>
      <c r="BK295" s="269">
        <f t="shared" si="951"/>
        <v>286.19300801426789</v>
      </c>
      <c r="BL295" s="269">
        <f t="shared" si="951"/>
        <v>286.94211135165608</v>
      </c>
      <c r="BM295" s="269">
        <f t="shared" si="951"/>
        <v>287.91236053984363</v>
      </c>
      <c r="BN295" s="269">
        <f t="shared" si="951"/>
        <v>288.78537035342526</v>
      </c>
      <c r="BO295" s="269"/>
      <c r="BP295" s="270">
        <v>322</v>
      </c>
      <c r="BQ295" s="271">
        <f>C298</f>
        <v>330</v>
      </c>
      <c r="BR295" s="271">
        <f t="shared" ref="BR295:CF295" si="952">BQ298</f>
        <v>333</v>
      </c>
      <c r="BS295" s="271">
        <f t="shared" si="952"/>
        <v>320</v>
      </c>
      <c r="BT295" s="271">
        <f t="shared" si="952"/>
        <v>302</v>
      </c>
      <c r="BU295" s="271">
        <f t="shared" si="952"/>
        <v>311</v>
      </c>
      <c r="BV295" s="271">
        <f t="shared" si="952"/>
        <v>310</v>
      </c>
      <c r="BW295" s="271">
        <f t="shared" si="952"/>
        <v>301</v>
      </c>
      <c r="BX295" s="271">
        <f t="shared" si="952"/>
        <v>308</v>
      </c>
      <c r="BY295" s="271">
        <f t="shared" si="952"/>
        <v>306</v>
      </c>
      <c r="BZ295" s="271">
        <f t="shared" si="952"/>
        <v>298</v>
      </c>
      <c r="CA295" s="271">
        <f t="shared" si="952"/>
        <v>288.68761999999998</v>
      </c>
      <c r="CB295" s="271">
        <f t="shared" si="952"/>
        <v>286.19117599999998</v>
      </c>
      <c r="CC295" s="271">
        <f t="shared" si="952"/>
        <v>282.04934793428708</v>
      </c>
      <c r="CD295" s="271">
        <f t="shared" si="952"/>
        <v>278.58335223077489</v>
      </c>
      <c r="CE295" s="271">
        <f t="shared" si="952"/>
        <v>282.36329377608786</v>
      </c>
      <c r="CF295" s="271">
        <f t="shared" si="952"/>
        <v>286.19300801426789</v>
      </c>
    </row>
    <row r="296" spans="1:87" s="266" customFormat="1">
      <c r="A296" s="272" t="s">
        <v>461</v>
      </c>
      <c r="B296" s="269">
        <f t="shared" ref="B296:AB296" si="953">B298-B297-B295</f>
        <v>3</v>
      </c>
      <c r="C296" s="269">
        <f t="shared" si="953"/>
        <v>0</v>
      </c>
      <c r="D296" s="269">
        <f t="shared" si="953"/>
        <v>2</v>
      </c>
      <c r="E296" s="269">
        <f t="shared" si="953"/>
        <v>-2</v>
      </c>
      <c r="F296" s="269">
        <f t="shared" si="953"/>
        <v>6</v>
      </c>
      <c r="G296" s="269">
        <f t="shared" si="953"/>
        <v>2</v>
      </c>
      <c r="H296" s="269">
        <f t="shared" si="953"/>
        <v>6</v>
      </c>
      <c r="I296" s="269">
        <f t="shared" si="953"/>
        <v>2</v>
      </c>
      <c r="J296" s="269">
        <f t="shared" si="953"/>
        <v>2</v>
      </c>
      <c r="K296" s="269">
        <f t="shared" si="953"/>
        <v>2.3000000000000114</v>
      </c>
      <c r="L296" s="269">
        <f t="shared" si="953"/>
        <v>2.3999999999999773</v>
      </c>
      <c r="M296" s="269">
        <f t="shared" si="953"/>
        <v>1.1999999999999886</v>
      </c>
      <c r="N296" s="269">
        <f t="shared" si="953"/>
        <v>2</v>
      </c>
      <c r="O296" s="269">
        <f t="shared" si="953"/>
        <v>4</v>
      </c>
      <c r="P296" s="269">
        <f t="shared" si="953"/>
        <v>3</v>
      </c>
      <c r="Q296" s="269">
        <f t="shared" si="953"/>
        <v>0</v>
      </c>
      <c r="R296" s="269">
        <f t="shared" si="953"/>
        <v>2</v>
      </c>
      <c r="S296" s="269">
        <f t="shared" si="953"/>
        <v>3.3999999999999773</v>
      </c>
      <c r="T296" s="269">
        <f t="shared" si="953"/>
        <v>1.6000000000000227</v>
      </c>
      <c r="U296" s="269">
        <f t="shared" si="953"/>
        <v>0.5</v>
      </c>
      <c r="V296" s="269">
        <f t="shared" si="953"/>
        <v>1.8000000000000114</v>
      </c>
      <c r="W296" s="269">
        <f t="shared" si="953"/>
        <v>2.1999999999999886</v>
      </c>
      <c r="X296" s="269">
        <f t="shared" si="953"/>
        <v>2.8000000000000114</v>
      </c>
      <c r="Y296" s="269">
        <f t="shared" si="953"/>
        <v>0.80000000000001137</v>
      </c>
      <c r="Z296" s="269">
        <f t="shared" si="953"/>
        <v>0.89999999999997726</v>
      </c>
      <c r="AA296" s="269">
        <f t="shared" si="953"/>
        <v>1.8999999999999773</v>
      </c>
      <c r="AB296" s="269">
        <f t="shared" si="953"/>
        <v>0.60000000000002274</v>
      </c>
      <c r="AC296" s="269">
        <f t="shared" ref="AC296:BN296" si="954">AC309/AC308</f>
        <v>0.5921191757325126</v>
      </c>
      <c r="AD296" s="269">
        <f t="shared" si="954"/>
        <v>0.61075875029363402</v>
      </c>
      <c r="AE296" s="269">
        <f t="shared" si="954"/>
        <v>0.46604958249724926</v>
      </c>
      <c r="AF296" s="269">
        <f t="shared" si="954"/>
        <v>0.56667580659903116</v>
      </c>
      <c r="AG296" s="269">
        <f t="shared" si="954"/>
        <v>0.56676843461100168</v>
      </c>
      <c r="AH296" s="269">
        <f t="shared" si="954"/>
        <v>0.56929923038426666</v>
      </c>
      <c r="AI296" s="269">
        <f t="shared" si="954"/>
        <v>0.52654430779894978</v>
      </c>
      <c r="AJ296" s="269">
        <f t="shared" si="954"/>
        <v>0.51199077973314411</v>
      </c>
      <c r="AK296" s="269">
        <f t="shared" si="954"/>
        <v>0.81759994185955975</v>
      </c>
      <c r="AL296" s="269">
        <f t="shared" si="954"/>
        <v>0.77012476263277874</v>
      </c>
      <c r="AM296" s="269">
        <f t="shared" si="954"/>
        <v>0.76628288651548726</v>
      </c>
      <c r="AN296" s="269">
        <f t="shared" si="954"/>
        <v>0.97931268482697398</v>
      </c>
      <c r="AO296" s="269">
        <f t="shared" si="954"/>
        <v>0.91672720203808078</v>
      </c>
      <c r="AP296" s="269">
        <f t="shared" si="954"/>
        <v>0.864412529684496</v>
      </c>
      <c r="AQ296" s="269">
        <f t="shared" si="954"/>
        <v>0.8633116721726406</v>
      </c>
      <c r="AR296" s="269">
        <f t="shared" si="954"/>
        <v>0.82983027311630297</v>
      </c>
      <c r="AS296" s="269">
        <f t="shared" si="954"/>
        <v>0.86099906919019553</v>
      </c>
      <c r="AT296" s="269">
        <f t="shared" si="954"/>
        <v>0.78683317692918497</v>
      </c>
      <c r="AU296" s="269">
        <f t="shared" si="954"/>
        <v>0.8809641271407429</v>
      </c>
      <c r="AV296" s="273">
        <f t="shared" si="954"/>
        <v>1.0606000144519423</v>
      </c>
      <c r="AW296" s="273">
        <f t="shared" si="954"/>
        <v>0.94436609419242112</v>
      </c>
      <c r="AX296" s="273">
        <f t="shared" si="954"/>
        <v>1.1532058256427125</v>
      </c>
      <c r="AY296" s="273">
        <f t="shared" si="954"/>
        <v>0.89974104835772295</v>
      </c>
      <c r="AZ296" s="273">
        <f t="shared" si="954"/>
        <v>1.0900972268108633</v>
      </c>
      <c r="BA296" s="273">
        <f t="shared" si="954"/>
        <v>1.0016970239346801</v>
      </c>
      <c r="BB296" s="273">
        <f t="shared" si="954"/>
        <v>1.0424689973845205</v>
      </c>
      <c r="BC296" s="273">
        <f t="shared" si="954"/>
        <v>0.81561711100163192</v>
      </c>
      <c r="BD296" s="273">
        <f t="shared" si="954"/>
        <v>1.045624246099689</v>
      </c>
      <c r="BE296" s="273">
        <f t="shared" si="954"/>
        <v>0.93191350323961852</v>
      </c>
      <c r="BF296" s="273">
        <f t="shared" si="954"/>
        <v>0.98678668497198563</v>
      </c>
      <c r="BG296" s="273">
        <f t="shared" si="954"/>
        <v>0.77474795594953982</v>
      </c>
      <c r="BH296" s="273">
        <f t="shared" si="954"/>
        <v>1.1670989525749615</v>
      </c>
      <c r="BI296" s="273">
        <f t="shared" si="954"/>
        <v>0.92356275810718047</v>
      </c>
      <c r="BJ296" s="273">
        <f t="shared" si="954"/>
        <v>0.96430457154840521</v>
      </c>
      <c r="BK296" s="273">
        <f t="shared" si="954"/>
        <v>0.7491033373882201</v>
      </c>
      <c r="BL296" s="273">
        <f t="shared" si="954"/>
        <v>0.9702491881875569</v>
      </c>
      <c r="BM296" s="273">
        <f t="shared" si="954"/>
        <v>0.87300981358163599</v>
      </c>
      <c r="BN296" s="273">
        <f t="shared" si="954"/>
        <v>0.92414711891669199</v>
      </c>
      <c r="BO296" s="273"/>
      <c r="BP296" s="270">
        <v>8</v>
      </c>
      <c r="BQ296" s="271">
        <f>SUM(C296:F296)</f>
        <v>6</v>
      </c>
      <c r="BR296" s="271">
        <f>SUM(G296:J296)</f>
        <v>12</v>
      </c>
      <c r="BS296" s="271">
        <f>SUM(K296:N296)</f>
        <v>7.8999999999999773</v>
      </c>
      <c r="BT296" s="271">
        <f>SUM(O296:R296)</f>
        <v>9</v>
      </c>
      <c r="BU296" s="271">
        <f>SUM(S296:V296)</f>
        <v>7.3000000000000114</v>
      </c>
      <c r="BV296" s="271">
        <f>SUM(W296:Z296)</f>
        <v>6.6999999999999886</v>
      </c>
      <c r="BW296" s="271">
        <f>SUM(AA296:AD296)</f>
        <v>3.7028779260261464</v>
      </c>
      <c r="BX296" s="271">
        <f>SUM(AE296:AH296)</f>
        <v>2.168793054091549</v>
      </c>
      <c r="BY296" s="271">
        <f>SUM(AI296:AL296)</f>
        <v>2.6262597920244324</v>
      </c>
      <c r="BZ296" s="271">
        <f>SUM(AM296:AP296)</f>
        <v>3.5267353030650379</v>
      </c>
      <c r="CA296" s="271">
        <f>SUM(AQ296:AT296)</f>
        <v>3.340974191408324</v>
      </c>
      <c r="CB296" s="271">
        <f>SUM(AU296:AX296)</f>
        <v>4.0391360614278184</v>
      </c>
      <c r="CC296" s="271">
        <f>SUM(AY296:BB296)</f>
        <v>4.0340042964877867</v>
      </c>
      <c r="CD296" s="271">
        <f>SUM(BC296:BF296)</f>
        <v>3.779941545312925</v>
      </c>
      <c r="CE296" s="271">
        <f>SUM(BG296:BJ296)</f>
        <v>3.8297142381800873</v>
      </c>
      <c r="CF296" s="271">
        <f>SUM(BK296:BN296)</f>
        <v>3.516509458074105</v>
      </c>
    </row>
    <row r="297" spans="1:87" s="266" customFormat="1">
      <c r="A297" s="274" t="s">
        <v>462</v>
      </c>
      <c r="B297" s="268">
        <v>0</v>
      </c>
      <c r="C297" s="268">
        <v>0</v>
      </c>
      <c r="D297" s="268">
        <v>0</v>
      </c>
      <c r="E297" s="268">
        <v>0</v>
      </c>
      <c r="F297" s="268">
        <v>-3</v>
      </c>
      <c r="G297" s="268">
        <v>-4</v>
      </c>
      <c r="H297" s="268">
        <v>-5</v>
      </c>
      <c r="I297" s="268">
        <v>-2</v>
      </c>
      <c r="J297" s="268">
        <v>-14</v>
      </c>
      <c r="K297" s="268">
        <v>-4.3</v>
      </c>
      <c r="L297" s="268">
        <v>-8.4</v>
      </c>
      <c r="M297" s="268">
        <v>-12.2</v>
      </c>
      <c r="N297" s="268">
        <v>-1</v>
      </c>
      <c r="O297" s="268">
        <v>0</v>
      </c>
      <c r="P297" s="268">
        <v>0</v>
      </c>
      <c r="Q297" s="268">
        <v>0</v>
      </c>
      <c r="R297" s="275">
        <v>0</v>
      </c>
      <c r="S297" s="275">
        <v>-1.4</v>
      </c>
      <c r="T297" s="268">
        <v>-2.6</v>
      </c>
      <c r="U297" s="268">
        <v>-2.5</v>
      </c>
      <c r="V297" s="268">
        <v>-1.8</v>
      </c>
      <c r="W297" s="268">
        <v>-2.2000000000000002</v>
      </c>
      <c r="X297" s="268">
        <v>-1.8</v>
      </c>
      <c r="Y297" s="268">
        <v>-1.8</v>
      </c>
      <c r="Z297" s="268">
        <v>-9.9</v>
      </c>
      <c r="AA297" s="268">
        <v>-1.9</v>
      </c>
      <c r="AB297" s="268">
        <v>-1.6</v>
      </c>
      <c r="AC297" s="275">
        <v>-1.5</v>
      </c>
      <c r="AD297" s="275">
        <v>-1.5</v>
      </c>
      <c r="AE297" s="275">
        <v>-1.4</v>
      </c>
      <c r="AF297" s="275">
        <v>-1.5</v>
      </c>
      <c r="AG297" s="275">
        <v>-1.5</v>
      </c>
      <c r="AH297" s="275">
        <v>-1.2</v>
      </c>
      <c r="AI297" s="275">
        <v>-2.2999999999999998</v>
      </c>
      <c r="AJ297" s="275">
        <v>-2.2999999999999998</v>
      </c>
      <c r="AK297" s="275">
        <v>-3.2</v>
      </c>
      <c r="AL297" s="275">
        <v>-3.2</v>
      </c>
      <c r="AM297" s="275">
        <v>-3.2</v>
      </c>
      <c r="AN297" s="275">
        <v>-3.3</v>
      </c>
      <c r="AO297" s="275">
        <v>-3.1</v>
      </c>
      <c r="AP297" s="275">
        <v>-2.7</v>
      </c>
      <c r="AQ297" s="275">
        <v>-0.747</v>
      </c>
      <c r="AR297" s="275">
        <v>0</v>
      </c>
      <c r="AS297" s="275">
        <v>-2.5</v>
      </c>
      <c r="AT297" s="275">
        <v>-2.4</v>
      </c>
      <c r="AU297" s="275">
        <v>-2.5</v>
      </c>
      <c r="AV297" s="275">
        <v>-2.2999999999999998</v>
      </c>
      <c r="AW297" s="276">
        <v>-2.5</v>
      </c>
      <c r="AX297" s="276">
        <v>-2.5</v>
      </c>
      <c r="AY297" s="276">
        <v>-2.5</v>
      </c>
      <c r="AZ297" s="276">
        <v>-2.5</v>
      </c>
      <c r="BA297" s="276">
        <v>-2.5</v>
      </c>
      <c r="BB297" s="276">
        <v>0</v>
      </c>
      <c r="BC297" s="276">
        <v>0</v>
      </c>
      <c r="BD297" s="276">
        <v>0</v>
      </c>
      <c r="BE297" s="276">
        <v>0</v>
      </c>
      <c r="BF297" s="276">
        <v>0</v>
      </c>
      <c r="BG297" s="276">
        <v>0</v>
      </c>
      <c r="BH297" s="276">
        <v>0</v>
      </c>
      <c r="BI297" s="276">
        <v>0</v>
      </c>
      <c r="BJ297" s="276">
        <v>0</v>
      </c>
      <c r="BK297" s="276">
        <v>0</v>
      </c>
      <c r="BL297" s="276">
        <v>0</v>
      </c>
      <c r="BM297" s="276">
        <v>0</v>
      </c>
      <c r="BN297" s="276">
        <v>0</v>
      </c>
      <c r="BO297" s="276"/>
      <c r="BP297" s="270">
        <v>0</v>
      </c>
      <c r="BQ297" s="271">
        <f>SUM(C297:F297)</f>
        <v>-3</v>
      </c>
      <c r="BR297" s="271">
        <f>SUM(G297:J297)</f>
        <v>-25</v>
      </c>
      <c r="BS297" s="271">
        <f>SUM(K297:N297)</f>
        <v>-25.9</v>
      </c>
      <c r="BT297" s="271">
        <f>SUM(O297:R297)</f>
        <v>0</v>
      </c>
      <c r="BU297" s="271">
        <f>SUM(S297:V297)</f>
        <v>-8.3000000000000007</v>
      </c>
      <c r="BV297" s="271">
        <f>SUM(W297:Z297)</f>
        <v>-15.7</v>
      </c>
      <c r="BW297" s="271">
        <f>SUM(AA297:AD297)</f>
        <v>-6.5</v>
      </c>
      <c r="BX297" s="271">
        <f>SUM(AE297:AH297)</f>
        <v>-5.6000000000000005</v>
      </c>
      <c r="BY297" s="271">
        <f>SUM(AI297:AL297)</f>
        <v>-11</v>
      </c>
      <c r="BZ297" s="271">
        <f>SUM(AM297:AP297)</f>
        <v>-12.3</v>
      </c>
      <c r="CA297" s="271">
        <f>SUM(AQ297:AT297)</f>
        <v>-5.6470000000000002</v>
      </c>
      <c r="CB297" s="271">
        <f>SUM(AU297:AX297)</f>
        <v>-9.8000000000000007</v>
      </c>
      <c r="CC297" s="271">
        <f>SUM(AY297:BB297)</f>
        <v>-7.5</v>
      </c>
      <c r="CD297" s="271">
        <f>SUM(BC297:BF297)</f>
        <v>0</v>
      </c>
      <c r="CE297" s="271">
        <f>SUM(BG297:BJ297)</f>
        <v>0</v>
      </c>
      <c r="CF297" s="271">
        <f>SUM(BK297:BN297)</f>
        <v>0</v>
      </c>
    </row>
    <row r="298" spans="1:87" s="266" customFormat="1">
      <c r="A298" s="272" t="s">
        <v>463</v>
      </c>
      <c r="B298" s="268">
        <v>330</v>
      </c>
      <c r="C298" s="268">
        <v>330</v>
      </c>
      <c r="D298" s="268">
        <v>332</v>
      </c>
      <c r="E298" s="268">
        <v>330</v>
      </c>
      <c r="F298" s="268">
        <v>333</v>
      </c>
      <c r="G298" s="268">
        <v>331</v>
      </c>
      <c r="H298" s="268">
        <v>332</v>
      </c>
      <c r="I298" s="268">
        <v>332</v>
      </c>
      <c r="J298" s="268">
        <v>320</v>
      </c>
      <c r="K298" s="268">
        <v>318</v>
      </c>
      <c r="L298" s="268">
        <v>312</v>
      </c>
      <c r="M298" s="268">
        <v>301</v>
      </c>
      <c r="N298" s="268">
        <v>302</v>
      </c>
      <c r="O298" s="268">
        <v>306</v>
      </c>
      <c r="P298" s="268">
        <v>309</v>
      </c>
      <c r="Q298" s="268">
        <v>309</v>
      </c>
      <c r="R298" s="268">
        <v>311</v>
      </c>
      <c r="S298" s="268">
        <v>313</v>
      </c>
      <c r="T298" s="268">
        <v>312</v>
      </c>
      <c r="U298" s="268">
        <v>310</v>
      </c>
      <c r="V298" s="268">
        <v>310</v>
      </c>
      <c r="W298" s="268">
        <v>310</v>
      </c>
      <c r="X298" s="268">
        <v>311</v>
      </c>
      <c r="Y298" s="268">
        <v>310</v>
      </c>
      <c r="Z298" s="268">
        <v>301</v>
      </c>
      <c r="AA298" s="277">
        <v>301</v>
      </c>
      <c r="AB298" s="277">
        <v>300</v>
      </c>
      <c r="AC298" s="277">
        <v>307</v>
      </c>
      <c r="AD298" s="268">
        <v>308</v>
      </c>
      <c r="AE298" s="268">
        <v>309</v>
      </c>
      <c r="AF298" s="268">
        <v>308</v>
      </c>
      <c r="AG298" s="268">
        <v>307</v>
      </c>
      <c r="AH298" s="268">
        <v>306</v>
      </c>
      <c r="AI298" s="268">
        <v>305</v>
      </c>
      <c r="AJ298" s="268">
        <v>304</v>
      </c>
      <c r="AK298" s="268">
        <v>301</v>
      </c>
      <c r="AL298" s="268">
        <v>298</v>
      </c>
      <c r="AM298" s="268">
        <v>295</v>
      </c>
      <c r="AN298" s="268">
        <v>291.97891299999998</v>
      </c>
      <c r="AO298" s="268">
        <v>289.67430100000001</v>
      </c>
      <c r="AP298" s="268">
        <v>288.68761999999998</v>
      </c>
      <c r="AQ298" s="268">
        <v>288.79681499999998</v>
      </c>
      <c r="AR298" s="268">
        <v>290.07748099999998</v>
      </c>
      <c r="AS298" s="268">
        <v>287.62602700000002</v>
      </c>
      <c r="AT298" s="277">
        <f>286.191176</f>
        <v>286.19117599999998</v>
      </c>
      <c r="AU298" s="277">
        <v>286.19117599999998</v>
      </c>
      <c r="AV298" s="277">
        <v>284.95177601445192</v>
      </c>
      <c r="AW298" s="269">
        <f t="shared" ref="AW298:BN298" si="955">AW295+AW296+AW297</f>
        <v>283.39614210864437</v>
      </c>
      <c r="AX298" s="269">
        <f t="shared" si="955"/>
        <v>282.04934793428708</v>
      </c>
      <c r="AY298" s="269">
        <f t="shared" si="955"/>
        <v>280.44908898264481</v>
      </c>
      <c r="AZ298" s="269">
        <f t="shared" si="955"/>
        <v>279.03918620945569</v>
      </c>
      <c r="BA298" s="269">
        <f t="shared" si="955"/>
        <v>277.54088323339039</v>
      </c>
      <c r="BB298" s="269">
        <f t="shared" si="955"/>
        <v>278.58335223077489</v>
      </c>
      <c r="BC298" s="269">
        <f t="shared" si="955"/>
        <v>279.39896934177654</v>
      </c>
      <c r="BD298" s="269">
        <f t="shared" si="955"/>
        <v>280.44459358787623</v>
      </c>
      <c r="BE298" s="269">
        <f t="shared" si="955"/>
        <v>281.37650709111585</v>
      </c>
      <c r="BF298" s="269">
        <f t="shared" si="955"/>
        <v>282.36329377608786</v>
      </c>
      <c r="BG298" s="269">
        <f t="shared" si="955"/>
        <v>283.13804173203738</v>
      </c>
      <c r="BH298" s="269">
        <f t="shared" si="955"/>
        <v>284.30514068461235</v>
      </c>
      <c r="BI298" s="269">
        <f t="shared" si="955"/>
        <v>285.22870344271951</v>
      </c>
      <c r="BJ298" s="269">
        <f t="shared" si="955"/>
        <v>286.19300801426789</v>
      </c>
      <c r="BK298" s="269">
        <f t="shared" si="955"/>
        <v>286.94211135165608</v>
      </c>
      <c r="BL298" s="269">
        <f t="shared" si="955"/>
        <v>287.91236053984363</v>
      </c>
      <c r="BM298" s="269">
        <f t="shared" si="955"/>
        <v>288.78537035342526</v>
      </c>
      <c r="BN298" s="269">
        <f t="shared" si="955"/>
        <v>289.70951747234193</v>
      </c>
      <c r="BO298" s="269"/>
      <c r="BP298" s="271">
        <f>C298</f>
        <v>330</v>
      </c>
      <c r="BQ298" s="271">
        <f>F298</f>
        <v>333</v>
      </c>
      <c r="BR298" s="271">
        <f>J298</f>
        <v>320</v>
      </c>
      <c r="BS298" s="271">
        <f>N298</f>
        <v>302</v>
      </c>
      <c r="BT298" s="271">
        <f>R298</f>
        <v>311</v>
      </c>
      <c r="BU298" s="271">
        <f>V298</f>
        <v>310</v>
      </c>
      <c r="BV298" s="271">
        <f>Z298</f>
        <v>301</v>
      </c>
      <c r="BW298" s="271">
        <f>AD298</f>
        <v>308</v>
      </c>
      <c r="BX298" s="271">
        <f>AH298</f>
        <v>306</v>
      </c>
      <c r="BY298" s="271">
        <f>AL298</f>
        <v>298</v>
      </c>
      <c r="BZ298" s="271">
        <f>AP298</f>
        <v>288.68761999999998</v>
      </c>
      <c r="CA298" s="271">
        <f>AT298</f>
        <v>286.19117599999998</v>
      </c>
      <c r="CB298" s="271">
        <f>AX298</f>
        <v>282.04934793428708</v>
      </c>
      <c r="CC298" s="271">
        <f>BB298</f>
        <v>278.58335223077489</v>
      </c>
      <c r="CD298" s="271">
        <f>BF298</f>
        <v>282.36329377608786</v>
      </c>
      <c r="CE298" s="271">
        <f>BJ298</f>
        <v>286.19300801426789</v>
      </c>
      <c r="CF298" s="271">
        <f>BN298</f>
        <v>289.70951747234193</v>
      </c>
    </row>
    <row r="299" spans="1:87" s="266" customFormat="1">
      <c r="A299" s="278"/>
      <c r="B299" s="278"/>
      <c r="C299" s="278"/>
      <c r="D299" s="278"/>
      <c r="E299" s="278"/>
      <c r="F299" s="278"/>
      <c r="G299" s="278"/>
      <c r="H299" s="278"/>
      <c r="I299" s="278"/>
      <c r="J299" s="279"/>
      <c r="K299" s="279"/>
      <c r="L299" s="278"/>
      <c r="M299" s="278"/>
      <c r="N299" s="278"/>
      <c r="O299" s="278"/>
      <c r="P299" s="278"/>
      <c r="Q299" s="278"/>
      <c r="R299" s="278"/>
      <c r="S299" s="278"/>
      <c r="T299" s="278"/>
      <c r="U299" s="278"/>
      <c r="V299" s="278"/>
      <c r="W299" s="278"/>
      <c r="X299" s="280"/>
      <c r="Y299" s="280"/>
      <c r="Z299" s="280"/>
      <c r="AA299" s="278"/>
      <c r="AB299" s="278"/>
      <c r="AC299" s="278"/>
      <c r="AD299" s="278"/>
      <c r="AE299" s="280"/>
      <c r="AF299" s="278"/>
      <c r="AG299" s="278"/>
      <c r="AH299" s="278"/>
      <c r="AI299" s="278"/>
      <c r="AJ299" s="278"/>
      <c r="AK299" s="278"/>
      <c r="AL299" s="278"/>
      <c r="AM299" s="278"/>
      <c r="AN299" s="278"/>
      <c r="AO299" s="278"/>
      <c r="AP299" s="278"/>
      <c r="AQ299" s="278"/>
      <c r="AR299" s="278"/>
      <c r="AS299" s="278"/>
      <c r="AT299" s="278"/>
      <c r="AU299" s="278"/>
      <c r="AV299" s="278"/>
      <c r="AW299" s="278"/>
      <c r="AX299" s="278"/>
      <c r="AY299" s="278"/>
      <c r="AZ299" s="278"/>
      <c r="BA299" s="278"/>
      <c r="BB299" s="278"/>
      <c r="BC299" s="278"/>
      <c r="BD299" s="278"/>
      <c r="BE299" s="278"/>
      <c r="BF299" s="278"/>
      <c r="BG299" s="278"/>
      <c r="BH299" s="278"/>
      <c r="BI299" s="278"/>
      <c r="BJ299" s="278"/>
      <c r="BK299" s="278"/>
      <c r="BL299" s="278"/>
      <c r="BM299" s="278"/>
      <c r="BN299" s="278"/>
      <c r="BO299" s="278"/>
      <c r="BP299" s="271"/>
      <c r="BQ299" s="271"/>
      <c r="BR299" s="271"/>
      <c r="BS299" s="271"/>
      <c r="BT299" s="271"/>
      <c r="BU299" s="271"/>
      <c r="BV299" s="271"/>
      <c r="BW299" s="271"/>
      <c r="BX299" s="271"/>
      <c r="BY299" s="271"/>
      <c r="BZ299" s="271"/>
      <c r="CA299" s="271"/>
      <c r="CB299" s="271"/>
      <c r="CC299" s="271"/>
      <c r="CD299" s="271"/>
      <c r="CE299" s="271"/>
      <c r="CF299" s="271"/>
      <c r="CG299" s="132"/>
      <c r="CH299" s="132"/>
      <c r="CI299" s="132"/>
    </row>
    <row r="300" spans="1:87" s="132" customFormat="1">
      <c r="A300" s="281" t="s">
        <v>464</v>
      </c>
      <c r="B300" s="282">
        <v>327</v>
      </c>
      <c r="C300" s="282">
        <v>328</v>
      </c>
      <c r="D300" s="282">
        <v>329</v>
      </c>
      <c r="E300" s="282">
        <v>332</v>
      </c>
      <c r="F300" s="282">
        <v>333</v>
      </c>
      <c r="G300" s="282">
        <v>331</v>
      </c>
      <c r="H300" s="282">
        <v>331</v>
      </c>
      <c r="I300" s="282">
        <v>332</v>
      </c>
      <c r="J300" s="282">
        <v>329</v>
      </c>
      <c r="K300" s="282">
        <v>317</v>
      </c>
      <c r="L300" s="282">
        <v>316</v>
      </c>
      <c r="M300" s="282">
        <v>304</v>
      </c>
      <c r="N300" s="282">
        <v>301</v>
      </c>
      <c r="O300" s="282">
        <v>304</v>
      </c>
      <c r="P300" s="282">
        <v>308</v>
      </c>
      <c r="Q300" s="282">
        <v>309</v>
      </c>
      <c r="R300" s="282">
        <v>310</v>
      </c>
      <c r="S300" s="282">
        <v>313</v>
      </c>
      <c r="T300" s="282">
        <v>313</v>
      </c>
      <c r="U300" s="282">
        <v>311</v>
      </c>
      <c r="V300" s="282">
        <v>310</v>
      </c>
      <c r="W300" s="282">
        <v>311</v>
      </c>
      <c r="X300" s="282">
        <v>312</v>
      </c>
      <c r="Y300" s="282">
        <v>311</v>
      </c>
      <c r="Z300" s="282">
        <v>307</v>
      </c>
      <c r="AA300" s="282">
        <v>301</v>
      </c>
      <c r="AB300" s="282">
        <v>301</v>
      </c>
      <c r="AC300" s="282">
        <v>303</v>
      </c>
      <c r="AD300" s="282">
        <v>308</v>
      </c>
      <c r="AE300" s="282">
        <v>309</v>
      </c>
      <c r="AF300" s="282">
        <v>309</v>
      </c>
      <c r="AG300" s="282">
        <v>308</v>
      </c>
      <c r="AH300" s="282">
        <v>307</v>
      </c>
      <c r="AI300" s="282">
        <v>306</v>
      </c>
      <c r="AJ300" s="282">
        <v>305</v>
      </c>
      <c r="AK300" s="282">
        <v>302</v>
      </c>
      <c r="AL300" s="282">
        <v>299</v>
      </c>
      <c r="AM300" s="282">
        <v>297</v>
      </c>
      <c r="AN300" s="282">
        <v>295</v>
      </c>
      <c r="AO300" s="282">
        <v>292</v>
      </c>
      <c r="AP300" s="282">
        <v>290</v>
      </c>
      <c r="AQ300" s="282">
        <v>289</v>
      </c>
      <c r="AR300" s="282">
        <v>289</v>
      </c>
      <c r="AS300" s="282">
        <v>290</v>
      </c>
      <c r="AT300" s="282">
        <v>288</v>
      </c>
      <c r="AU300" s="282">
        <v>286</v>
      </c>
      <c r="AV300" s="282">
        <v>285</v>
      </c>
      <c r="AW300" s="283">
        <f t="shared" ref="AW300:BN300" si="956">AVERAGE(AW298,AW295)</f>
        <v>284.17395906154815</v>
      </c>
      <c r="AX300" s="283">
        <f t="shared" si="956"/>
        <v>282.7227450214657</v>
      </c>
      <c r="AY300" s="283">
        <f t="shared" si="956"/>
        <v>281.24921845846598</v>
      </c>
      <c r="AZ300" s="283">
        <f t="shared" si="956"/>
        <v>279.74413759605022</v>
      </c>
      <c r="BA300" s="283">
        <f t="shared" si="956"/>
        <v>278.29003472142301</v>
      </c>
      <c r="BB300" s="283">
        <f t="shared" si="956"/>
        <v>278.06211773208264</v>
      </c>
      <c r="BC300" s="283">
        <f t="shared" si="956"/>
        <v>278.99116078627571</v>
      </c>
      <c r="BD300" s="283">
        <f t="shared" si="956"/>
        <v>279.92178146482638</v>
      </c>
      <c r="BE300" s="283">
        <f t="shared" si="956"/>
        <v>280.91055033949601</v>
      </c>
      <c r="BF300" s="283">
        <f t="shared" si="956"/>
        <v>281.86990043360186</v>
      </c>
      <c r="BG300" s="283">
        <f t="shared" si="956"/>
        <v>282.75066775406265</v>
      </c>
      <c r="BH300" s="283">
        <f t="shared" si="956"/>
        <v>283.72159120832487</v>
      </c>
      <c r="BI300" s="283">
        <f t="shared" si="956"/>
        <v>284.7669220636659</v>
      </c>
      <c r="BJ300" s="283">
        <f t="shared" si="956"/>
        <v>285.7108557284937</v>
      </c>
      <c r="BK300" s="283">
        <f t="shared" si="956"/>
        <v>286.56755968296198</v>
      </c>
      <c r="BL300" s="283">
        <f t="shared" si="956"/>
        <v>287.42723594574989</v>
      </c>
      <c r="BM300" s="283">
        <f t="shared" si="956"/>
        <v>288.34886544663448</v>
      </c>
      <c r="BN300" s="283">
        <f t="shared" si="956"/>
        <v>289.24744391288357</v>
      </c>
      <c r="BO300" s="283"/>
      <c r="BP300" s="284">
        <v>325.5</v>
      </c>
      <c r="BQ300" s="285">
        <f t="shared" ref="BQ300:BQ305" si="957">AVERAGE(C300:F300)</f>
        <v>330.5</v>
      </c>
      <c r="BR300" s="285">
        <f t="shared" ref="BR300:BR305" si="958">AVERAGE(G300:J300)</f>
        <v>330.75</v>
      </c>
      <c r="BS300" s="285">
        <f t="shared" ref="BS300:BS305" si="959">AVERAGE(K300:N300)</f>
        <v>309.5</v>
      </c>
      <c r="BT300" s="285">
        <f t="shared" ref="BT300:BT305" si="960">AVERAGE(O300:R300)</f>
        <v>307.75</v>
      </c>
      <c r="BU300" s="285">
        <f t="shared" ref="BU300:BU305" si="961">AVERAGE(S300:V300)</f>
        <v>311.75</v>
      </c>
      <c r="BV300" s="285">
        <f t="shared" ref="BV300:BV305" si="962">AVERAGE(W300:Z300)</f>
        <v>310.25</v>
      </c>
      <c r="BW300" s="285">
        <f t="shared" ref="BW300:BW305" si="963">AVERAGE(AA300:AD300)</f>
        <v>303.25</v>
      </c>
      <c r="BX300" s="285">
        <f t="shared" ref="BX300:BX305" si="964">AVERAGE(AE300:AH300)</f>
        <v>308.25</v>
      </c>
      <c r="BY300" s="285">
        <f t="shared" ref="BY300:BY305" si="965">AVERAGE(AI300:AL300)</f>
        <v>303</v>
      </c>
      <c r="BZ300" s="285">
        <f t="shared" ref="BZ300:BZ305" si="966">AVERAGE(AM300:AP300)</f>
        <v>293.5</v>
      </c>
      <c r="CA300" s="285">
        <f t="shared" ref="CA300:CA305" si="967">AVERAGE(AQ300:AT300)</f>
        <v>289</v>
      </c>
      <c r="CB300" s="285">
        <f t="shared" ref="CB300:CB305" si="968">AVERAGE(AU300:AX300)</f>
        <v>284.47417602075348</v>
      </c>
      <c r="CC300" s="285">
        <f t="shared" ref="CC300:CC305" si="969">AVERAGE(AY300:BB300)</f>
        <v>279.33637712700545</v>
      </c>
      <c r="CD300" s="285">
        <f t="shared" ref="CD300:CD305" si="970">AVERAGE(BC300:BF300)</f>
        <v>280.42334825604996</v>
      </c>
      <c r="CE300" s="285">
        <f t="shared" ref="CE300:CE305" si="971">AVERAGE(BG300:BJ300)</f>
        <v>284.23750918863675</v>
      </c>
      <c r="CF300" s="285">
        <f t="shared" ref="CF300:CF305" si="972">AVERAGE(BK300:BN300)</f>
        <v>287.89777624705749</v>
      </c>
      <c r="CG300" s="266"/>
      <c r="CH300" s="266"/>
      <c r="CI300" s="266"/>
    </row>
    <row r="301" spans="1:87" s="266" customFormat="1">
      <c r="A301" s="286" t="s">
        <v>465</v>
      </c>
      <c r="B301" s="269">
        <f t="shared" ref="B301:AV301" si="973">B302-B300</f>
        <v>3</v>
      </c>
      <c r="C301" s="269">
        <f t="shared" si="973"/>
        <v>4</v>
      </c>
      <c r="D301" s="269">
        <f t="shared" si="973"/>
        <v>0</v>
      </c>
      <c r="E301" s="269">
        <f t="shared" si="973"/>
        <v>0</v>
      </c>
      <c r="F301" s="269">
        <f t="shared" si="973"/>
        <v>3</v>
      </c>
      <c r="G301" s="269">
        <f t="shared" si="973"/>
        <v>6</v>
      </c>
      <c r="H301" s="269">
        <f t="shared" si="973"/>
        <v>0</v>
      </c>
      <c r="I301" s="269">
        <f t="shared" si="973"/>
        <v>0</v>
      </c>
      <c r="J301" s="269">
        <f t="shared" si="973"/>
        <v>3</v>
      </c>
      <c r="K301" s="269">
        <f t="shared" si="973"/>
        <v>3</v>
      </c>
      <c r="L301" s="269">
        <f t="shared" si="973"/>
        <v>0</v>
      </c>
      <c r="M301" s="269">
        <f t="shared" si="973"/>
        <v>0</v>
      </c>
      <c r="N301" s="269">
        <f t="shared" si="973"/>
        <v>6</v>
      </c>
      <c r="O301" s="269">
        <f t="shared" si="973"/>
        <v>8</v>
      </c>
      <c r="P301" s="269">
        <f t="shared" si="973"/>
        <v>0</v>
      </c>
      <c r="Q301" s="269">
        <f t="shared" si="973"/>
        <v>0</v>
      </c>
      <c r="R301" s="269">
        <f t="shared" si="973"/>
        <v>9</v>
      </c>
      <c r="S301" s="269">
        <f t="shared" si="973"/>
        <v>9</v>
      </c>
      <c r="T301" s="269">
        <f t="shared" si="973"/>
        <v>9</v>
      </c>
      <c r="U301" s="269">
        <f t="shared" si="973"/>
        <v>12</v>
      </c>
      <c r="V301" s="269">
        <f t="shared" si="973"/>
        <v>22</v>
      </c>
      <c r="W301" s="269">
        <f t="shared" si="973"/>
        <v>24</v>
      </c>
      <c r="X301" s="269">
        <f t="shared" si="973"/>
        <v>0</v>
      </c>
      <c r="Y301" s="269">
        <f t="shared" si="973"/>
        <v>0</v>
      </c>
      <c r="Z301" s="269">
        <f t="shared" si="973"/>
        <v>15</v>
      </c>
      <c r="AA301" s="269">
        <f t="shared" si="973"/>
        <v>14</v>
      </c>
      <c r="AB301" s="269">
        <f t="shared" si="973"/>
        <v>0</v>
      </c>
      <c r="AC301" s="269">
        <f t="shared" si="973"/>
        <v>0</v>
      </c>
      <c r="AD301" s="269">
        <f t="shared" si="973"/>
        <v>4</v>
      </c>
      <c r="AE301" s="269">
        <f t="shared" si="973"/>
        <v>4</v>
      </c>
      <c r="AF301" s="269">
        <f t="shared" si="973"/>
        <v>0</v>
      </c>
      <c r="AG301" s="269">
        <f t="shared" si="973"/>
        <v>0</v>
      </c>
      <c r="AH301" s="269">
        <f t="shared" si="973"/>
        <v>4</v>
      </c>
      <c r="AI301" s="269">
        <f t="shared" si="973"/>
        <v>4</v>
      </c>
      <c r="AJ301" s="269">
        <f t="shared" si="973"/>
        <v>2</v>
      </c>
      <c r="AK301" s="269">
        <f t="shared" si="973"/>
        <v>2</v>
      </c>
      <c r="AL301" s="269">
        <f t="shared" si="973"/>
        <v>2</v>
      </c>
      <c r="AM301" s="269">
        <f t="shared" si="973"/>
        <v>2</v>
      </c>
      <c r="AN301" s="269">
        <f t="shared" si="973"/>
        <v>1</v>
      </c>
      <c r="AO301" s="269">
        <f t="shared" si="973"/>
        <v>2</v>
      </c>
      <c r="AP301" s="269">
        <f t="shared" si="973"/>
        <v>2</v>
      </c>
      <c r="AQ301" s="269">
        <f t="shared" si="973"/>
        <v>2</v>
      </c>
      <c r="AR301" s="269">
        <f t="shared" si="973"/>
        <v>4</v>
      </c>
      <c r="AS301" s="269">
        <f t="shared" si="973"/>
        <v>2</v>
      </c>
      <c r="AT301" s="269">
        <f t="shared" si="973"/>
        <v>0</v>
      </c>
      <c r="AU301" s="269">
        <f t="shared" si="973"/>
        <v>3</v>
      </c>
      <c r="AV301" s="269">
        <f t="shared" si="973"/>
        <v>2</v>
      </c>
      <c r="AW301" s="269">
        <f>IF(Model!AW84&gt;0,AW$305,0)</f>
        <v>3</v>
      </c>
      <c r="AX301" s="269">
        <f>IF(Model!AX84&gt;0,AX$305,0)</f>
        <v>3</v>
      </c>
      <c r="AY301" s="269">
        <f>IF(Model!AY84&gt;0,AY$305,0)</f>
        <v>0</v>
      </c>
      <c r="AZ301" s="269">
        <f>IF(Model!AZ84&gt;0,AZ$305,0)</f>
        <v>0</v>
      </c>
      <c r="BA301" s="269">
        <f>IF(Model!BA84&gt;0,BA$305,0)</f>
        <v>0</v>
      </c>
      <c r="BB301" s="269">
        <f>IF(Model!BB84&gt;0,BB$305,0)</f>
        <v>0</v>
      </c>
      <c r="BC301" s="269">
        <f>IF(Model!BC84&gt;0,BC$305,0)</f>
        <v>0</v>
      </c>
      <c r="BD301" s="269">
        <f>IF(Model!BD84&gt;0,BD$305,0)</f>
        <v>0</v>
      </c>
      <c r="BE301" s="269">
        <f>IF(Model!BE84&gt;0,BE$305,0)</f>
        <v>0</v>
      </c>
      <c r="BF301" s="269">
        <f>IF(Model!BF84&gt;0,BF$305,0)</f>
        <v>0</v>
      </c>
      <c r="BG301" s="269">
        <f>IF(Model!BG84&gt;0,BG$305,0)</f>
        <v>0</v>
      </c>
      <c r="BH301" s="269">
        <f>IF(Model!BH84&gt;0,BH$305,0)</f>
        <v>0</v>
      </c>
      <c r="BI301" s="269">
        <f>IF(Model!BI84&gt;0,BI$305,0)</f>
        <v>0</v>
      </c>
      <c r="BJ301" s="269">
        <f>IF(Model!BJ84&gt;0,BJ$305,0)</f>
        <v>0</v>
      </c>
      <c r="BK301" s="269">
        <f>IF(Model!BK84&gt;0,BK$305,0)</f>
        <v>0</v>
      </c>
      <c r="BL301" s="269">
        <f>IF(Model!BL84&gt;0,BL$305,0)</f>
        <v>0</v>
      </c>
      <c r="BM301" s="269">
        <f>IF(Model!BM84&gt;0,BM$305,0)</f>
        <v>0</v>
      </c>
      <c r="BN301" s="269">
        <f>IF(Model!BN84&gt;0,BN$305,0)</f>
        <v>0</v>
      </c>
      <c r="BO301" s="269"/>
      <c r="BP301" s="271">
        <f>BP302-BP300</f>
        <v>0</v>
      </c>
      <c r="BQ301" s="271">
        <f t="shared" si="957"/>
        <v>1.75</v>
      </c>
      <c r="BR301" s="271">
        <f t="shared" si="958"/>
        <v>2.25</v>
      </c>
      <c r="BS301" s="271">
        <f t="shared" si="959"/>
        <v>2.25</v>
      </c>
      <c r="BT301" s="271">
        <f t="shared" si="960"/>
        <v>4.25</v>
      </c>
      <c r="BU301" s="271">
        <f t="shared" si="961"/>
        <v>13</v>
      </c>
      <c r="BV301" s="271">
        <f t="shared" si="962"/>
        <v>9.75</v>
      </c>
      <c r="BW301" s="271">
        <f t="shared" si="963"/>
        <v>4.5</v>
      </c>
      <c r="BX301" s="271">
        <f t="shared" si="964"/>
        <v>2</v>
      </c>
      <c r="BY301" s="271">
        <f t="shared" si="965"/>
        <v>2.5</v>
      </c>
      <c r="BZ301" s="271">
        <f t="shared" si="966"/>
        <v>1.75</v>
      </c>
      <c r="CA301" s="271">
        <f t="shared" si="967"/>
        <v>2</v>
      </c>
      <c r="CB301" s="271">
        <f t="shared" si="968"/>
        <v>2.75</v>
      </c>
      <c r="CC301" s="271">
        <f t="shared" si="969"/>
        <v>0</v>
      </c>
      <c r="CD301" s="271">
        <f t="shared" si="970"/>
        <v>0</v>
      </c>
      <c r="CE301" s="271">
        <f t="shared" si="971"/>
        <v>0</v>
      </c>
      <c r="CF301" s="271">
        <f t="shared" si="972"/>
        <v>0</v>
      </c>
      <c r="CG301" s="132"/>
      <c r="CH301" s="132"/>
      <c r="CI301" s="132"/>
    </row>
    <row r="302" spans="1:87" s="132" customFormat="1">
      <c r="A302" s="281" t="s">
        <v>466</v>
      </c>
      <c r="B302" s="282">
        <v>330</v>
      </c>
      <c r="C302" s="282">
        <v>332</v>
      </c>
      <c r="D302" s="282">
        <v>329</v>
      </c>
      <c r="E302" s="282">
        <v>332</v>
      </c>
      <c r="F302" s="282">
        <v>336</v>
      </c>
      <c r="G302" s="282">
        <v>337</v>
      </c>
      <c r="H302" s="282">
        <v>331</v>
      </c>
      <c r="I302" s="282">
        <v>332</v>
      </c>
      <c r="J302" s="282">
        <v>332</v>
      </c>
      <c r="K302" s="282">
        <v>320</v>
      </c>
      <c r="L302" s="282">
        <v>316</v>
      </c>
      <c r="M302" s="282">
        <v>304</v>
      </c>
      <c r="N302" s="282">
        <v>307</v>
      </c>
      <c r="O302" s="282">
        <v>312</v>
      </c>
      <c r="P302" s="282">
        <v>308</v>
      </c>
      <c r="Q302" s="282">
        <v>309</v>
      </c>
      <c r="R302" s="282">
        <v>319</v>
      </c>
      <c r="S302" s="282">
        <v>322</v>
      </c>
      <c r="T302" s="282">
        <v>322</v>
      </c>
      <c r="U302" s="282">
        <v>323</v>
      </c>
      <c r="V302" s="282">
        <v>332</v>
      </c>
      <c r="W302" s="282">
        <v>335</v>
      </c>
      <c r="X302" s="282">
        <v>312</v>
      </c>
      <c r="Y302" s="282">
        <v>311</v>
      </c>
      <c r="Z302" s="282">
        <v>322</v>
      </c>
      <c r="AA302" s="282">
        <v>315</v>
      </c>
      <c r="AB302" s="282">
        <v>301</v>
      </c>
      <c r="AC302" s="282">
        <v>303</v>
      </c>
      <c r="AD302" s="282">
        <v>312</v>
      </c>
      <c r="AE302" s="282">
        <v>313</v>
      </c>
      <c r="AF302" s="282">
        <v>309</v>
      </c>
      <c r="AG302" s="282">
        <v>308</v>
      </c>
      <c r="AH302" s="282">
        <v>311</v>
      </c>
      <c r="AI302" s="282">
        <v>310</v>
      </c>
      <c r="AJ302" s="282">
        <v>307</v>
      </c>
      <c r="AK302" s="282">
        <v>304</v>
      </c>
      <c r="AL302" s="282">
        <v>301</v>
      </c>
      <c r="AM302" s="282">
        <v>299</v>
      </c>
      <c r="AN302" s="282">
        <v>296</v>
      </c>
      <c r="AO302" s="282">
        <v>294</v>
      </c>
      <c r="AP302" s="282">
        <v>292</v>
      </c>
      <c r="AQ302" s="282">
        <v>291</v>
      </c>
      <c r="AR302" s="282">
        <v>293</v>
      </c>
      <c r="AS302" s="282">
        <v>292</v>
      </c>
      <c r="AT302" s="282">
        <v>288</v>
      </c>
      <c r="AU302" s="282">
        <v>289</v>
      </c>
      <c r="AV302" s="282">
        <v>287</v>
      </c>
      <c r="AW302" s="283">
        <f t="shared" ref="AW302:BN302" si="974">AW300+AW301</f>
        <v>287.17395906154815</v>
      </c>
      <c r="AX302" s="283">
        <f t="shared" si="974"/>
        <v>285.7227450214657</v>
      </c>
      <c r="AY302" s="283">
        <f t="shared" si="974"/>
        <v>281.24921845846598</v>
      </c>
      <c r="AZ302" s="283">
        <f t="shared" si="974"/>
        <v>279.74413759605022</v>
      </c>
      <c r="BA302" s="283">
        <f t="shared" si="974"/>
        <v>278.29003472142301</v>
      </c>
      <c r="BB302" s="283">
        <f t="shared" si="974"/>
        <v>278.06211773208264</v>
      </c>
      <c r="BC302" s="283">
        <f t="shared" si="974"/>
        <v>278.99116078627571</v>
      </c>
      <c r="BD302" s="283">
        <f t="shared" si="974"/>
        <v>279.92178146482638</v>
      </c>
      <c r="BE302" s="283">
        <f t="shared" si="974"/>
        <v>280.91055033949601</v>
      </c>
      <c r="BF302" s="283">
        <f t="shared" si="974"/>
        <v>281.86990043360186</v>
      </c>
      <c r="BG302" s="283">
        <f t="shared" si="974"/>
        <v>282.75066775406265</v>
      </c>
      <c r="BH302" s="283">
        <f t="shared" si="974"/>
        <v>283.72159120832487</v>
      </c>
      <c r="BI302" s="283">
        <f t="shared" si="974"/>
        <v>284.7669220636659</v>
      </c>
      <c r="BJ302" s="283">
        <f t="shared" si="974"/>
        <v>285.7108557284937</v>
      </c>
      <c r="BK302" s="283">
        <f t="shared" si="974"/>
        <v>286.56755968296198</v>
      </c>
      <c r="BL302" s="283">
        <f t="shared" si="974"/>
        <v>287.42723594574989</v>
      </c>
      <c r="BM302" s="283">
        <f t="shared" si="974"/>
        <v>288.34886544663448</v>
      </c>
      <c r="BN302" s="283">
        <f t="shared" si="974"/>
        <v>289.24744391288357</v>
      </c>
      <c r="BO302" s="283"/>
      <c r="BP302" s="284">
        <v>325.5</v>
      </c>
      <c r="BQ302" s="285">
        <f t="shared" si="957"/>
        <v>332.25</v>
      </c>
      <c r="BR302" s="285">
        <f t="shared" si="958"/>
        <v>333</v>
      </c>
      <c r="BS302" s="285">
        <f t="shared" si="959"/>
        <v>311.75</v>
      </c>
      <c r="BT302" s="285">
        <f t="shared" si="960"/>
        <v>312</v>
      </c>
      <c r="BU302" s="285">
        <f t="shared" si="961"/>
        <v>324.75</v>
      </c>
      <c r="BV302" s="285">
        <f t="shared" si="962"/>
        <v>320</v>
      </c>
      <c r="BW302" s="285">
        <f t="shared" si="963"/>
        <v>307.75</v>
      </c>
      <c r="BX302" s="285">
        <f t="shared" si="964"/>
        <v>310.25</v>
      </c>
      <c r="BY302" s="285">
        <f t="shared" si="965"/>
        <v>305.5</v>
      </c>
      <c r="BZ302" s="285">
        <f t="shared" si="966"/>
        <v>295.25</v>
      </c>
      <c r="CA302" s="285">
        <f t="shared" si="967"/>
        <v>291</v>
      </c>
      <c r="CB302" s="285">
        <f t="shared" si="968"/>
        <v>287.22417602075348</v>
      </c>
      <c r="CC302" s="285">
        <f t="shared" si="969"/>
        <v>279.33637712700545</v>
      </c>
      <c r="CD302" s="285">
        <f t="shared" si="970"/>
        <v>280.42334825604996</v>
      </c>
      <c r="CE302" s="285">
        <f t="shared" si="971"/>
        <v>284.23750918863675</v>
      </c>
      <c r="CF302" s="285">
        <f t="shared" si="972"/>
        <v>287.89777624705749</v>
      </c>
      <c r="CG302" s="266"/>
      <c r="CH302" s="266"/>
      <c r="CI302" s="266"/>
    </row>
    <row r="303" spans="1:87" s="266" customFormat="1">
      <c r="A303" s="267" t="s">
        <v>467</v>
      </c>
      <c r="B303" s="269">
        <f t="shared" ref="B303:AV303" si="975">B304-B302</f>
        <v>0</v>
      </c>
      <c r="C303" s="269">
        <f t="shared" si="975"/>
        <v>-4</v>
      </c>
      <c r="D303" s="269">
        <f t="shared" si="975"/>
        <v>4</v>
      </c>
      <c r="E303" s="269">
        <f t="shared" si="975"/>
        <v>3</v>
      </c>
      <c r="F303" s="269">
        <f t="shared" si="975"/>
        <v>0</v>
      </c>
      <c r="G303" s="269">
        <f t="shared" si="975"/>
        <v>-6</v>
      </c>
      <c r="H303" s="269">
        <f t="shared" si="975"/>
        <v>6</v>
      </c>
      <c r="I303" s="269">
        <f t="shared" si="975"/>
        <v>6</v>
      </c>
      <c r="J303" s="269">
        <f t="shared" si="975"/>
        <v>0</v>
      </c>
      <c r="K303" s="269">
        <f t="shared" si="975"/>
        <v>-3</v>
      </c>
      <c r="L303" s="269">
        <f t="shared" si="975"/>
        <v>2</v>
      </c>
      <c r="M303" s="269">
        <f t="shared" si="975"/>
        <v>4</v>
      </c>
      <c r="N303" s="269">
        <f t="shared" si="975"/>
        <v>0</v>
      </c>
      <c r="O303" s="269">
        <f t="shared" si="975"/>
        <v>-8</v>
      </c>
      <c r="P303" s="269">
        <f t="shared" si="975"/>
        <v>8</v>
      </c>
      <c r="Q303" s="269">
        <f t="shared" si="975"/>
        <v>7</v>
      </c>
      <c r="R303" s="269">
        <f t="shared" si="975"/>
        <v>0</v>
      </c>
      <c r="S303" s="269">
        <f t="shared" si="975"/>
        <v>-1</v>
      </c>
      <c r="T303" s="269">
        <f t="shared" si="975"/>
        <v>-3</v>
      </c>
      <c r="U303" s="269">
        <f t="shared" si="975"/>
        <v>-4</v>
      </c>
      <c r="V303" s="269">
        <f t="shared" si="975"/>
        <v>-8</v>
      </c>
      <c r="W303" s="269">
        <f t="shared" si="975"/>
        <v>-10</v>
      </c>
      <c r="X303" s="269">
        <f t="shared" si="975"/>
        <v>14.371427689574261</v>
      </c>
      <c r="Y303" s="269">
        <f t="shared" si="975"/>
        <v>14</v>
      </c>
      <c r="Z303" s="269">
        <f t="shared" si="975"/>
        <v>-3</v>
      </c>
      <c r="AA303" s="269">
        <f t="shared" si="975"/>
        <v>-2</v>
      </c>
      <c r="AB303" s="269">
        <f t="shared" si="975"/>
        <v>13</v>
      </c>
      <c r="AC303" s="269">
        <f t="shared" si="975"/>
        <v>10</v>
      </c>
      <c r="AD303" s="269">
        <f t="shared" si="975"/>
        <v>0</v>
      </c>
      <c r="AE303" s="269">
        <f t="shared" si="975"/>
        <v>0</v>
      </c>
      <c r="AF303" s="269">
        <f t="shared" si="975"/>
        <v>3</v>
      </c>
      <c r="AG303" s="269">
        <f t="shared" si="975"/>
        <v>3</v>
      </c>
      <c r="AH303" s="269">
        <f t="shared" si="975"/>
        <v>0</v>
      </c>
      <c r="AI303" s="269">
        <f t="shared" si="975"/>
        <v>0</v>
      </c>
      <c r="AJ303" s="269">
        <f t="shared" si="975"/>
        <v>0</v>
      </c>
      <c r="AK303" s="269">
        <f t="shared" si="975"/>
        <v>0</v>
      </c>
      <c r="AL303" s="269">
        <f t="shared" si="975"/>
        <v>0</v>
      </c>
      <c r="AM303" s="269">
        <f t="shared" si="975"/>
        <v>0</v>
      </c>
      <c r="AN303" s="269">
        <f t="shared" si="975"/>
        <v>0</v>
      </c>
      <c r="AO303" s="269">
        <f t="shared" si="975"/>
        <v>0</v>
      </c>
      <c r="AP303" s="269">
        <f t="shared" si="975"/>
        <v>0</v>
      </c>
      <c r="AQ303" s="269">
        <f t="shared" si="975"/>
        <v>1</v>
      </c>
      <c r="AR303" s="269">
        <f t="shared" si="975"/>
        <v>0</v>
      </c>
      <c r="AS303" s="269">
        <f t="shared" si="975"/>
        <v>0</v>
      </c>
      <c r="AT303" s="269">
        <f t="shared" si="975"/>
        <v>0</v>
      </c>
      <c r="AU303" s="269">
        <f t="shared" si="975"/>
        <v>0</v>
      </c>
      <c r="AV303" s="269">
        <f t="shared" si="975"/>
        <v>0</v>
      </c>
      <c r="AW303" s="269">
        <f>IF(Model!AW84&gt;0,IF(AW$245&lt;0,-AW$305,AW306),IF(AW$245&gt;0,AW$305-AW306,0))</f>
        <v>0</v>
      </c>
      <c r="AX303" s="269">
        <f>IF(Model!AX84&gt;0,IF(AX$245&lt;0,-AX$305,AX306),IF(AX$245&gt;0,AX$305-AX306,0))</f>
        <v>0</v>
      </c>
      <c r="AY303" s="269">
        <f>IF(Model!AY84&gt;0,IF(AY$245&lt;0,-AY$305,AY306),IF(AY$245&gt;0,AY$305-AY306,0))</f>
        <v>0</v>
      </c>
      <c r="AZ303" s="269">
        <f>IF(Model!AZ84&gt;0,IF(AZ$245&lt;0,-AZ$305,AZ306),IF(AZ$245&gt;0,AZ$305-AZ306,0))</f>
        <v>0</v>
      </c>
      <c r="BA303" s="269">
        <f>IF(Model!BA84&gt;0,IF(BA$245&lt;0,-BA$305,BA306),IF(BA$245&gt;0,BA$305-BA306,0))</f>
        <v>0</v>
      </c>
      <c r="BB303" s="269">
        <f>IF(Model!BB84&gt;0,IF(BB$245&lt;0,-BB$305,BB306),IF(BB$245&gt;0,BB$305-BB306,0))</f>
        <v>0</v>
      </c>
      <c r="BC303" s="269">
        <f>IF(Model!BC84&gt;0,IF(BC$245&lt;0,-BC$305,BC306),IF(BC$245&gt;0,BC$305-BC306,0))</f>
        <v>0</v>
      </c>
      <c r="BD303" s="269">
        <f>IF(Model!BD84&gt;0,IF(BD$245&lt;0,-BD$305,BD306),IF(BD$245&gt;0,BD$305-BD306,0))</f>
        <v>0</v>
      </c>
      <c r="BE303" s="269">
        <f>IF(Model!BE84&gt;0,IF(BE$245&lt;0,-BE$305,BE306),IF(BE$245&gt;0,BE$305-BE306,0))</f>
        <v>0</v>
      </c>
      <c r="BF303" s="269">
        <f>IF(Model!BF84&gt;0,IF(BF$245&lt;0,-BF$305,BF306),IF(BF$245&gt;0,BF$305-BF306,0))</f>
        <v>0</v>
      </c>
      <c r="BG303" s="269">
        <f>IF(Model!BG84&gt;0,IF(BG$245&lt;0,-BG$305,BG306),IF(BG$245&gt;0,BG$305-BG306,0))</f>
        <v>0</v>
      </c>
      <c r="BH303" s="269">
        <f>IF(Model!BH84&gt;0,IF(BH$245&lt;0,-BH$305,BH306),IF(BH$245&gt;0,BH$305-BH306,0))</f>
        <v>0</v>
      </c>
      <c r="BI303" s="269">
        <f>IF(Model!BI84&gt;0,IF(BI$245&lt;0,-BI$305,BI306),IF(BI$245&gt;0,BI$305-BI306,0))</f>
        <v>0</v>
      </c>
      <c r="BJ303" s="269">
        <f>IF(Model!BJ84&gt;0,IF(BJ$245&lt;0,-BJ$305,BJ306),IF(BJ$245&gt;0,BJ$305-BJ306,0))</f>
        <v>0</v>
      </c>
      <c r="BK303" s="269">
        <f>IF(Model!BK84&gt;0,IF(BK$245&lt;0,-BK$305,BK306),IF(BK$245&gt;0,BK$305-BK306,0))</f>
        <v>0</v>
      </c>
      <c r="BL303" s="269">
        <f>IF(Model!BL84&gt;0,IF(BL$245&lt;0,-BL$305,BL306),IF(BL$245&gt;0,BL$305-BL306,0))</f>
        <v>0</v>
      </c>
      <c r="BM303" s="269">
        <f>IF(Model!BM84&gt;0,IF(BM$245&lt;0,-BM$305,BM306),IF(BM$245&gt;0,BM$305-BM306,0))</f>
        <v>0</v>
      </c>
      <c r="BN303" s="269">
        <f>IF(Model!BN84&gt;0,IF(BN$245&lt;0,-BN$305,BN306),IF(BN$245&gt;0,BN$305-BN306,0))</f>
        <v>0</v>
      </c>
      <c r="BO303" s="269"/>
      <c r="BP303" s="271">
        <f>BP304-BP302</f>
        <v>0.75</v>
      </c>
      <c r="BQ303" s="271">
        <f t="shared" si="957"/>
        <v>0.75</v>
      </c>
      <c r="BR303" s="271">
        <f t="shared" si="958"/>
        <v>1.5</v>
      </c>
      <c r="BS303" s="271">
        <f t="shared" si="959"/>
        <v>0.75</v>
      </c>
      <c r="BT303" s="271">
        <f t="shared" si="960"/>
        <v>1.75</v>
      </c>
      <c r="BU303" s="271">
        <f t="shared" si="961"/>
        <v>-4</v>
      </c>
      <c r="BV303" s="271">
        <f t="shared" si="962"/>
        <v>3.8428569223935654</v>
      </c>
      <c r="BW303" s="271">
        <f t="shared" si="963"/>
        <v>5.25</v>
      </c>
      <c r="BX303" s="271">
        <f t="shared" si="964"/>
        <v>1.5</v>
      </c>
      <c r="BY303" s="271">
        <f t="shared" si="965"/>
        <v>0</v>
      </c>
      <c r="BZ303" s="271">
        <f t="shared" si="966"/>
        <v>0</v>
      </c>
      <c r="CA303" s="271">
        <f t="shared" si="967"/>
        <v>0.25</v>
      </c>
      <c r="CB303" s="271">
        <f t="shared" si="968"/>
        <v>0</v>
      </c>
      <c r="CC303" s="271">
        <f t="shared" si="969"/>
        <v>0</v>
      </c>
      <c r="CD303" s="271">
        <f t="shared" si="970"/>
        <v>0</v>
      </c>
      <c r="CE303" s="271">
        <f t="shared" si="971"/>
        <v>0</v>
      </c>
      <c r="CF303" s="271">
        <f t="shared" si="972"/>
        <v>0</v>
      </c>
    </row>
    <row r="304" spans="1:87" s="266" customFormat="1">
      <c r="A304" s="287" t="s">
        <v>468</v>
      </c>
      <c r="B304" s="268">
        <v>330</v>
      </c>
      <c r="C304" s="268">
        <v>328</v>
      </c>
      <c r="D304" s="268">
        <v>333</v>
      </c>
      <c r="E304" s="268">
        <v>335</v>
      </c>
      <c r="F304" s="268">
        <v>336</v>
      </c>
      <c r="G304" s="268">
        <v>331</v>
      </c>
      <c r="H304" s="268">
        <v>337</v>
      </c>
      <c r="I304" s="268">
        <v>338</v>
      </c>
      <c r="J304" s="268">
        <v>332</v>
      </c>
      <c r="K304" s="268">
        <v>317</v>
      </c>
      <c r="L304" s="268">
        <v>318</v>
      </c>
      <c r="M304" s="268">
        <v>308</v>
      </c>
      <c r="N304" s="268">
        <v>307</v>
      </c>
      <c r="O304" s="268">
        <v>304</v>
      </c>
      <c r="P304" s="268">
        <v>316</v>
      </c>
      <c r="Q304" s="268">
        <v>316</v>
      </c>
      <c r="R304" s="268">
        <v>319</v>
      </c>
      <c r="S304" s="268">
        <v>321</v>
      </c>
      <c r="T304" s="268">
        <v>319</v>
      </c>
      <c r="U304" s="268">
        <v>319</v>
      </c>
      <c r="V304" s="268">
        <v>324</v>
      </c>
      <c r="W304" s="268">
        <v>325</v>
      </c>
      <c r="X304" s="268">
        <v>326.37142768957426</v>
      </c>
      <c r="Y304" s="268">
        <v>325</v>
      </c>
      <c r="Z304" s="268">
        <v>319</v>
      </c>
      <c r="AA304" s="268">
        <v>313</v>
      </c>
      <c r="AB304" s="268">
        <v>314</v>
      </c>
      <c r="AC304" s="268">
        <v>313</v>
      </c>
      <c r="AD304" s="268">
        <v>312</v>
      </c>
      <c r="AE304" s="268">
        <v>313</v>
      </c>
      <c r="AF304" s="268">
        <v>312</v>
      </c>
      <c r="AG304" s="268">
        <v>311</v>
      </c>
      <c r="AH304" s="268">
        <v>311</v>
      </c>
      <c r="AI304" s="268">
        <v>310</v>
      </c>
      <c r="AJ304" s="268">
        <v>307</v>
      </c>
      <c r="AK304" s="268">
        <v>304</v>
      </c>
      <c r="AL304" s="268">
        <v>301</v>
      </c>
      <c r="AM304" s="268">
        <v>299</v>
      </c>
      <c r="AN304" s="268">
        <v>296</v>
      </c>
      <c r="AO304" s="268">
        <v>294</v>
      </c>
      <c r="AP304" s="268">
        <v>292</v>
      </c>
      <c r="AQ304" s="268">
        <v>292</v>
      </c>
      <c r="AR304" s="268">
        <v>293</v>
      </c>
      <c r="AS304" s="268">
        <v>292</v>
      </c>
      <c r="AT304" s="268">
        <v>288</v>
      </c>
      <c r="AU304" s="268">
        <v>289</v>
      </c>
      <c r="AV304" s="268">
        <v>287</v>
      </c>
      <c r="AW304" s="269">
        <f t="shared" ref="AW304:BN304" si="976">AW302+AW303</f>
        <v>287.17395906154815</v>
      </c>
      <c r="AX304" s="269">
        <f t="shared" si="976"/>
        <v>285.7227450214657</v>
      </c>
      <c r="AY304" s="269">
        <f t="shared" si="976"/>
        <v>281.24921845846598</v>
      </c>
      <c r="AZ304" s="269">
        <f t="shared" si="976"/>
        <v>279.74413759605022</v>
      </c>
      <c r="BA304" s="269">
        <f t="shared" si="976"/>
        <v>278.29003472142301</v>
      </c>
      <c r="BB304" s="269">
        <f t="shared" si="976"/>
        <v>278.06211773208264</v>
      </c>
      <c r="BC304" s="269">
        <f t="shared" si="976"/>
        <v>278.99116078627571</v>
      </c>
      <c r="BD304" s="269">
        <f t="shared" si="976"/>
        <v>279.92178146482638</v>
      </c>
      <c r="BE304" s="269">
        <f t="shared" si="976"/>
        <v>280.91055033949601</v>
      </c>
      <c r="BF304" s="269">
        <f t="shared" si="976"/>
        <v>281.86990043360186</v>
      </c>
      <c r="BG304" s="269">
        <f t="shared" si="976"/>
        <v>282.75066775406265</v>
      </c>
      <c r="BH304" s="269">
        <f t="shared" si="976"/>
        <v>283.72159120832487</v>
      </c>
      <c r="BI304" s="269">
        <f t="shared" si="976"/>
        <v>284.7669220636659</v>
      </c>
      <c r="BJ304" s="269">
        <f t="shared" si="976"/>
        <v>285.7108557284937</v>
      </c>
      <c r="BK304" s="269">
        <f t="shared" si="976"/>
        <v>286.56755968296198</v>
      </c>
      <c r="BL304" s="269">
        <f t="shared" si="976"/>
        <v>287.42723594574989</v>
      </c>
      <c r="BM304" s="269">
        <f t="shared" si="976"/>
        <v>288.34886544663448</v>
      </c>
      <c r="BN304" s="269">
        <f t="shared" si="976"/>
        <v>289.24744391288357</v>
      </c>
      <c r="BO304" s="269"/>
      <c r="BP304" s="270">
        <v>326.25</v>
      </c>
      <c r="BQ304" s="271">
        <f t="shared" si="957"/>
        <v>333</v>
      </c>
      <c r="BR304" s="271">
        <f t="shared" si="958"/>
        <v>334.5</v>
      </c>
      <c r="BS304" s="271">
        <f t="shared" si="959"/>
        <v>312.5</v>
      </c>
      <c r="BT304" s="271">
        <f t="shared" si="960"/>
        <v>313.75</v>
      </c>
      <c r="BU304" s="271">
        <f t="shared" si="961"/>
        <v>320.75</v>
      </c>
      <c r="BV304" s="271">
        <f t="shared" si="962"/>
        <v>323.84285692239359</v>
      </c>
      <c r="BW304" s="271">
        <f t="shared" si="963"/>
        <v>313</v>
      </c>
      <c r="BX304" s="271">
        <f t="shared" si="964"/>
        <v>311.75</v>
      </c>
      <c r="BY304" s="271">
        <f t="shared" si="965"/>
        <v>305.5</v>
      </c>
      <c r="BZ304" s="271">
        <f t="shared" si="966"/>
        <v>295.25</v>
      </c>
      <c r="CA304" s="271">
        <f t="shared" si="967"/>
        <v>291.25</v>
      </c>
      <c r="CB304" s="271">
        <f t="shared" si="968"/>
        <v>287.22417602075348</v>
      </c>
      <c r="CC304" s="271">
        <f t="shared" si="969"/>
        <v>279.33637712700545</v>
      </c>
      <c r="CD304" s="271">
        <f t="shared" si="970"/>
        <v>280.42334825604996</v>
      </c>
      <c r="CE304" s="271">
        <f t="shared" si="971"/>
        <v>284.23750918863675</v>
      </c>
      <c r="CF304" s="271">
        <f t="shared" si="972"/>
        <v>287.89777624705749</v>
      </c>
    </row>
    <row r="305" spans="1:87" s="266" customFormat="1">
      <c r="A305" s="278" t="s">
        <v>129</v>
      </c>
      <c r="B305" s="269">
        <f t="shared" ref="B305:W305" si="977">MAX(B301,B303)</f>
        <v>3</v>
      </c>
      <c r="C305" s="269">
        <f t="shared" si="977"/>
        <v>4</v>
      </c>
      <c r="D305" s="269">
        <f t="shared" si="977"/>
        <v>4</v>
      </c>
      <c r="E305" s="269">
        <f t="shared" si="977"/>
        <v>3</v>
      </c>
      <c r="F305" s="269">
        <f t="shared" si="977"/>
        <v>3</v>
      </c>
      <c r="G305" s="269">
        <f t="shared" si="977"/>
        <v>6</v>
      </c>
      <c r="H305" s="269">
        <f t="shared" si="977"/>
        <v>6</v>
      </c>
      <c r="I305" s="269">
        <f t="shared" si="977"/>
        <v>6</v>
      </c>
      <c r="J305" s="269">
        <f t="shared" si="977"/>
        <v>3</v>
      </c>
      <c r="K305" s="269">
        <f t="shared" si="977"/>
        <v>3</v>
      </c>
      <c r="L305" s="269">
        <f t="shared" si="977"/>
        <v>2</v>
      </c>
      <c r="M305" s="269">
        <f t="shared" si="977"/>
        <v>4</v>
      </c>
      <c r="N305" s="269">
        <f t="shared" si="977"/>
        <v>6</v>
      </c>
      <c r="O305" s="269">
        <f t="shared" si="977"/>
        <v>8</v>
      </c>
      <c r="P305" s="269">
        <f t="shared" si="977"/>
        <v>8</v>
      </c>
      <c r="Q305" s="269">
        <f t="shared" si="977"/>
        <v>7</v>
      </c>
      <c r="R305" s="269">
        <f t="shared" si="977"/>
        <v>9</v>
      </c>
      <c r="S305" s="269">
        <f t="shared" si="977"/>
        <v>9</v>
      </c>
      <c r="T305" s="269">
        <f t="shared" si="977"/>
        <v>9</v>
      </c>
      <c r="U305" s="269">
        <f t="shared" si="977"/>
        <v>12</v>
      </c>
      <c r="V305" s="269">
        <f t="shared" si="977"/>
        <v>22</v>
      </c>
      <c r="W305" s="269">
        <f t="shared" si="977"/>
        <v>24</v>
      </c>
      <c r="X305" s="269">
        <f t="shared" ref="X305:AE305" si="978">MAX(X301,X303-X306)</f>
        <v>21.371427689574261</v>
      </c>
      <c r="Y305" s="269">
        <f t="shared" si="978"/>
        <v>20</v>
      </c>
      <c r="Z305" s="269">
        <f t="shared" si="978"/>
        <v>15</v>
      </c>
      <c r="AA305" s="269">
        <f t="shared" si="978"/>
        <v>14</v>
      </c>
      <c r="AB305" s="269">
        <f t="shared" si="978"/>
        <v>13</v>
      </c>
      <c r="AC305" s="269">
        <f t="shared" si="978"/>
        <v>10</v>
      </c>
      <c r="AD305" s="269">
        <f t="shared" si="978"/>
        <v>4</v>
      </c>
      <c r="AE305" s="269">
        <f t="shared" si="978"/>
        <v>4</v>
      </c>
      <c r="AF305" s="269">
        <f t="shared" ref="AF305:AU305" si="979">MAX(AF301,AF303)</f>
        <v>3</v>
      </c>
      <c r="AG305" s="269">
        <f t="shared" si="979"/>
        <v>3</v>
      </c>
      <c r="AH305" s="269">
        <f t="shared" si="979"/>
        <v>4</v>
      </c>
      <c r="AI305" s="269">
        <f t="shared" si="979"/>
        <v>4</v>
      </c>
      <c r="AJ305" s="269">
        <f t="shared" si="979"/>
        <v>2</v>
      </c>
      <c r="AK305" s="269">
        <f t="shared" si="979"/>
        <v>2</v>
      </c>
      <c r="AL305" s="269">
        <f t="shared" si="979"/>
        <v>2</v>
      </c>
      <c r="AM305" s="269">
        <f t="shared" si="979"/>
        <v>2</v>
      </c>
      <c r="AN305" s="269">
        <f t="shared" si="979"/>
        <v>1</v>
      </c>
      <c r="AO305" s="269">
        <f t="shared" si="979"/>
        <v>2</v>
      </c>
      <c r="AP305" s="269">
        <f t="shared" si="979"/>
        <v>2</v>
      </c>
      <c r="AQ305" s="269">
        <f t="shared" si="979"/>
        <v>2</v>
      </c>
      <c r="AR305" s="269">
        <f t="shared" si="979"/>
        <v>4</v>
      </c>
      <c r="AS305" s="269">
        <f t="shared" si="979"/>
        <v>2</v>
      </c>
      <c r="AT305" s="269">
        <f t="shared" si="979"/>
        <v>0</v>
      </c>
      <c r="AU305" s="269">
        <f t="shared" si="979"/>
        <v>3</v>
      </c>
      <c r="AV305" s="269">
        <f t="shared" ref="AV305" si="980">MAX(AV301,AV303)</f>
        <v>2</v>
      </c>
      <c r="AW305" s="276">
        <v>3</v>
      </c>
      <c r="AX305" s="276">
        <v>3</v>
      </c>
      <c r="AY305" s="276">
        <v>0</v>
      </c>
      <c r="AZ305" s="276">
        <v>0</v>
      </c>
      <c r="BA305" s="276">
        <v>0</v>
      </c>
      <c r="BB305" s="276">
        <v>0</v>
      </c>
      <c r="BC305" s="276">
        <v>0</v>
      </c>
      <c r="BD305" s="276">
        <v>0</v>
      </c>
      <c r="BE305" s="276">
        <v>0</v>
      </c>
      <c r="BF305" s="276">
        <v>0</v>
      </c>
      <c r="BG305" s="276">
        <v>0</v>
      </c>
      <c r="BH305" s="276">
        <v>0</v>
      </c>
      <c r="BI305" s="276">
        <v>0</v>
      </c>
      <c r="BJ305" s="276">
        <v>0</v>
      </c>
      <c r="BK305" s="276">
        <v>0</v>
      </c>
      <c r="BL305" s="276">
        <v>0</v>
      </c>
      <c r="BM305" s="276">
        <v>0</v>
      </c>
      <c r="BN305" s="276">
        <v>0</v>
      </c>
      <c r="BO305" s="276"/>
      <c r="BP305" s="271">
        <f>MAX(BP301,BP303)</f>
        <v>0.75</v>
      </c>
      <c r="BQ305" s="271">
        <f t="shared" si="957"/>
        <v>3.5</v>
      </c>
      <c r="BR305" s="271">
        <f t="shared" si="958"/>
        <v>5.25</v>
      </c>
      <c r="BS305" s="271">
        <f t="shared" si="959"/>
        <v>3.75</v>
      </c>
      <c r="BT305" s="271">
        <f t="shared" si="960"/>
        <v>8</v>
      </c>
      <c r="BU305" s="271">
        <f t="shared" si="961"/>
        <v>13</v>
      </c>
      <c r="BV305" s="271">
        <f t="shared" si="962"/>
        <v>20.092856922393565</v>
      </c>
      <c r="BW305" s="271">
        <f t="shared" si="963"/>
        <v>10.25</v>
      </c>
      <c r="BX305" s="271">
        <f t="shared" si="964"/>
        <v>3.5</v>
      </c>
      <c r="BY305" s="271">
        <f t="shared" si="965"/>
        <v>2.5</v>
      </c>
      <c r="BZ305" s="271">
        <f t="shared" si="966"/>
        <v>1.75</v>
      </c>
      <c r="CA305" s="271">
        <f t="shared" si="967"/>
        <v>2</v>
      </c>
      <c r="CB305" s="271">
        <f t="shared" si="968"/>
        <v>2.75</v>
      </c>
      <c r="CC305" s="271">
        <f t="shared" si="969"/>
        <v>0</v>
      </c>
      <c r="CD305" s="271">
        <f t="shared" si="970"/>
        <v>0</v>
      </c>
      <c r="CE305" s="271">
        <f t="shared" si="971"/>
        <v>0</v>
      </c>
      <c r="CF305" s="271">
        <f t="shared" si="972"/>
        <v>0</v>
      </c>
    </row>
    <row r="306" spans="1:87" s="266" customFormat="1">
      <c r="A306" s="278" t="s">
        <v>174</v>
      </c>
      <c r="B306" s="269"/>
      <c r="C306" s="269"/>
      <c r="D306" s="269"/>
      <c r="E306" s="269"/>
      <c r="F306" s="269"/>
      <c r="G306" s="269"/>
      <c r="H306" s="269"/>
      <c r="I306" s="269"/>
      <c r="J306" s="276">
        <v>0</v>
      </c>
      <c r="K306" s="276">
        <v>0</v>
      </c>
      <c r="L306" s="276">
        <v>0</v>
      </c>
      <c r="M306" s="276">
        <v>0</v>
      </c>
      <c r="N306" s="276">
        <v>0</v>
      </c>
      <c r="O306" s="276">
        <v>0</v>
      </c>
      <c r="P306" s="276">
        <v>0</v>
      </c>
      <c r="Q306" s="276">
        <v>0</v>
      </c>
      <c r="R306" s="276">
        <v>0</v>
      </c>
      <c r="S306" s="269">
        <f>S303</f>
        <v>-1</v>
      </c>
      <c r="T306" s="269">
        <f>T303</f>
        <v>-3</v>
      </c>
      <c r="U306" s="269">
        <f>U303</f>
        <v>-4</v>
      </c>
      <c r="V306" s="269">
        <f>V303</f>
        <v>-8</v>
      </c>
      <c r="W306" s="269">
        <f>W303</f>
        <v>-10</v>
      </c>
      <c r="X306" s="268">
        <v>-7</v>
      </c>
      <c r="Y306" s="268">
        <v>-6</v>
      </c>
      <c r="Z306" s="268">
        <v>-3</v>
      </c>
      <c r="AA306" s="268">
        <v>-2</v>
      </c>
      <c r="AB306" s="268">
        <v>0</v>
      </c>
      <c r="AC306" s="268">
        <v>0</v>
      </c>
      <c r="AD306" s="268">
        <v>0</v>
      </c>
      <c r="AE306" s="268">
        <v>0</v>
      </c>
      <c r="AF306" s="268">
        <v>0</v>
      </c>
      <c r="AG306" s="268">
        <v>0</v>
      </c>
      <c r="AH306" s="268">
        <v>0</v>
      </c>
      <c r="AI306" s="268">
        <v>0</v>
      </c>
      <c r="AJ306" s="268">
        <v>0</v>
      </c>
      <c r="AK306" s="268">
        <v>0</v>
      </c>
      <c r="AL306" s="268">
        <f>AK306</f>
        <v>0</v>
      </c>
      <c r="AM306" s="268">
        <v>0</v>
      </c>
      <c r="AN306" s="268">
        <v>0</v>
      </c>
      <c r="AO306" s="268">
        <v>0</v>
      </c>
      <c r="AP306" s="268">
        <f>AO306</f>
        <v>0</v>
      </c>
      <c r="AQ306" s="268">
        <v>0</v>
      </c>
      <c r="AR306" s="268">
        <v>0</v>
      </c>
      <c r="AS306" s="268">
        <v>0</v>
      </c>
      <c r="AT306" s="268">
        <v>0</v>
      </c>
      <c r="AU306" s="268">
        <v>0</v>
      </c>
      <c r="AV306" s="268">
        <v>0</v>
      </c>
      <c r="AW306" s="276">
        <f t="shared" ref="AW306:BN306" si="981">AV306</f>
        <v>0</v>
      </c>
      <c r="AX306" s="276">
        <f t="shared" si="981"/>
        <v>0</v>
      </c>
      <c r="AY306" s="276">
        <f t="shared" si="981"/>
        <v>0</v>
      </c>
      <c r="AZ306" s="276">
        <f t="shared" si="981"/>
        <v>0</v>
      </c>
      <c r="BA306" s="276">
        <f t="shared" si="981"/>
        <v>0</v>
      </c>
      <c r="BB306" s="276">
        <f t="shared" si="981"/>
        <v>0</v>
      </c>
      <c r="BC306" s="276">
        <f t="shared" si="981"/>
        <v>0</v>
      </c>
      <c r="BD306" s="276">
        <f t="shared" si="981"/>
        <v>0</v>
      </c>
      <c r="BE306" s="276">
        <f t="shared" si="981"/>
        <v>0</v>
      </c>
      <c r="BF306" s="276">
        <f t="shared" si="981"/>
        <v>0</v>
      </c>
      <c r="BG306" s="276">
        <f t="shared" si="981"/>
        <v>0</v>
      </c>
      <c r="BH306" s="276">
        <f t="shared" si="981"/>
        <v>0</v>
      </c>
      <c r="BI306" s="276">
        <f t="shared" si="981"/>
        <v>0</v>
      </c>
      <c r="BJ306" s="276">
        <f t="shared" si="981"/>
        <v>0</v>
      </c>
      <c r="BK306" s="276">
        <f t="shared" si="981"/>
        <v>0</v>
      </c>
      <c r="BL306" s="276">
        <f t="shared" si="981"/>
        <v>0</v>
      </c>
      <c r="BM306" s="276">
        <f t="shared" si="981"/>
        <v>0</v>
      </c>
      <c r="BN306" s="276">
        <f t="shared" si="981"/>
        <v>0</v>
      </c>
      <c r="BO306" s="276"/>
      <c r="BP306" s="278"/>
      <c r="BQ306" s="278"/>
      <c r="BR306" s="278"/>
      <c r="BS306" s="278"/>
      <c r="BT306" s="278"/>
      <c r="BU306" s="278"/>
      <c r="BV306" s="278"/>
      <c r="BW306" s="278"/>
      <c r="BX306" s="278"/>
      <c r="BY306" s="278"/>
      <c r="BZ306" s="278"/>
      <c r="CA306" s="278"/>
      <c r="CB306" s="278"/>
      <c r="CC306" s="278"/>
      <c r="CD306" s="278"/>
      <c r="CE306" s="278"/>
      <c r="CF306" s="278"/>
    </row>
    <row r="307" spans="1:87" s="266" customFormat="1">
      <c r="A307" s="288"/>
      <c r="B307" s="278" t="s">
        <v>56</v>
      </c>
      <c r="C307" s="278"/>
      <c r="D307" s="278"/>
      <c r="E307" s="278"/>
      <c r="F307" s="278"/>
      <c r="G307" s="278"/>
      <c r="H307" s="278"/>
      <c r="I307" s="278"/>
      <c r="J307" s="278"/>
      <c r="K307" s="278"/>
      <c r="L307" s="278"/>
      <c r="M307" s="278"/>
      <c r="N307" s="278"/>
      <c r="O307" s="278"/>
      <c r="P307" s="278"/>
      <c r="Q307" s="278"/>
      <c r="R307" s="278"/>
      <c r="S307" s="278"/>
      <c r="T307" s="278"/>
      <c r="U307" s="278"/>
      <c r="V307" s="278"/>
      <c r="W307" s="278"/>
      <c r="X307" s="278"/>
      <c r="Y307" s="278"/>
      <c r="Z307" s="239"/>
      <c r="AA307" s="239"/>
      <c r="AB307" s="239"/>
      <c r="AC307" s="289"/>
      <c r="AD307" s="289"/>
      <c r="AE307" s="289"/>
      <c r="AF307" s="289"/>
      <c r="AG307" s="289"/>
      <c r="AH307" s="289"/>
      <c r="AI307" s="289"/>
      <c r="AJ307" s="289"/>
      <c r="AK307" s="289"/>
      <c r="AL307" s="289"/>
      <c r="AM307" s="289"/>
      <c r="AN307" s="289"/>
      <c r="AO307" s="289"/>
      <c r="AP307" s="289"/>
      <c r="AQ307" s="289"/>
      <c r="AR307" s="289"/>
      <c r="AS307" s="289"/>
      <c r="AT307" s="289"/>
      <c r="AU307" s="289"/>
      <c r="AV307" s="278"/>
      <c r="AW307" s="278"/>
      <c r="AX307" s="278"/>
      <c r="AY307" s="278"/>
      <c r="AZ307" s="278"/>
      <c r="BA307" s="278"/>
      <c r="BB307" s="278"/>
      <c r="BC307" s="278"/>
      <c r="BD307" s="278"/>
      <c r="BE307" s="278"/>
      <c r="BF307" s="278"/>
      <c r="BG307" s="278"/>
      <c r="BH307" s="278"/>
      <c r="BI307" s="278"/>
      <c r="BJ307" s="278"/>
      <c r="BK307" s="278"/>
      <c r="BL307" s="278"/>
      <c r="BM307" s="278"/>
      <c r="BN307" s="278"/>
      <c r="BO307" s="278"/>
      <c r="BP307" s="278"/>
      <c r="BQ307" s="278"/>
      <c r="BR307" s="278"/>
      <c r="BS307" s="278"/>
      <c r="BT307" s="278"/>
      <c r="BU307" s="278"/>
      <c r="BV307" s="278"/>
      <c r="BW307" s="278"/>
      <c r="BX307" s="278"/>
      <c r="BY307" s="278"/>
      <c r="BZ307" s="278"/>
      <c r="CA307" s="278"/>
      <c r="CB307" s="278"/>
      <c r="CC307" s="278"/>
      <c r="CD307" s="278"/>
      <c r="CE307" s="278"/>
      <c r="CF307" s="278"/>
      <c r="CG307" s="290"/>
      <c r="CH307" s="290"/>
      <c r="CI307" s="290"/>
    </row>
    <row r="308" spans="1:87" s="290" customFormat="1">
      <c r="A308" s="291" t="s">
        <v>57</v>
      </c>
      <c r="B308" s="292"/>
      <c r="C308" s="292"/>
      <c r="D308" s="292"/>
      <c r="E308" s="292"/>
      <c r="F308" s="292"/>
      <c r="G308" s="292"/>
      <c r="H308" s="292"/>
      <c r="I308" s="292"/>
      <c r="J308" s="292"/>
      <c r="K308" s="292"/>
      <c r="L308" s="292"/>
      <c r="M308" s="292">
        <v>13.739787096774196</v>
      </c>
      <c r="N308" s="292">
        <v>16.617254098360654</v>
      </c>
      <c r="O308" s="292">
        <v>20.311076923076921</v>
      </c>
      <c r="P308" s="292">
        <v>25.966270000000002</v>
      </c>
      <c r="Q308" s="292">
        <v>23.989218711852999</v>
      </c>
      <c r="R308" s="292">
        <v>26.742016129032248</v>
      </c>
      <c r="S308" s="292">
        <v>32.414609374999998</v>
      </c>
      <c r="T308" s="292">
        <v>36.43274000000001</v>
      </c>
      <c r="U308" s="292">
        <v>41.15023076923076</v>
      </c>
      <c r="V308" s="292">
        <v>53.91</v>
      </c>
      <c r="W308" s="292">
        <v>61.49</v>
      </c>
      <c r="X308" s="292">
        <v>70.08</v>
      </c>
      <c r="Y308" s="292">
        <v>70.119538461538454</v>
      </c>
      <c r="Z308" s="292">
        <v>63.81</v>
      </c>
      <c r="AA308" s="292">
        <v>70.390703124999987</v>
      </c>
      <c r="AB308" s="292">
        <v>78.745232558139563</v>
      </c>
      <c r="AC308" s="292">
        <v>81.064761904761895</v>
      </c>
      <c r="AD308" s="292">
        <v>85.14</v>
      </c>
      <c r="AE308" s="292">
        <v>102.99333333333328</v>
      </c>
      <c r="AF308" s="292">
        <v>109.41</v>
      </c>
      <c r="AG308" s="292">
        <v>111.15650793650796</v>
      </c>
      <c r="AH308" s="292">
        <v>121.20163934426233</v>
      </c>
      <c r="AI308" s="292">
        <v>132.94227848101261</v>
      </c>
      <c r="AJ308" s="292">
        <v>128.90857142857146</v>
      </c>
      <c r="AK308" s="292">
        <v>91.731904761904758</v>
      </c>
      <c r="AL308" s="292">
        <v>94.789836065573752</v>
      </c>
      <c r="AM308" s="292">
        <v>95.265079365079373</v>
      </c>
      <c r="AN308" s="292">
        <v>93.943437499999973</v>
      </c>
      <c r="AO308" s="293">
        <v>99.266171875000026</v>
      </c>
      <c r="AP308" s="293">
        <v>105.27380952380955</v>
      </c>
      <c r="AQ308" s="293">
        <v>118.14968253968257</v>
      </c>
      <c r="AR308" s="293">
        <v>136.17242424242426</v>
      </c>
      <c r="AS308" s="293">
        <v>128.91999999999999</v>
      </c>
      <c r="AT308" s="293">
        <v>138.53</v>
      </c>
      <c r="AU308" s="293">
        <v>141.88999999999999</v>
      </c>
      <c r="AV308" s="293">
        <v>140.48651515151516</v>
      </c>
      <c r="AW308" s="294">
        <f t="shared" ref="AW308:BN308" si="982">AV308*(1.08)^(1/4)</f>
        <v>143.21568302808595</v>
      </c>
      <c r="AX308" s="294">
        <f t="shared" si="982"/>
        <v>145.99786921243148</v>
      </c>
      <c r="AY308" s="294">
        <f t="shared" si="982"/>
        <v>148.83410366719477</v>
      </c>
      <c r="AZ308" s="294">
        <f t="shared" si="982"/>
        <v>151.72543636363636</v>
      </c>
      <c r="BA308" s="294">
        <f t="shared" si="982"/>
        <v>154.6729376703328</v>
      </c>
      <c r="BB308" s="294">
        <f t="shared" si="982"/>
        <v>157.67769874942599</v>
      </c>
      <c r="BC308" s="294">
        <f t="shared" si="982"/>
        <v>160.74083196057032</v>
      </c>
      <c r="BD308" s="294">
        <f t="shared" si="982"/>
        <v>163.86347127272725</v>
      </c>
      <c r="BE308" s="294">
        <f t="shared" si="982"/>
        <v>167.0467726839594</v>
      </c>
      <c r="BF308" s="294">
        <f t="shared" si="982"/>
        <v>170.29191464938003</v>
      </c>
      <c r="BG308" s="294">
        <f t="shared" si="982"/>
        <v>173.60009851741592</v>
      </c>
      <c r="BH308" s="294">
        <f t="shared" si="982"/>
        <v>176.97254897454539</v>
      </c>
      <c r="BI308" s="294">
        <f t="shared" si="982"/>
        <v>180.41051449867612</v>
      </c>
      <c r="BJ308" s="294">
        <f t="shared" si="982"/>
        <v>183.91526782133042</v>
      </c>
      <c r="BK308" s="294">
        <f t="shared" si="982"/>
        <v>187.48810639880918</v>
      </c>
      <c r="BL308" s="294">
        <f t="shared" si="982"/>
        <v>191.13035289250902</v>
      </c>
      <c r="BM308" s="294">
        <f t="shared" si="982"/>
        <v>194.8433556585702</v>
      </c>
      <c r="BN308" s="294">
        <f t="shared" si="982"/>
        <v>198.62848924703684</v>
      </c>
      <c r="BO308" s="295"/>
      <c r="BP308" s="291"/>
      <c r="BQ308" s="291"/>
      <c r="BR308" s="291"/>
      <c r="BS308" s="291"/>
      <c r="BT308" s="291"/>
      <c r="BU308" s="291"/>
      <c r="BV308" s="291"/>
      <c r="BW308" s="291"/>
      <c r="BX308" s="291"/>
      <c r="BY308" s="291"/>
      <c r="BZ308" s="291"/>
      <c r="CA308" s="291"/>
      <c r="CB308" s="291"/>
      <c r="CC308" s="291"/>
      <c r="CD308" s="291"/>
      <c r="CE308" s="291"/>
      <c r="CF308" s="291"/>
      <c r="CG308" s="296"/>
      <c r="CH308" s="296"/>
      <c r="CI308" s="296"/>
    </row>
    <row r="309" spans="1:87" s="296" customFormat="1">
      <c r="A309" s="297" t="s">
        <v>58</v>
      </c>
      <c r="B309" s="298">
        <f>-Drivers!B258</f>
        <v>42</v>
      </c>
      <c r="C309" s="298">
        <f>-Drivers!C258</f>
        <v>47</v>
      </c>
      <c r="D309" s="298">
        <f>-Drivers!D258</f>
        <v>43</v>
      </c>
      <c r="E309" s="298">
        <f>-Drivers!E258</f>
        <v>46</v>
      </c>
      <c r="F309" s="298">
        <f>-Drivers!F258</f>
        <v>38</v>
      </c>
      <c r="G309" s="298">
        <f>-Drivers!G258</f>
        <v>38</v>
      </c>
      <c r="H309" s="298">
        <f>-Drivers!H258</f>
        <v>43</v>
      </c>
      <c r="I309" s="298">
        <f>-Drivers!I258</f>
        <v>48</v>
      </c>
      <c r="J309" s="298">
        <f>-Drivers!J258</f>
        <v>41</v>
      </c>
      <c r="K309" s="298">
        <f>-Drivers!K258</f>
        <v>39</v>
      </c>
      <c r="L309" s="298">
        <f>-Drivers!L258</f>
        <v>44</v>
      </c>
      <c r="M309" s="298">
        <f>-Drivers!M258</f>
        <v>39</v>
      </c>
      <c r="N309" s="298">
        <f>-Drivers!N258</f>
        <v>42</v>
      </c>
      <c r="O309" s="298">
        <f>-Drivers!O258</f>
        <v>33</v>
      </c>
      <c r="P309" s="298">
        <f>-Drivers!P258</f>
        <v>38</v>
      </c>
      <c r="Q309" s="298">
        <f>-Drivers!Q258</f>
        <v>40</v>
      </c>
      <c r="R309" s="298">
        <f>-Drivers!R258</f>
        <v>39</v>
      </c>
      <c r="S309" s="298">
        <f>-Drivers!S258</f>
        <v>29</v>
      </c>
      <c r="T309" s="298">
        <f>-Drivers!T258</f>
        <v>40</v>
      </c>
      <c r="U309" s="298">
        <f>-Drivers!U258</f>
        <v>39</v>
      </c>
      <c r="V309" s="298">
        <f>-Drivers!V258</f>
        <v>36</v>
      </c>
      <c r="W309" s="298">
        <f>-Drivers!W258</f>
        <v>45</v>
      </c>
      <c r="X309" s="298">
        <f>-Drivers!X258</f>
        <v>44</v>
      </c>
      <c r="Y309" s="298">
        <f>-Drivers!Y258</f>
        <v>42</v>
      </c>
      <c r="Z309" s="298">
        <f>-Drivers!Z258</f>
        <v>47</v>
      </c>
      <c r="AA309" s="298">
        <f>-Drivers!AA258</f>
        <v>48</v>
      </c>
      <c r="AB309" s="298">
        <f>-Drivers!AB258</f>
        <v>48</v>
      </c>
      <c r="AC309" s="298">
        <f>-Drivers!AC258</f>
        <v>48</v>
      </c>
      <c r="AD309" s="298">
        <f>-Drivers!AD258</f>
        <v>52</v>
      </c>
      <c r="AE309" s="298">
        <f>-Drivers!AE258</f>
        <v>48</v>
      </c>
      <c r="AF309" s="298">
        <f>-Drivers!AF258</f>
        <v>62</v>
      </c>
      <c r="AG309" s="298">
        <f>-Drivers!AG258</f>
        <v>63</v>
      </c>
      <c r="AH309" s="298">
        <f>-Drivers!AH258</f>
        <v>69</v>
      </c>
      <c r="AI309" s="298">
        <f>-Drivers!AI258</f>
        <v>70</v>
      </c>
      <c r="AJ309" s="298">
        <f>-Drivers!AJ258</f>
        <v>66</v>
      </c>
      <c r="AK309" s="298">
        <f>-Drivers!AK258</f>
        <v>75</v>
      </c>
      <c r="AL309" s="298">
        <f>-Drivers!AL258</f>
        <v>73</v>
      </c>
      <c r="AM309" s="298">
        <f>-Drivers!AM258</f>
        <v>73</v>
      </c>
      <c r="AN309" s="298">
        <f>-Drivers!AN258</f>
        <v>92</v>
      </c>
      <c r="AO309" s="298">
        <f>-Drivers!AO258</f>
        <v>91</v>
      </c>
      <c r="AP309" s="298">
        <f>-Drivers!AP258</f>
        <v>91</v>
      </c>
      <c r="AQ309" s="298">
        <f>-Drivers!AQ258</f>
        <v>102</v>
      </c>
      <c r="AR309" s="298">
        <f>-Drivers!AR258</f>
        <v>113</v>
      </c>
      <c r="AS309" s="298">
        <f>-Drivers!AS258</f>
        <v>111</v>
      </c>
      <c r="AT309" s="298">
        <f>-Drivers!AT258</f>
        <v>109</v>
      </c>
      <c r="AU309" s="298">
        <f>-Drivers!AU258</f>
        <v>125</v>
      </c>
      <c r="AV309" s="298">
        <f>-Drivers!AV258</f>
        <v>149</v>
      </c>
      <c r="AW309" s="298">
        <f>-Drivers!AW258</f>
        <v>135.24803520833333</v>
      </c>
      <c r="AX309" s="298">
        <f>-Drivers!AX258</f>
        <v>168.36559330719879</v>
      </c>
      <c r="AY309" s="298">
        <f>-Drivers!AY258</f>
        <v>133.91215246490384</v>
      </c>
      <c r="AZ309" s="298">
        <f>-Drivers!AZ258</f>
        <v>165.39547741666811</v>
      </c>
      <c r="BA309" s="298">
        <f>-Drivers!BA258</f>
        <v>154.93542134760662</v>
      </c>
      <c r="BB309" s="298">
        <f>-Drivers!BB258</f>
        <v>164.37411252521255</v>
      </c>
      <c r="BC309" s="298">
        <f>-Drivers!BC258</f>
        <v>131.10297298367914</v>
      </c>
      <c r="BD309" s="298">
        <f>-Drivers!BD258</f>
        <v>171.33961861282347</v>
      </c>
      <c r="BE309" s="298">
        <f>-Drivers!BE258</f>
        <v>155.67314313678082</v>
      </c>
      <c r="BF309" s="298">
        <f>-Drivers!BF258</f>
        <v>168.04179393439404</v>
      </c>
      <c r="BG309" s="298">
        <f>-Drivers!BG258</f>
        <v>134.49632147900672</v>
      </c>
      <c r="BH309" s="298">
        <f>-Drivers!BH258</f>
        <v>206.544476542713</v>
      </c>
      <c r="BI309" s="298">
        <f>-Drivers!BI258</f>
        <v>166.62043236193279</v>
      </c>
      <c r="BJ309" s="298">
        <f>-Drivers!BJ258</f>
        <v>177.35033353765823</v>
      </c>
      <c r="BK309" s="298">
        <f>-Drivers!BK258</f>
        <v>140.44796622394566</v>
      </c>
      <c r="BL309" s="298">
        <f>-Drivers!BL258</f>
        <v>185.44406973195814</v>
      </c>
      <c r="BM309" s="298">
        <f>-Drivers!BM258</f>
        <v>170.10016160110877</v>
      </c>
      <c r="BN309" s="298">
        <f>-Drivers!BN258</f>
        <v>183.56194607242423</v>
      </c>
      <c r="BO309" s="298"/>
      <c r="BP309" s="298">
        <f>-Drivers!BP258</f>
        <v>161</v>
      </c>
      <c r="BQ309" s="298">
        <f>-Drivers!BQ258</f>
        <v>174</v>
      </c>
      <c r="BR309" s="298">
        <f>-Drivers!BR258</f>
        <v>170</v>
      </c>
      <c r="BS309" s="298">
        <f>-Drivers!BS258</f>
        <v>164</v>
      </c>
      <c r="BT309" s="298">
        <f>-Drivers!BT258</f>
        <v>150</v>
      </c>
      <c r="BU309" s="298">
        <f>-Drivers!BU258</f>
        <v>144</v>
      </c>
      <c r="BV309" s="298">
        <f>-Drivers!BV258</f>
        <v>178</v>
      </c>
      <c r="BW309" s="298">
        <f>-Drivers!BW258</f>
        <v>196</v>
      </c>
      <c r="BX309" s="298">
        <f>-Drivers!BX258</f>
        <v>242</v>
      </c>
      <c r="BY309" s="298">
        <f>-Drivers!BY258</f>
        <v>284</v>
      </c>
      <c r="BZ309" s="298">
        <f>-Drivers!BZ258</f>
        <v>347</v>
      </c>
      <c r="CA309" s="298">
        <f>-Drivers!CA258</f>
        <v>435</v>
      </c>
      <c r="CB309" s="298">
        <f>-Drivers!CB258</f>
        <v>577.61362851553213</v>
      </c>
      <c r="CC309" s="298">
        <f>-Drivers!CC258</f>
        <v>618.61716375439119</v>
      </c>
      <c r="CD309" s="298">
        <f>-Drivers!CD258</f>
        <v>626.15752866767752</v>
      </c>
      <c r="CE309" s="298">
        <f>-Drivers!CE258</f>
        <v>685.01156392131077</v>
      </c>
      <c r="CF309" s="298">
        <f>-Drivers!CF258</f>
        <v>679.55414362943679</v>
      </c>
    </row>
    <row r="310" spans="1:87" s="296" customFormat="1">
      <c r="A310" s="297" t="s">
        <v>103</v>
      </c>
      <c r="B310" s="298">
        <f>CF!B38</f>
        <v>0</v>
      </c>
      <c r="C310" s="298">
        <f>CF!C38</f>
        <v>0</v>
      </c>
      <c r="D310" s="298">
        <f>CF!D38</f>
        <v>0</v>
      </c>
      <c r="E310" s="298">
        <f>CF!E38</f>
        <v>0</v>
      </c>
      <c r="F310" s="298">
        <f>CF!F38</f>
        <v>-58</v>
      </c>
      <c r="G310" s="298">
        <f>CF!G38</f>
        <v>-91</v>
      </c>
      <c r="H310" s="298">
        <f>CF!H38</f>
        <v>-98</v>
      </c>
      <c r="I310" s="298">
        <f>CF!I38</f>
        <v>-41</v>
      </c>
      <c r="J310" s="298">
        <f>CF!J38</f>
        <v>-241</v>
      </c>
      <c r="K310" s="298">
        <f>CF!K38</f>
        <v>-71</v>
      </c>
      <c r="L310" s="298">
        <f>CF!L38</f>
        <v>-108</v>
      </c>
      <c r="M310" s="298">
        <f>CF!M38</f>
        <v>-157</v>
      </c>
      <c r="N310" s="298">
        <f>CF!N38</f>
        <v>-13</v>
      </c>
      <c r="O310" s="298">
        <f>CF!O38</f>
        <v>0</v>
      </c>
      <c r="P310" s="298">
        <f>CF!P38</f>
        <v>0</v>
      </c>
      <c r="Q310" s="298">
        <f>CF!Q38</f>
        <v>0</v>
      </c>
      <c r="R310" s="298">
        <f>CF!R38</f>
        <v>0</v>
      </c>
      <c r="S310" s="298">
        <f>CF!S38</f>
        <v>-50</v>
      </c>
      <c r="T310" s="298">
        <f>CF!T38</f>
        <v>-95</v>
      </c>
      <c r="U310" s="298">
        <f>CF!U38</f>
        <v>-97</v>
      </c>
      <c r="V310" s="298">
        <f>CF!V38</f>
        <v>-95</v>
      </c>
      <c r="W310" s="298">
        <f>CF!W38</f>
        <v>-132</v>
      </c>
      <c r="X310" s="298">
        <f>CF!X38</f>
        <v>-126</v>
      </c>
      <c r="Y310" s="298">
        <f>CF!Y38</f>
        <v>-126</v>
      </c>
      <c r="Z310" s="298">
        <f>CF!Z38</f>
        <v>-634</v>
      </c>
      <c r="AA310" s="298">
        <f>CF!AA38</f>
        <v>-129</v>
      </c>
      <c r="AB310" s="298">
        <f>CF!AB38</f>
        <v>-127</v>
      </c>
      <c r="AC310" s="298">
        <f>CF!AC38</f>
        <v>-127</v>
      </c>
      <c r="AD310" s="298">
        <f>CF!AD38</f>
        <v>-125</v>
      </c>
      <c r="AE310" s="298">
        <f>CF!AE38</f>
        <v>-150</v>
      </c>
      <c r="AF310" s="298">
        <f>CF!AF38</f>
        <v>-153</v>
      </c>
      <c r="AG310" s="298">
        <f>CF!AG38</f>
        <v>-150</v>
      </c>
      <c r="AH310" s="298">
        <f>CF!AH38</f>
        <v>-148</v>
      </c>
      <c r="AI310" s="298">
        <f>CF!AI38</f>
        <v>-300</v>
      </c>
      <c r="AJ310" s="298">
        <f>CF!AJ38</f>
        <v>-299</v>
      </c>
      <c r="AK310" s="298">
        <f>CF!AK38</f>
        <v>-292</v>
      </c>
      <c r="AL310" s="298">
        <f>CF!AL38</f>
        <v>-301</v>
      </c>
      <c r="AM310" s="298">
        <f>CF!AM38</f>
        <v>-305</v>
      </c>
      <c r="AN310" s="298">
        <f>CF!AN38</f>
        <v>-306</v>
      </c>
      <c r="AO310" s="298">
        <f>CF!AO38</f>
        <v>-305</v>
      </c>
      <c r="AP310" s="298">
        <f>CF!AP38</f>
        <v>-291</v>
      </c>
      <c r="AQ310" s="298">
        <f>CF!AQ38</f>
        <v>-78</v>
      </c>
      <c r="AR310" s="298">
        <f>CF!AR38</f>
        <v>0</v>
      </c>
      <c r="AS310" s="298">
        <f>CF!AS38</f>
        <v>-326</v>
      </c>
      <c r="AT310" s="298">
        <f>CF!AT38</f>
        <v>-325</v>
      </c>
      <c r="AU310" s="298">
        <f>CF!AU38</f>
        <v>-325</v>
      </c>
      <c r="AV310" s="298">
        <f>CF!AV38</f>
        <v>-325</v>
      </c>
      <c r="AW310" s="298">
        <f>CF!AW38</f>
        <v>-358.0392075702149</v>
      </c>
      <c r="AX310" s="298">
        <f>CF!AX38</f>
        <v>-364.99467303107872</v>
      </c>
      <c r="AY310" s="298">
        <f>CF!AY38</f>
        <v>-372.08525916798692</v>
      </c>
      <c r="AZ310" s="298">
        <f>CF!AZ38</f>
        <v>-379.31359090909092</v>
      </c>
      <c r="BA310" s="298">
        <f>CF!BA38</f>
        <v>-386.68234417583199</v>
      </c>
      <c r="BB310" s="298">
        <f>CF!BB38</f>
        <v>0</v>
      </c>
      <c r="BC310" s="298">
        <f>CF!BC38</f>
        <v>0</v>
      </c>
      <c r="BD310" s="298">
        <f>CF!BD38</f>
        <v>0</v>
      </c>
      <c r="BE310" s="298">
        <f>CF!BE38</f>
        <v>0</v>
      </c>
      <c r="BF310" s="298">
        <f>CF!BF38</f>
        <v>0</v>
      </c>
      <c r="BG310" s="298">
        <f>CF!BG38</f>
        <v>0</v>
      </c>
      <c r="BH310" s="298">
        <f>CF!BH38</f>
        <v>0</v>
      </c>
      <c r="BI310" s="298">
        <f>CF!BI38</f>
        <v>0</v>
      </c>
      <c r="BJ310" s="298">
        <f>CF!BJ38</f>
        <v>0</v>
      </c>
      <c r="BK310" s="298">
        <f>CF!BK38</f>
        <v>0</v>
      </c>
      <c r="BL310" s="298">
        <f>CF!BL38</f>
        <v>0</v>
      </c>
      <c r="BM310" s="298">
        <f>CF!BM38</f>
        <v>0</v>
      </c>
      <c r="BN310" s="298">
        <f>CF!BN38</f>
        <v>0</v>
      </c>
      <c r="BO310" s="299"/>
      <c r="BP310" s="297"/>
      <c r="BQ310" s="297"/>
      <c r="BR310" s="297"/>
      <c r="BS310" s="297"/>
      <c r="BT310" s="297"/>
      <c r="BU310" s="297"/>
      <c r="BV310" s="297"/>
      <c r="BW310" s="297"/>
      <c r="BX310" s="297"/>
      <c r="BY310" s="297"/>
      <c r="BZ310" s="297"/>
      <c r="CA310" s="297"/>
      <c r="CB310" s="297"/>
      <c r="CC310" s="297"/>
      <c r="CD310" s="297"/>
      <c r="CE310" s="297"/>
      <c r="CF310" s="297"/>
      <c r="CG310" s="3"/>
      <c r="CH310" s="3"/>
      <c r="CI310" s="3"/>
    </row>
  </sheetData>
  <dataConsolidate/>
  <phoneticPr fontId="3" type="noConversion"/>
  <pageMargins left="0.7" right="0.7" top="0.75" bottom="0.75" header="0.3" footer="0.3"/>
  <pageSetup scale="53" fitToHeight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CF148"/>
  <sheetViews>
    <sheetView zoomScale="30" zoomScaleNormal="30" workbookViewId="0">
      <pane xSplit="1" ySplit="5" topLeftCell="B6" activePane="bottomRight" state="frozen"/>
      <selection activeCell="AM1" sqref="AM1"/>
      <selection pane="topRight" activeCell="AM1" sqref="AM1"/>
      <selection pane="bottomLeft" activeCell="AM1" sqref="AM1"/>
      <selection pane="bottomRight" activeCell="BU81" sqref="BU81"/>
    </sheetView>
  </sheetViews>
  <sheetFormatPr baseColWidth="10" defaultColWidth="6" defaultRowHeight="12.75" customHeight="1" outlineLevelCol="1"/>
  <cols>
    <col min="1" max="1" width="29.5" style="308" bestFit="1" customWidth="1"/>
    <col min="2" max="2" width="19.6640625" style="308" bestFit="1" customWidth="1" outlineLevel="1"/>
    <col min="3" max="6" width="7.6640625" style="308" bestFit="1" customWidth="1" outlineLevel="1"/>
    <col min="7" max="10" width="8.33203125" style="308" bestFit="1" customWidth="1" outlineLevel="1"/>
    <col min="11" max="11" width="7.6640625" style="308" bestFit="1" customWidth="1" outlineLevel="1"/>
    <col min="12" max="14" width="7.83203125" style="308" bestFit="1" customWidth="1" outlineLevel="1"/>
    <col min="15" max="15" width="7.6640625" style="308" bestFit="1" customWidth="1" outlineLevel="1" collapsed="1"/>
    <col min="16" max="17" width="7.6640625" style="308" bestFit="1" customWidth="1" outlineLevel="1"/>
    <col min="18" max="18" width="7.83203125" style="308" bestFit="1" customWidth="1" outlineLevel="1"/>
    <col min="19" max="19" width="7.6640625" style="308" bestFit="1" customWidth="1" outlineLevel="1"/>
    <col min="20" max="21" width="7.83203125" style="308" bestFit="1" customWidth="1" outlineLevel="1"/>
    <col min="22" max="22" width="8.33203125" style="308" bestFit="1" customWidth="1" outlineLevel="1"/>
    <col min="23" max="24" width="7.83203125" style="308" bestFit="1" customWidth="1" outlineLevel="1"/>
    <col min="25" max="30" width="7.6640625" style="308" bestFit="1" customWidth="1" outlineLevel="1"/>
    <col min="31" max="31" width="7.83203125" style="308" bestFit="1" customWidth="1" outlineLevel="1"/>
    <col min="32" max="33" width="7.6640625" style="308" bestFit="1" customWidth="1" outlineLevel="1"/>
    <col min="34" max="34" width="7.83203125" style="308" bestFit="1" customWidth="1" outlineLevel="1"/>
    <col min="35" max="36" width="7.6640625" style="308" bestFit="1" customWidth="1"/>
    <col min="37" max="37" width="7.83203125" style="308" bestFit="1" customWidth="1"/>
    <col min="38" max="38" width="7.6640625" style="308" bestFit="1" customWidth="1"/>
    <col min="39" max="54" width="8.83203125" style="308" bestFit="1" customWidth="1"/>
    <col min="55" max="66" width="8.83203125" style="308" bestFit="1" customWidth="1" outlineLevel="1"/>
    <col min="67" max="67" width="5.6640625" style="308" customWidth="1"/>
    <col min="68" max="76" width="8.83203125" style="308" bestFit="1" customWidth="1" outlineLevel="1"/>
    <col min="77" max="77" width="8.83203125" style="308" bestFit="1" customWidth="1"/>
    <col min="78" max="78" width="7.6640625" style="308" bestFit="1" customWidth="1"/>
    <col min="79" max="83" width="8.83203125" style="308" bestFit="1" customWidth="1"/>
    <col min="84" max="84" width="7.6640625" style="308" bestFit="1" customWidth="1"/>
    <col min="85" max="85" width="5.6640625" style="308" customWidth="1"/>
    <col min="86" max="16384" width="6" style="308"/>
  </cols>
  <sheetData>
    <row r="1" spans="1:84" ht="21">
      <c r="A1" s="656" t="s">
        <v>499</v>
      </c>
    </row>
    <row r="2" spans="1:84" ht="16">
      <c r="A2" s="309" t="s">
        <v>500</v>
      </c>
    </row>
    <row r="3" spans="1:84" ht="16">
      <c r="A3" s="310" t="s">
        <v>312</v>
      </c>
    </row>
    <row r="4" spans="1:84" s="314" customFormat="1" ht="12.75" customHeight="1">
      <c r="A4" s="311"/>
      <c r="B4" s="312">
        <v>40268</v>
      </c>
      <c r="C4" s="312">
        <v>40359</v>
      </c>
      <c r="D4" s="312">
        <v>40451</v>
      </c>
      <c r="E4" s="312">
        <v>40543</v>
      </c>
      <c r="F4" s="312">
        <v>40633</v>
      </c>
      <c r="G4" s="312">
        <v>40724</v>
      </c>
      <c r="H4" s="312">
        <v>40816</v>
      </c>
      <c r="I4" s="312">
        <v>40908</v>
      </c>
      <c r="J4" s="312">
        <v>40999</v>
      </c>
      <c r="K4" s="312">
        <v>41090</v>
      </c>
      <c r="L4" s="312">
        <v>41182</v>
      </c>
      <c r="M4" s="312">
        <v>41274</v>
      </c>
      <c r="N4" s="312">
        <v>41364</v>
      </c>
      <c r="O4" s="312">
        <v>41455</v>
      </c>
      <c r="P4" s="312">
        <v>41547</v>
      </c>
      <c r="Q4" s="312">
        <v>41639</v>
      </c>
      <c r="R4" s="312">
        <v>41729</v>
      </c>
      <c r="S4" s="312">
        <v>41820</v>
      </c>
      <c r="T4" s="312">
        <v>41912</v>
      </c>
      <c r="U4" s="312">
        <v>42004</v>
      </c>
      <c r="V4" s="312">
        <v>42094</v>
      </c>
      <c r="W4" s="312">
        <v>42185</v>
      </c>
      <c r="X4" s="312">
        <v>42277</v>
      </c>
      <c r="Y4" s="312">
        <v>42369</v>
      </c>
      <c r="Z4" s="312">
        <v>42460</v>
      </c>
      <c r="AA4" s="312">
        <v>42551</v>
      </c>
      <c r="AB4" s="312">
        <v>42643</v>
      </c>
      <c r="AC4" s="312">
        <v>42735</v>
      </c>
      <c r="AD4" s="312">
        <v>42825</v>
      </c>
      <c r="AE4" s="312">
        <v>42916</v>
      </c>
      <c r="AF4" s="312">
        <v>43008</v>
      </c>
      <c r="AG4" s="312">
        <v>43100</v>
      </c>
      <c r="AH4" s="312">
        <v>43190</v>
      </c>
      <c r="AI4" s="312">
        <v>43281</v>
      </c>
      <c r="AJ4" s="312">
        <v>43373</v>
      </c>
      <c r="AK4" s="312">
        <v>43465</v>
      </c>
      <c r="AL4" s="312">
        <v>43555</v>
      </c>
      <c r="AM4" s="312">
        <v>43646</v>
      </c>
      <c r="AN4" s="312">
        <v>43738</v>
      </c>
      <c r="AO4" s="312">
        <v>43830</v>
      </c>
      <c r="AP4" s="312">
        <v>43921</v>
      </c>
      <c r="AQ4" s="312">
        <v>44012</v>
      </c>
      <c r="AR4" s="312">
        <v>44104</v>
      </c>
      <c r="AS4" s="312">
        <v>44196</v>
      </c>
      <c r="AT4" s="312">
        <v>44286</v>
      </c>
      <c r="AU4" s="312">
        <v>44368</v>
      </c>
      <c r="AV4" s="312">
        <v>44460</v>
      </c>
      <c r="AW4" s="313" t="s">
        <v>258</v>
      </c>
      <c r="AX4" s="313" t="s">
        <v>259</v>
      </c>
      <c r="AY4" s="313">
        <v>44742</v>
      </c>
      <c r="AZ4" s="313">
        <v>44834</v>
      </c>
      <c r="BA4" s="313">
        <v>44926</v>
      </c>
      <c r="BB4" s="313">
        <v>45016</v>
      </c>
      <c r="BC4" s="313">
        <v>45107</v>
      </c>
      <c r="BD4" s="313">
        <v>45199</v>
      </c>
      <c r="BE4" s="313">
        <v>45291</v>
      </c>
      <c r="BF4" s="313">
        <v>45382</v>
      </c>
      <c r="BG4" s="313">
        <v>45473</v>
      </c>
      <c r="BH4" s="313">
        <v>45565</v>
      </c>
      <c r="BI4" s="313">
        <v>45657</v>
      </c>
      <c r="BJ4" s="313">
        <v>45747</v>
      </c>
      <c r="BK4" s="313">
        <v>45838</v>
      </c>
      <c r="BL4" s="313">
        <v>45930</v>
      </c>
      <c r="BM4" s="313">
        <v>46022</v>
      </c>
      <c r="BN4" s="313">
        <v>46112</v>
      </c>
      <c r="BO4" s="313"/>
    </row>
    <row r="5" spans="1:84" s="315" customFormat="1" ht="16">
      <c r="B5" s="315" t="s">
        <v>334</v>
      </c>
      <c r="C5" s="315" t="s">
        <v>335</v>
      </c>
      <c r="D5" s="315" t="s">
        <v>336</v>
      </c>
      <c r="E5" s="315" t="s">
        <v>337</v>
      </c>
      <c r="F5" s="315" t="s">
        <v>338</v>
      </c>
      <c r="G5" s="315" t="s">
        <v>339</v>
      </c>
      <c r="H5" s="315" t="s">
        <v>340</v>
      </c>
      <c r="I5" s="315" t="s">
        <v>341</v>
      </c>
      <c r="J5" s="315" t="s">
        <v>342</v>
      </c>
      <c r="K5" s="315" t="s">
        <v>343</v>
      </c>
      <c r="L5" s="315" t="s">
        <v>344</v>
      </c>
      <c r="M5" s="315" t="s">
        <v>345</v>
      </c>
      <c r="N5" s="315" t="s">
        <v>346</v>
      </c>
      <c r="O5" s="315" t="s">
        <v>347</v>
      </c>
      <c r="P5" s="315" t="s">
        <v>348</v>
      </c>
      <c r="Q5" s="315" t="s">
        <v>349</v>
      </c>
      <c r="R5" s="315" t="s">
        <v>350</v>
      </c>
      <c r="S5" s="315" t="s">
        <v>351</v>
      </c>
      <c r="T5" s="315" t="s">
        <v>352</v>
      </c>
      <c r="U5" s="315" t="s">
        <v>353</v>
      </c>
      <c r="V5" s="315" t="s">
        <v>354</v>
      </c>
      <c r="W5" s="315" t="s">
        <v>355</v>
      </c>
      <c r="X5" s="315" t="s">
        <v>356</v>
      </c>
      <c r="Y5" s="315" t="s">
        <v>357</v>
      </c>
      <c r="Z5" s="315" t="s">
        <v>358</v>
      </c>
      <c r="AA5" s="315" t="s">
        <v>359</v>
      </c>
      <c r="AB5" s="315" t="s">
        <v>360</v>
      </c>
      <c r="AC5" s="315" t="s">
        <v>361</v>
      </c>
      <c r="AD5" s="315" t="s">
        <v>362</v>
      </c>
      <c r="AE5" s="315" t="s">
        <v>363</v>
      </c>
      <c r="AF5" s="315" t="s">
        <v>364</v>
      </c>
      <c r="AG5" s="315" t="s">
        <v>365</v>
      </c>
      <c r="AH5" s="315" t="s">
        <v>366</v>
      </c>
      <c r="AI5" s="315" t="s">
        <v>315</v>
      </c>
      <c r="AJ5" s="315" t="s">
        <v>314</v>
      </c>
      <c r="AK5" s="315" t="s">
        <v>235</v>
      </c>
      <c r="AL5" s="315" t="s">
        <v>236</v>
      </c>
      <c r="AM5" s="315" t="s">
        <v>237</v>
      </c>
      <c r="AN5" s="315" t="s">
        <v>238</v>
      </c>
      <c r="AO5" s="315" t="s">
        <v>239</v>
      </c>
      <c r="AP5" s="315" t="s">
        <v>240</v>
      </c>
      <c r="AQ5" s="315" t="s">
        <v>241</v>
      </c>
      <c r="AR5" s="315" t="s">
        <v>242</v>
      </c>
      <c r="AS5" s="315" t="s">
        <v>243</v>
      </c>
      <c r="AT5" s="315" t="s">
        <v>234</v>
      </c>
      <c r="AU5" s="315" t="s">
        <v>244</v>
      </c>
      <c r="AV5" s="315" t="s">
        <v>296</v>
      </c>
      <c r="AW5" s="315" t="s">
        <v>316</v>
      </c>
      <c r="AX5" s="315" t="s">
        <v>317</v>
      </c>
      <c r="AY5" s="315" t="s">
        <v>318</v>
      </c>
      <c r="AZ5" s="315" t="s">
        <v>319</v>
      </c>
      <c r="BA5" s="315" t="s">
        <v>320</v>
      </c>
      <c r="BB5" s="315" t="s">
        <v>321</v>
      </c>
      <c r="BC5" s="315" t="s">
        <v>322</v>
      </c>
      <c r="BD5" s="315" t="s">
        <v>323</v>
      </c>
      <c r="BE5" s="315" t="s">
        <v>324</v>
      </c>
      <c r="BF5" s="315" t="s">
        <v>325</v>
      </c>
      <c r="BG5" s="315" t="s">
        <v>326</v>
      </c>
      <c r="BH5" s="315" t="s">
        <v>327</v>
      </c>
      <c r="BI5" s="315" t="s">
        <v>328</v>
      </c>
      <c r="BJ5" s="315" t="s">
        <v>329</v>
      </c>
      <c r="BK5" s="315" t="s">
        <v>330</v>
      </c>
      <c r="BL5" s="315" t="s">
        <v>331</v>
      </c>
      <c r="BM5" s="315" t="s">
        <v>332</v>
      </c>
      <c r="BN5" s="315" t="s">
        <v>333</v>
      </c>
      <c r="BP5" s="316">
        <v>2010</v>
      </c>
      <c r="BQ5" s="316">
        <v>2011</v>
      </c>
      <c r="BR5" s="316">
        <v>2012</v>
      </c>
      <c r="BS5" s="316">
        <v>2013</v>
      </c>
      <c r="BT5" s="316">
        <v>2014</v>
      </c>
      <c r="BU5" s="316">
        <v>2015</v>
      </c>
      <c r="BV5" s="316">
        <v>2016</v>
      </c>
      <c r="BW5" s="316">
        <v>2017</v>
      </c>
      <c r="BX5" s="316">
        <v>2018</v>
      </c>
      <c r="BY5" s="316">
        <v>2019</v>
      </c>
      <c r="BZ5" s="316">
        <v>2020</v>
      </c>
      <c r="CA5" s="316">
        <v>2021</v>
      </c>
      <c r="CB5" s="317">
        <v>2022</v>
      </c>
      <c r="CC5" s="317">
        <v>2023</v>
      </c>
      <c r="CD5" s="317">
        <v>2024</v>
      </c>
      <c r="CE5" s="317">
        <v>2025</v>
      </c>
      <c r="CF5" s="317">
        <v>2026</v>
      </c>
    </row>
    <row r="6" spans="1:84" s="315" customFormat="1" ht="16"/>
    <row r="7" spans="1:84" s="321" customFormat="1" ht="13" customHeight="1">
      <c r="A7" s="318" t="s">
        <v>61</v>
      </c>
      <c r="B7" s="319">
        <f>CF!B45</f>
        <v>1273</v>
      </c>
      <c r="C7" s="319">
        <f>CF!C45</f>
        <v>1057</v>
      </c>
      <c r="D7" s="319">
        <f>CF!D45</f>
        <v>1056</v>
      </c>
      <c r="E7" s="319">
        <f>CF!E45</f>
        <v>1353</v>
      </c>
      <c r="F7" s="319">
        <f>CF!F45</f>
        <v>1579</v>
      </c>
      <c r="G7" s="319">
        <f>CF!G45</f>
        <v>1173</v>
      </c>
      <c r="H7" s="319">
        <f>CF!H45</f>
        <v>930</v>
      </c>
      <c r="I7" s="319">
        <f>CF!I45</f>
        <v>1242</v>
      </c>
      <c r="J7" s="319">
        <f>CF!J45</f>
        <v>1293</v>
      </c>
      <c r="K7" s="319">
        <f>CF!K45</f>
        <v>919</v>
      </c>
      <c r="L7" s="319">
        <f>CF!L45</f>
        <v>871</v>
      </c>
      <c r="M7" s="319">
        <f>CF!M45</f>
        <v>1158</v>
      </c>
      <c r="N7" s="319">
        <f>CF!N45</f>
        <v>1292</v>
      </c>
      <c r="O7" s="319">
        <f>CF!O45</f>
        <v>1056</v>
      </c>
      <c r="P7" s="319">
        <f>CF!P45</f>
        <v>1090</v>
      </c>
      <c r="Q7" s="319">
        <f>CF!Q45</f>
        <v>1746</v>
      </c>
      <c r="R7" s="319">
        <f>CF!R45</f>
        <v>1782</v>
      </c>
      <c r="S7" s="319">
        <f>CF!S45</f>
        <v>1554</v>
      </c>
      <c r="T7" s="319">
        <f>CF!T45</f>
        <v>1624</v>
      </c>
      <c r="U7" s="319">
        <f>CF!U45</f>
        <v>2166</v>
      </c>
      <c r="V7" s="319">
        <f>CF!V45</f>
        <v>2068</v>
      </c>
      <c r="W7" s="319">
        <f>CF!W45</f>
        <v>1810</v>
      </c>
      <c r="X7" s="319">
        <f>CF!X45</f>
        <v>1598</v>
      </c>
      <c r="Y7" s="319">
        <f>CF!Y45</f>
        <v>2263</v>
      </c>
      <c r="Z7" s="319">
        <f>CF!Z45</f>
        <v>2493</v>
      </c>
      <c r="AA7" s="319">
        <f>CF!AA45</f>
        <v>2042</v>
      </c>
      <c r="AB7" s="319">
        <f>CF!AB45</f>
        <v>1746</v>
      </c>
      <c r="AC7" s="319">
        <f>CF!AC45</f>
        <v>2483</v>
      </c>
      <c r="AD7" s="319">
        <f>CF!AD45</f>
        <v>2565</v>
      </c>
      <c r="AE7" s="319">
        <f>CF!AE45</f>
        <v>2248</v>
      </c>
      <c r="AF7" s="319">
        <f>CF!AF45</f>
        <v>2067</v>
      </c>
      <c r="AG7" s="319">
        <f>CF!AG45</f>
        <v>2566</v>
      </c>
      <c r="AH7" s="319">
        <f>CF!AH45</f>
        <v>4258</v>
      </c>
      <c r="AI7" s="319">
        <f>CF!AI45</f>
        <v>3876</v>
      </c>
      <c r="AJ7" s="319">
        <f>CF!AJ45</f>
        <v>2881</v>
      </c>
      <c r="AK7" s="319">
        <f>CF!AK45</f>
        <v>3887</v>
      </c>
      <c r="AL7" s="319">
        <f>CF!AL45</f>
        <v>4708</v>
      </c>
      <c r="AM7" s="319">
        <f>CF!AM45</f>
        <v>3533</v>
      </c>
      <c r="AN7" s="319">
        <f>CF!AN45</f>
        <v>2940</v>
      </c>
      <c r="AO7" s="319">
        <f>CF!AO45</f>
        <v>3603</v>
      </c>
      <c r="AP7" s="319">
        <f>CF!AP45</f>
        <v>3768</v>
      </c>
      <c r="AQ7" s="319">
        <f>CF!AQ45</f>
        <v>4013</v>
      </c>
      <c r="AR7" s="319">
        <f>CF!AR45</f>
        <v>4059</v>
      </c>
      <c r="AS7" s="319">
        <f>CF!AS45</f>
        <v>4772</v>
      </c>
      <c r="AT7" s="319">
        <f>CF!AT45</f>
        <v>5260</v>
      </c>
      <c r="AU7" s="319">
        <f>CF!AU45</f>
        <v>2838</v>
      </c>
      <c r="AV7" s="319">
        <f>CF!AV45</f>
        <v>1630</v>
      </c>
      <c r="AW7" s="319">
        <f>CF!AW45</f>
        <v>2750.1784937746747</v>
      </c>
      <c r="AX7" s="319">
        <f>CF!AX45</f>
        <v>2877.4178895926138</v>
      </c>
      <c r="AY7" s="319">
        <f>CF!AY45</f>
        <v>2617.7868347343997</v>
      </c>
      <c r="AZ7" s="319">
        <f>CF!AZ45</f>
        <v>2230.1313157178229</v>
      </c>
      <c r="BA7" s="319">
        <f>CF!BA45</f>
        <v>3431.6350056097444</v>
      </c>
      <c r="BB7" s="319">
        <f>CF!BB45</f>
        <v>3953.5799705636864</v>
      </c>
      <c r="BC7" s="319">
        <f>CF!BC45</f>
        <v>3965.8515278773916</v>
      </c>
      <c r="BD7" s="319">
        <f>CF!BD45</f>
        <v>3950.7869153586676</v>
      </c>
      <c r="BE7" s="319">
        <f>CF!BE45</f>
        <v>5636.1905629768244</v>
      </c>
      <c r="BF7" s="319">
        <f>CF!BF45</f>
        <v>6138.7861014268447</v>
      </c>
      <c r="BG7" s="319">
        <f>CF!BG45</f>
        <v>6221.8665335408905</v>
      </c>
      <c r="BH7" s="319">
        <f>CF!BH45</f>
        <v>6278.363104487431</v>
      </c>
      <c r="BI7" s="319">
        <f>CF!BI45</f>
        <v>8104.6993660625076</v>
      </c>
      <c r="BJ7" s="319">
        <f>CF!BJ45</f>
        <v>8652.3163990148969</v>
      </c>
      <c r="BK7" s="319">
        <f>CF!BK45</f>
        <v>8758.4508953769982</v>
      </c>
      <c r="BL7" s="319">
        <f>CF!BL45</f>
        <v>8759.4570481210212</v>
      </c>
      <c r="BM7" s="319">
        <f>CF!BM45</f>
        <v>10625.340775848017</v>
      </c>
      <c r="BN7" s="319">
        <f>CF!BN45</f>
        <v>11221.946496285762</v>
      </c>
      <c r="BO7" s="319"/>
      <c r="BP7" s="320">
        <v>1273</v>
      </c>
      <c r="BQ7" s="320">
        <f t="shared" ref="BQ7:BQ14" si="0">F7</f>
        <v>1579</v>
      </c>
      <c r="BR7" s="320">
        <f t="shared" ref="BR7:BR14" si="1">J7</f>
        <v>1293</v>
      </c>
      <c r="BS7" s="320">
        <f t="shared" ref="BS7:BS14" si="2">N7</f>
        <v>1292</v>
      </c>
      <c r="BT7" s="320">
        <f t="shared" ref="BT7:BT14" si="3">R7</f>
        <v>1782</v>
      </c>
      <c r="BU7" s="320">
        <f t="shared" ref="BU7:BU14" si="4">V7</f>
        <v>2068</v>
      </c>
      <c r="BV7" s="320">
        <f t="shared" ref="BV7:BV14" si="5">Z7</f>
        <v>2493</v>
      </c>
      <c r="BW7" s="320">
        <f t="shared" ref="BW7:BW14" si="6">AD7</f>
        <v>2565</v>
      </c>
      <c r="BX7" s="320">
        <f t="shared" ref="BX7:BX14" si="7">AH7</f>
        <v>4258</v>
      </c>
      <c r="BY7" s="320">
        <f t="shared" ref="BY7:BY14" si="8">AL7</f>
        <v>4708</v>
      </c>
      <c r="BZ7" s="320">
        <f t="shared" ref="BZ7:BZ14" si="9">AP7</f>
        <v>3768</v>
      </c>
      <c r="CA7" s="320">
        <f t="shared" ref="CA7:CA14" si="10">AT7</f>
        <v>5260</v>
      </c>
      <c r="CB7" s="320">
        <f t="shared" ref="CB7:CB14" si="11">AX7</f>
        <v>2877.4178895926138</v>
      </c>
      <c r="CC7" s="320">
        <f t="shared" ref="CC7:CC14" si="12">BB7</f>
        <v>3953.5799705636864</v>
      </c>
      <c r="CD7" s="320">
        <f t="shared" ref="CD7:CD14" si="13">BF7</f>
        <v>6138.7861014268447</v>
      </c>
      <c r="CE7" s="320">
        <f t="shared" ref="CE7:CE14" si="14">BJ7</f>
        <v>8652.3163990148969</v>
      </c>
      <c r="CF7" s="320">
        <f t="shared" ref="CF7:CF14" si="15">BN7</f>
        <v>11221.946496285762</v>
      </c>
    </row>
    <row r="8" spans="1:84" s="321" customFormat="1" ht="13" customHeight="1">
      <c r="A8" s="318" t="s">
        <v>91</v>
      </c>
      <c r="B8" s="322">
        <v>432</v>
      </c>
      <c r="C8" s="322">
        <v>480</v>
      </c>
      <c r="D8" s="322">
        <v>495</v>
      </c>
      <c r="E8" s="322">
        <v>511</v>
      </c>
      <c r="F8" s="322">
        <v>497</v>
      </c>
      <c r="G8" s="322">
        <v>503</v>
      </c>
      <c r="H8" s="322">
        <v>355</v>
      </c>
      <c r="I8" s="322">
        <v>406</v>
      </c>
      <c r="J8" s="322">
        <v>437</v>
      </c>
      <c r="K8" s="322">
        <v>444</v>
      </c>
      <c r="L8" s="322">
        <v>351</v>
      </c>
      <c r="M8" s="322">
        <v>275</v>
      </c>
      <c r="N8" s="322">
        <v>388</v>
      </c>
      <c r="O8" s="322">
        <v>355</v>
      </c>
      <c r="P8" s="322">
        <v>328</v>
      </c>
      <c r="Q8" s="322">
        <v>324</v>
      </c>
      <c r="R8" s="322">
        <v>583</v>
      </c>
      <c r="S8" s="322">
        <v>762</v>
      </c>
      <c r="T8" s="322">
        <v>764</v>
      </c>
      <c r="U8" s="322">
        <v>774</v>
      </c>
      <c r="V8" s="322">
        <v>953</v>
      </c>
      <c r="W8" s="322">
        <v>1069</v>
      </c>
      <c r="X8" s="322">
        <v>990</v>
      </c>
      <c r="Y8" s="322">
        <v>966</v>
      </c>
      <c r="Z8" s="322">
        <v>1341</v>
      </c>
      <c r="AA8" s="322">
        <v>1385</v>
      </c>
      <c r="AB8" s="322">
        <v>1520</v>
      </c>
      <c r="AC8" s="322">
        <v>1736</v>
      </c>
      <c r="AD8" s="322">
        <v>1967</v>
      </c>
      <c r="AE8" s="322">
        <v>2222</v>
      </c>
      <c r="AF8" s="322">
        <v>2288</v>
      </c>
      <c r="AG8" s="322">
        <v>2318</v>
      </c>
      <c r="AH8" s="322">
        <v>1073</v>
      </c>
      <c r="AI8" s="322">
        <v>1095</v>
      </c>
      <c r="AJ8" s="322">
        <v>1664</v>
      </c>
      <c r="AK8" s="322">
        <v>1274</v>
      </c>
      <c r="AL8" s="322">
        <v>737</v>
      </c>
      <c r="AM8" s="322">
        <v>1654</v>
      </c>
      <c r="AN8" s="322">
        <v>1943</v>
      </c>
      <c r="AO8" s="322">
        <v>1999</v>
      </c>
      <c r="AP8" s="322">
        <v>1967</v>
      </c>
      <c r="AQ8" s="322">
        <v>1947</v>
      </c>
      <c r="AR8" s="322">
        <v>1972</v>
      </c>
      <c r="AS8" s="322">
        <v>1938</v>
      </c>
      <c r="AT8" s="322">
        <v>1106</v>
      </c>
      <c r="AU8" s="322">
        <v>881</v>
      </c>
      <c r="AV8" s="322">
        <v>342</v>
      </c>
      <c r="AW8" s="319">
        <f>AV8-CF!AW26-CF!AW25</f>
        <v>311.3032454361055</v>
      </c>
      <c r="AX8" s="319">
        <f>AW8-CF!AX26-CF!AX25</f>
        <v>132.44041582150101</v>
      </c>
      <c r="AY8" s="319">
        <f>AX8-CF!AY26-CF!AY25</f>
        <v>104.83868359107063</v>
      </c>
      <c r="AZ8" s="319">
        <f>AY8-CF!AZ26-CF!AZ25</f>
        <v>57.149577519423019</v>
      </c>
      <c r="BA8" s="319">
        <f>AZ8-CF!BA26-CF!BA25</f>
        <v>52.020026190347018</v>
      </c>
      <c r="BB8" s="319">
        <f>BA8-CF!BB26-CF!BB25</f>
        <v>22.131326931858162</v>
      </c>
      <c r="BC8" s="319">
        <f>BB8-CF!BC26-CF!BC25</f>
        <v>17.518966300941969</v>
      </c>
      <c r="BD8" s="319">
        <f>BC8-CF!BD26-CF!BD25</f>
        <v>9.5499245925395915</v>
      </c>
      <c r="BE8" s="319">
        <f>BD8-CF!BE26-CF!BE25</f>
        <v>8.6927559044668179</v>
      </c>
      <c r="BF8" s="319">
        <f>BE8-CF!BF26-CF!BF25</f>
        <v>3.6982338716371999</v>
      </c>
      <c r="BG8" s="319">
        <f>BF8-CF!BG26-CF!BG25</f>
        <v>2.927489832385505</v>
      </c>
      <c r="BH8" s="319">
        <f>BG8-CF!BH26-CF!BH25</f>
        <v>1.5958308649297828</v>
      </c>
      <c r="BI8" s="319">
        <f>BH8-CF!BI26-CF!BI25</f>
        <v>1.4525945246191481</v>
      </c>
      <c r="BJ8" s="319">
        <f>BI8-CF!BJ26-CF!BJ25</f>
        <v>0.61798977582481296</v>
      </c>
      <c r="BK8" s="319">
        <f>BJ8-CF!BK26-CF!BK25</f>
        <v>0.4891953424363687</v>
      </c>
      <c r="BL8" s="319">
        <f>BK8-CF!BL26-CF!BL25</f>
        <v>0.26666976527249275</v>
      </c>
      <c r="BM8" s="319">
        <f>BL8-CF!BM26-CF!BM25</f>
        <v>0.24273439587430248</v>
      </c>
      <c r="BN8" s="319">
        <f>BM8-CF!BN26-CF!BN25</f>
        <v>0.10326858070090941</v>
      </c>
      <c r="BO8" s="319"/>
      <c r="BP8" s="320">
        <v>432</v>
      </c>
      <c r="BQ8" s="320">
        <f t="shared" si="0"/>
        <v>497</v>
      </c>
      <c r="BR8" s="320">
        <f t="shared" si="1"/>
        <v>437</v>
      </c>
      <c r="BS8" s="320">
        <f t="shared" si="2"/>
        <v>388</v>
      </c>
      <c r="BT8" s="320">
        <f t="shared" si="3"/>
        <v>583</v>
      </c>
      <c r="BU8" s="320">
        <f t="shared" si="4"/>
        <v>953</v>
      </c>
      <c r="BV8" s="320">
        <f t="shared" si="5"/>
        <v>1341</v>
      </c>
      <c r="BW8" s="320">
        <f t="shared" si="6"/>
        <v>1967</v>
      </c>
      <c r="BX8" s="320">
        <f t="shared" si="7"/>
        <v>1073</v>
      </c>
      <c r="BY8" s="320">
        <f t="shared" si="8"/>
        <v>737</v>
      </c>
      <c r="BZ8" s="320">
        <f t="shared" si="9"/>
        <v>1967</v>
      </c>
      <c r="CA8" s="320">
        <f t="shared" si="10"/>
        <v>1106</v>
      </c>
      <c r="CB8" s="320">
        <f t="shared" si="11"/>
        <v>132.44041582150101</v>
      </c>
      <c r="CC8" s="320">
        <f t="shared" si="12"/>
        <v>22.131326931858162</v>
      </c>
      <c r="CD8" s="320">
        <f t="shared" si="13"/>
        <v>3.6982338716371999</v>
      </c>
      <c r="CE8" s="320">
        <f t="shared" si="14"/>
        <v>0.61798977582481296</v>
      </c>
      <c r="CF8" s="320">
        <f t="shared" si="15"/>
        <v>0.10326858070090941</v>
      </c>
    </row>
    <row r="9" spans="1:84" s="321" customFormat="1" ht="13" customHeight="1">
      <c r="A9" s="318" t="s">
        <v>130</v>
      </c>
      <c r="B9" s="322">
        <v>291</v>
      </c>
      <c r="C9" s="322">
        <v>193</v>
      </c>
      <c r="D9" s="322">
        <v>106</v>
      </c>
      <c r="E9" s="322">
        <v>107</v>
      </c>
      <c r="F9" s="322">
        <v>161</v>
      </c>
      <c r="G9" s="322">
        <v>172</v>
      </c>
      <c r="H9" s="322">
        <v>214</v>
      </c>
      <c r="I9" s="322">
        <v>143</v>
      </c>
      <c r="J9" s="322">
        <v>119</v>
      </c>
      <c r="K9" s="322">
        <v>76</v>
      </c>
      <c r="L9" s="322">
        <v>93</v>
      </c>
      <c r="M9" s="322">
        <v>59</v>
      </c>
      <c r="N9" s="322">
        <v>0</v>
      </c>
      <c r="O9" s="322">
        <v>0</v>
      </c>
      <c r="P9" s="322">
        <v>0</v>
      </c>
      <c r="Q9" s="322">
        <v>0</v>
      </c>
      <c r="R9" s="322">
        <v>0</v>
      </c>
      <c r="S9" s="322">
        <v>0</v>
      </c>
      <c r="T9" s="322">
        <v>0</v>
      </c>
      <c r="U9" s="322">
        <v>0</v>
      </c>
      <c r="V9" s="322">
        <v>0</v>
      </c>
      <c r="W9" s="322">
        <v>0</v>
      </c>
      <c r="X9" s="322">
        <v>0</v>
      </c>
      <c r="Y9" s="322">
        <v>0</v>
      </c>
      <c r="Z9" s="322">
        <v>0</v>
      </c>
      <c r="AA9" s="322">
        <v>0</v>
      </c>
      <c r="AB9" s="322">
        <v>0</v>
      </c>
      <c r="AC9" s="322">
        <v>0</v>
      </c>
      <c r="AD9" s="322">
        <v>0</v>
      </c>
      <c r="AE9" s="322">
        <v>0</v>
      </c>
      <c r="AF9" s="322">
        <v>0</v>
      </c>
      <c r="AG9" s="322">
        <v>0</v>
      </c>
      <c r="AH9" s="322">
        <v>0</v>
      </c>
      <c r="AI9" s="322">
        <v>0</v>
      </c>
      <c r="AJ9" s="322">
        <v>0</v>
      </c>
      <c r="AK9" s="322">
        <v>0</v>
      </c>
      <c r="AL9" s="322">
        <v>0</v>
      </c>
      <c r="AM9" s="322">
        <v>0</v>
      </c>
      <c r="AN9" s="322">
        <v>0</v>
      </c>
      <c r="AO9" s="322">
        <v>0</v>
      </c>
      <c r="AP9" s="322">
        <v>0</v>
      </c>
      <c r="AQ9" s="322">
        <v>0</v>
      </c>
      <c r="AR9" s="322">
        <v>0</v>
      </c>
      <c r="AS9" s="322">
        <v>0</v>
      </c>
      <c r="AT9" s="322">
        <v>0</v>
      </c>
      <c r="AU9" s="322">
        <v>0</v>
      </c>
      <c r="AV9" s="322">
        <v>0</v>
      </c>
      <c r="AW9" s="319">
        <f t="shared" ref="AW9:BB12" si="16">AV9</f>
        <v>0</v>
      </c>
      <c r="AX9" s="319">
        <f t="shared" si="16"/>
        <v>0</v>
      </c>
      <c r="AY9" s="319">
        <f t="shared" si="16"/>
        <v>0</v>
      </c>
      <c r="AZ9" s="319">
        <f t="shared" si="16"/>
        <v>0</v>
      </c>
      <c r="BA9" s="319">
        <f t="shared" si="16"/>
        <v>0</v>
      </c>
      <c r="BB9" s="319">
        <f t="shared" si="16"/>
        <v>0</v>
      </c>
      <c r="BC9" s="319">
        <f t="shared" ref="BC9" si="17">BB9</f>
        <v>0</v>
      </c>
      <c r="BD9" s="319">
        <f t="shared" ref="BD9" si="18">BC9</f>
        <v>0</v>
      </c>
      <c r="BE9" s="319">
        <f t="shared" ref="BE9" si="19">BD9</f>
        <v>0</v>
      </c>
      <c r="BF9" s="319">
        <f t="shared" ref="BF9" si="20">BE9</f>
        <v>0</v>
      </c>
      <c r="BG9" s="319">
        <f t="shared" ref="BG9" si="21">BF9</f>
        <v>0</v>
      </c>
      <c r="BH9" s="319">
        <f t="shared" ref="BH9" si="22">BG9</f>
        <v>0</v>
      </c>
      <c r="BI9" s="319">
        <f t="shared" ref="BI9" si="23">BH9</f>
        <v>0</v>
      </c>
      <c r="BJ9" s="319">
        <f t="shared" ref="BJ9" si="24">BI9</f>
        <v>0</v>
      </c>
      <c r="BK9" s="319">
        <f t="shared" ref="BK9" si="25">BJ9</f>
        <v>0</v>
      </c>
      <c r="BL9" s="319">
        <f t="shared" ref="BL9" si="26">BK9</f>
        <v>0</v>
      </c>
      <c r="BM9" s="319">
        <f t="shared" ref="BM9" si="27">BL9</f>
        <v>0</v>
      </c>
      <c r="BN9" s="319">
        <f t="shared" ref="BN9" si="28">BM9</f>
        <v>0</v>
      </c>
      <c r="BO9" s="319"/>
      <c r="BP9" s="320">
        <v>291</v>
      </c>
      <c r="BQ9" s="320">
        <f t="shared" si="0"/>
        <v>161</v>
      </c>
      <c r="BR9" s="320">
        <f t="shared" si="1"/>
        <v>119</v>
      </c>
      <c r="BS9" s="320">
        <f t="shared" si="2"/>
        <v>0</v>
      </c>
      <c r="BT9" s="320">
        <f t="shared" si="3"/>
        <v>0</v>
      </c>
      <c r="BU9" s="320">
        <f t="shared" si="4"/>
        <v>0</v>
      </c>
      <c r="BV9" s="320">
        <f t="shared" si="5"/>
        <v>0</v>
      </c>
      <c r="BW9" s="320">
        <f t="shared" si="6"/>
        <v>0</v>
      </c>
      <c r="BX9" s="320">
        <f t="shared" si="7"/>
        <v>0</v>
      </c>
      <c r="BY9" s="320">
        <f t="shared" si="8"/>
        <v>0</v>
      </c>
      <c r="BZ9" s="320">
        <f t="shared" si="9"/>
        <v>0</v>
      </c>
      <c r="CA9" s="320">
        <f t="shared" si="10"/>
        <v>0</v>
      </c>
      <c r="CB9" s="320">
        <f t="shared" si="11"/>
        <v>0</v>
      </c>
      <c r="CC9" s="320">
        <f t="shared" si="12"/>
        <v>0</v>
      </c>
      <c r="CD9" s="320">
        <f t="shared" si="13"/>
        <v>0</v>
      </c>
      <c r="CE9" s="320">
        <f t="shared" si="14"/>
        <v>0</v>
      </c>
      <c r="CF9" s="320">
        <f t="shared" si="15"/>
        <v>0</v>
      </c>
    </row>
    <row r="10" spans="1:84" s="321" customFormat="1" ht="13" customHeight="1">
      <c r="A10" s="318" t="s">
        <v>23</v>
      </c>
      <c r="B10" s="322">
        <v>206</v>
      </c>
      <c r="C10" s="322">
        <v>103</v>
      </c>
      <c r="D10" s="322">
        <v>444</v>
      </c>
      <c r="E10" s="322">
        <v>390</v>
      </c>
      <c r="F10" s="322">
        <v>335</v>
      </c>
      <c r="G10" s="322">
        <v>30</v>
      </c>
      <c r="H10" s="322">
        <v>562</v>
      </c>
      <c r="I10" s="322">
        <v>526</v>
      </c>
      <c r="J10" s="322">
        <v>366</v>
      </c>
      <c r="K10" s="322">
        <v>111</v>
      </c>
      <c r="L10" s="322">
        <v>643</v>
      </c>
      <c r="M10" s="322">
        <v>382</v>
      </c>
      <c r="N10" s="322">
        <v>312</v>
      </c>
      <c r="O10" s="322">
        <v>120</v>
      </c>
      <c r="P10" s="322">
        <v>594</v>
      </c>
      <c r="Q10" s="322">
        <v>526</v>
      </c>
      <c r="R10" s="322">
        <v>327</v>
      </c>
      <c r="S10" s="322">
        <v>219</v>
      </c>
      <c r="T10" s="322">
        <v>829</v>
      </c>
      <c r="U10" s="322">
        <v>488</v>
      </c>
      <c r="V10" s="322">
        <v>362</v>
      </c>
      <c r="W10" s="322">
        <v>144</v>
      </c>
      <c r="X10" s="322">
        <v>737</v>
      </c>
      <c r="Y10" s="322">
        <v>621</v>
      </c>
      <c r="Z10" s="322">
        <v>233</v>
      </c>
      <c r="AA10" s="322">
        <v>246</v>
      </c>
      <c r="AB10" s="322">
        <v>723</v>
      </c>
      <c r="AC10" s="322">
        <v>587</v>
      </c>
      <c r="AD10" s="322">
        <v>359</v>
      </c>
      <c r="AE10" s="322">
        <v>222</v>
      </c>
      <c r="AF10" s="322">
        <v>812</v>
      </c>
      <c r="AG10" s="322">
        <v>886</v>
      </c>
      <c r="AH10" s="322">
        <v>385</v>
      </c>
      <c r="AI10" s="322">
        <v>371</v>
      </c>
      <c r="AJ10" s="322">
        <v>966</v>
      </c>
      <c r="AK10" s="322">
        <v>806</v>
      </c>
      <c r="AL10" s="322">
        <v>623</v>
      </c>
      <c r="AM10" s="322">
        <v>329</v>
      </c>
      <c r="AN10" s="322">
        <v>856</v>
      </c>
      <c r="AO10" s="322">
        <v>798</v>
      </c>
      <c r="AP10" s="322">
        <v>461</v>
      </c>
      <c r="AQ10" s="322">
        <v>507</v>
      </c>
      <c r="AR10" s="322">
        <v>423</v>
      </c>
      <c r="AS10" s="322">
        <v>778</v>
      </c>
      <c r="AT10" s="322">
        <v>521</v>
      </c>
      <c r="AU10" s="322">
        <v>557</v>
      </c>
      <c r="AV10" s="322">
        <v>1031</v>
      </c>
      <c r="AW10" s="319">
        <f>AV10-CF!AW13</f>
        <v>1161.6375833333332</v>
      </c>
      <c r="AX10" s="319">
        <f>AW10-CF!AX13</f>
        <v>1203.7872750000001</v>
      </c>
      <c r="AY10" s="319">
        <f>AX10-CF!AY13</f>
        <v>744.38373899743328</v>
      </c>
      <c r="AZ10" s="319">
        <f>AY10-CF!AZ13</f>
        <v>1205.6516335680546</v>
      </c>
      <c r="BA10" s="319">
        <f>AZ10-CF!BA13</f>
        <v>1314.9498563769332</v>
      </c>
      <c r="BB10" s="319">
        <f>BA10-CF!BB13</f>
        <v>1221.6661348616046</v>
      </c>
      <c r="BC10" s="319">
        <f>BB10-CF!BC13</f>
        <v>761.29541551534749</v>
      </c>
      <c r="BD10" s="319">
        <f>BC10-CF!BD13</f>
        <v>1243.3456682296705</v>
      </c>
      <c r="BE10" s="319">
        <f>BD10-CF!BE13</f>
        <v>1374.656089158183</v>
      </c>
      <c r="BF10" s="319">
        <f>BE10-CF!BF13</f>
        <v>1344.3158586290024</v>
      </c>
      <c r="BG10" s="319">
        <f>BF10-CF!BG13</f>
        <v>791.77592498352465</v>
      </c>
      <c r="BH10" s="319">
        <f>BG10-CF!BH13</f>
        <v>1421.6524317550718</v>
      </c>
      <c r="BI10" s="319">
        <f>BH10-CF!BI13</f>
        <v>1529.5213592915973</v>
      </c>
      <c r="BJ10" s="319">
        <f>BI10-CF!BJ13</f>
        <v>1468.1327376549866</v>
      </c>
      <c r="BK10" s="319">
        <f>BJ10-CF!BK13</f>
        <v>848.62024799038886</v>
      </c>
      <c r="BL10" s="319">
        <f>BK10-CF!BL13</f>
        <v>1380.7076936059875</v>
      </c>
      <c r="BM10" s="319">
        <f>BL10-CF!BM13</f>
        <v>1564.5316651087051</v>
      </c>
      <c r="BN10" s="319">
        <f>BM10-CF!BN13</f>
        <v>1517.3230760782747</v>
      </c>
      <c r="BO10" s="319"/>
      <c r="BP10" s="320">
        <v>206</v>
      </c>
      <c r="BQ10" s="320">
        <f t="shared" si="0"/>
        <v>335</v>
      </c>
      <c r="BR10" s="320">
        <f t="shared" si="1"/>
        <v>366</v>
      </c>
      <c r="BS10" s="320">
        <f t="shared" si="2"/>
        <v>312</v>
      </c>
      <c r="BT10" s="320">
        <f t="shared" si="3"/>
        <v>327</v>
      </c>
      <c r="BU10" s="320">
        <f t="shared" si="4"/>
        <v>362</v>
      </c>
      <c r="BV10" s="320">
        <f t="shared" si="5"/>
        <v>233</v>
      </c>
      <c r="BW10" s="320">
        <f t="shared" si="6"/>
        <v>359</v>
      </c>
      <c r="BX10" s="320">
        <f t="shared" si="7"/>
        <v>385</v>
      </c>
      <c r="BY10" s="320">
        <f t="shared" si="8"/>
        <v>623</v>
      </c>
      <c r="BZ10" s="320">
        <f t="shared" si="9"/>
        <v>461</v>
      </c>
      <c r="CA10" s="320">
        <f t="shared" si="10"/>
        <v>521</v>
      </c>
      <c r="CB10" s="320">
        <f t="shared" si="11"/>
        <v>1203.7872750000001</v>
      </c>
      <c r="CC10" s="320">
        <f t="shared" si="12"/>
        <v>1221.6661348616046</v>
      </c>
      <c r="CD10" s="320">
        <f t="shared" si="13"/>
        <v>1344.3158586290024</v>
      </c>
      <c r="CE10" s="320">
        <f t="shared" si="14"/>
        <v>1468.1327376549866</v>
      </c>
      <c r="CF10" s="320">
        <f t="shared" si="15"/>
        <v>1517.3230760782747</v>
      </c>
    </row>
    <row r="11" spans="1:84" s="321" customFormat="1" ht="13" customHeight="1">
      <c r="A11" s="318" t="s">
        <v>92</v>
      </c>
      <c r="B11" s="322">
        <v>100</v>
      </c>
      <c r="C11" s="322">
        <v>82</v>
      </c>
      <c r="D11" s="322">
        <v>155</v>
      </c>
      <c r="E11" s="322">
        <v>105</v>
      </c>
      <c r="F11" s="322">
        <v>77</v>
      </c>
      <c r="G11" s="322">
        <v>75</v>
      </c>
      <c r="H11" s="322">
        <v>90</v>
      </c>
      <c r="I11" s="322">
        <v>69</v>
      </c>
      <c r="J11" s="322">
        <v>59</v>
      </c>
      <c r="K11" s="322">
        <v>60</v>
      </c>
      <c r="L11" s="322">
        <v>71</v>
      </c>
      <c r="M11" s="322">
        <v>59</v>
      </c>
      <c r="N11" s="322">
        <v>42</v>
      </c>
      <c r="O11" s="322">
        <v>41</v>
      </c>
      <c r="P11" s="322">
        <v>58</v>
      </c>
      <c r="Q11" s="322">
        <v>55</v>
      </c>
      <c r="R11" s="322">
        <v>56</v>
      </c>
      <c r="S11" s="322">
        <v>37</v>
      </c>
      <c r="T11" s="322">
        <v>67</v>
      </c>
      <c r="U11" s="322">
        <v>39</v>
      </c>
      <c r="V11" s="322">
        <v>36</v>
      </c>
      <c r="W11" s="322">
        <v>34</v>
      </c>
      <c r="X11" s="322">
        <v>62</v>
      </c>
      <c r="Y11" s="322">
        <v>42</v>
      </c>
      <c r="Z11" s="322">
        <v>33</v>
      </c>
      <c r="AA11" s="322">
        <v>26</v>
      </c>
      <c r="AB11" s="322">
        <v>50</v>
      </c>
      <c r="AC11" s="322">
        <v>35</v>
      </c>
      <c r="AD11" s="322">
        <v>0</v>
      </c>
      <c r="AE11" s="322">
        <v>0</v>
      </c>
      <c r="AF11" s="322">
        <v>0</v>
      </c>
      <c r="AG11" s="322">
        <v>0</v>
      </c>
      <c r="AH11" s="322">
        <v>0</v>
      </c>
      <c r="AI11" s="322">
        <v>0</v>
      </c>
      <c r="AJ11" s="322">
        <v>0</v>
      </c>
      <c r="AK11" s="322">
        <v>0</v>
      </c>
      <c r="AL11" s="322">
        <v>0</v>
      </c>
      <c r="AM11" s="322">
        <v>0</v>
      </c>
      <c r="AN11" s="322">
        <v>0</v>
      </c>
      <c r="AO11" s="322">
        <v>0</v>
      </c>
      <c r="AP11" s="322">
        <v>0</v>
      </c>
      <c r="AQ11" s="322">
        <v>0</v>
      </c>
      <c r="AR11" s="322">
        <v>0</v>
      </c>
      <c r="AS11" s="322">
        <v>0</v>
      </c>
      <c r="AT11" s="322">
        <v>0</v>
      </c>
      <c r="AU11" s="322">
        <v>0</v>
      </c>
      <c r="AV11" s="322">
        <v>0</v>
      </c>
      <c r="AW11" s="319">
        <f t="shared" si="16"/>
        <v>0</v>
      </c>
      <c r="AX11" s="319">
        <f t="shared" si="16"/>
        <v>0</v>
      </c>
      <c r="AY11" s="319">
        <f t="shared" si="16"/>
        <v>0</v>
      </c>
      <c r="AZ11" s="319">
        <f t="shared" si="16"/>
        <v>0</v>
      </c>
      <c r="BA11" s="319">
        <f t="shared" si="16"/>
        <v>0</v>
      </c>
      <c r="BB11" s="319">
        <f t="shared" si="16"/>
        <v>0</v>
      </c>
      <c r="BC11" s="319">
        <f t="shared" ref="BC11:BC12" si="29">BB11</f>
        <v>0</v>
      </c>
      <c r="BD11" s="319">
        <f t="shared" ref="BD11:BD12" si="30">BC11</f>
        <v>0</v>
      </c>
      <c r="BE11" s="319">
        <f t="shared" ref="BE11:BE12" si="31">BD11</f>
        <v>0</v>
      </c>
      <c r="BF11" s="319">
        <f t="shared" ref="BF11:BF12" si="32">BE11</f>
        <v>0</v>
      </c>
      <c r="BG11" s="319">
        <f t="shared" ref="BG11:BG12" si="33">BF11</f>
        <v>0</v>
      </c>
      <c r="BH11" s="319">
        <f t="shared" ref="BH11:BH12" si="34">BG11</f>
        <v>0</v>
      </c>
      <c r="BI11" s="319">
        <f t="shared" ref="BI11:BI12" si="35">BH11</f>
        <v>0</v>
      </c>
      <c r="BJ11" s="319">
        <f t="shared" ref="BJ11:BJ12" si="36">BI11</f>
        <v>0</v>
      </c>
      <c r="BK11" s="319">
        <f t="shared" ref="BK11:BK12" si="37">BJ11</f>
        <v>0</v>
      </c>
      <c r="BL11" s="319">
        <f t="shared" ref="BL11:BL12" si="38">BK11</f>
        <v>0</v>
      </c>
      <c r="BM11" s="319">
        <f t="shared" ref="BM11:BM12" si="39">BL11</f>
        <v>0</v>
      </c>
      <c r="BN11" s="319">
        <f t="shared" ref="BN11:BN12" si="40">BM11</f>
        <v>0</v>
      </c>
      <c r="BO11" s="319"/>
      <c r="BP11" s="320">
        <v>100</v>
      </c>
      <c r="BQ11" s="320">
        <f t="shared" si="0"/>
        <v>77</v>
      </c>
      <c r="BR11" s="320">
        <f t="shared" si="1"/>
        <v>59</v>
      </c>
      <c r="BS11" s="320">
        <f t="shared" si="2"/>
        <v>42</v>
      </c>
      <c r="BT11" s="320">
        <f t="shared" si="3"/>
        <v>56</v>
      </c>
      <c r="BU11" s="320">
        <f t="shared" si="4"/>
        <v>36</v>
      </c>
      <c r="BV11" s="320">
        <f t="shared" si="5"/>
        <v>33</v>
      </c>
      <c r="BW11" s="320">
        <f t="shared" si="6"/>
        <v>0</v>
      </c>
      <c r="BX11" s="320">
        <f t="shared" si="7"/>
        <v>0</v>
      </c>
      <c r="BY11" s="320">
        <f t="shared" si="8"/>
        <v>0</v>
      </c>
      <c r="BZ11" s="320">
        <f t="shared" si="9"/>
        <v>0</v>
      </c>
      <c r="CA11" s="320">
        <f t="shared" si="10"/>
        <v>0</v>
      </c>
      <c r="CB11" s="320">
        <f t="shared" si="11"/>
        <v>0</v>
      </c>
      <c r="CC11" s="320">
        <f t="shared" si="12"/>
        <v>0</v>
      </c>
      <c r="CD11" s="320">
        <f t="shared" si="13"/>
        <v>0</v>
      </c>
      <c r="CE11" s="320">
        <f t="shared" si="14"/>
        <v>0</v>
      </c>
      <c r="CF11" s="320">
        <f t="shared" si="15"/>
        <v>0</v>
      </c>
    </row>
    <row r="12" spans="1:84" s="321" customFormat="1" ht="13" customHeight="1">
      <c r="A12" s="318" t="s">
        <v>93</v>
      </c>
      <c r="B12" s="322">
        <v>44</v>
      </c>
      <c r="C12" s="322">
        <v>43</v>
      </c>
      <c r="D12" s="322">
        <v>22</v>
      </c>
      <c r="E12" s="322">
        <v>22</v>
      </c>
      <c r="F12" s="322">
        <v>56</v>
      </c>
      <c r="G12" s="322">
        <v>58</v>
      </c>
      <c r="H12" s="322">
        <v>97</v>
      </c>
      <c r="I12" s="322">
        <v>92</v>
      </c>
      <c r="J12" s="322">
        <v>67</v>
      </c>
      <c r="K12" s="322">
        <v>68</v>
      </c>
      <c r="L12" s="322">
        <v>64</v>
      </c>
      <c r="M12" s="322">
        <v>67</v>
      </c>
      <c r="N12" s="322">
        <v>52</v>
      </c>
      <c r="O12" s="322">
        <v>51</v>
      </c>
      <c r="P12" s="322">
        <v>51</v>
      </c>
      <c r="Q12" s="322">
        <v>51</v>
      </c>
      <c r="R12" s="322">
        <v>74</v>
      </c>
      <c r="S12" s="322">
        <v>58</v>
      </c>
      <c r="T12" s="322">
        <v>58</v>
      </c>
      <c r="U12" s="322">
        <v>57</v>
      </c>
      <c r="V12" s="322">
        <v>54</v>
      </c>
      <c r="W12" s="322">
        <v>53</v>
      </c>
      <c r="X12" s="322">
        <v>46</v>
      </c>
      <c r="Y12" s="322">
        <v>46</v>
      </c>
      <c r="Z12" s="322">
        <v>0</v>
      </c>
      <c r="AA12" s="322">
        <v>0</v>
      </c>
      <c r="AB12" s="322">
        <v>0</v>
      </c>
      <c r="AC12" s="322">
        <v>0</v>
      </c>
      <c r="AD12" s="322">
        <v>0</v>
      </c>
      <c r="AE12" s="322">
        <v>0</v>
      </c>
      <c r="AF12" s="322">
        <v>0</v>
      </c>
      <c r="AG12" s="322">
        <v>0</v>
      </c>
      <c r="AH12" s="322">
        <v>0</v>
      </c>
      <c r="AI12" s="322">
        <v>0</v>
      </c>
      <c r="AJ12" s="322">
        <v>0</v>
      </c>
      <c r="AK12" s="322">
        <v>0</v>
      </c>
      <c r="AL12" s="322">
        <v>0</v>
      </c>
      <c r="AM12" s="322">
        <v>0</v>
      </c>
      <c r="AN12" s="322">
        <v>0</v>
      </c>
      <c r="AO12" s="322">
        <v>0</v>
      </c>
      <c r="AP12" s="322">
        <v>0</v>
      </c>
      <c r="AQ12" s="322">
        <v>0</v>
      </c>
      <c r="AR12" s="322">
        <v>0</v>
      </c>
      <c r="AS12" s="322">
        <v>0</v>
      </c>
      <c r="AT12" s="322">
        <v>0</v>
      </c>
      <c r="AU12" s="322">
        <v>0</v>
      </c>
      <c r="AV12" s="322">
        <v>0</v>
      </c>
      <c r="AW12" s="319">
        <f t="shared" si="16"/>
        <v>0</v>
      </c>
      <c r="AX12" s="319">
        <f t="shared" si="16"/>
        <v>0</v>
      </c>
      <c r="AY12" s="319">
        <f t="shared" si="16"/>
        <v>0</v>
      </c>
      <c r="AZ12" s="319">
        <f t="shared" si="16"/>
        <v>0</v>
      </c>
      <c r="BA12" s="319">
        <f t="shared" si="16"/>
        <v>0</v>
      </c>
      <c r="BB12" s="319">
        <f t="shared" si="16"/>
        <v>0</v>
      </c>
      <c r="BC12" s="319">
        <f t="shared" si="29"/>
        <v>0</v>
      </c>
      <c r="BD12" s="319">
        <f t="shared" si="30"/>
        <v>0</v>
      </c>
      <c r="BE12" s="319">
        <f t="shared" si="31"/>
        <v>0</v>
      </c>
      <c r="BF12" s="319">
        <f t="shared" si="32"/>
        <v>0</v>
      </c>
      <c r="BG12" s="319">
        <f t="shared" si="33"/>
        <v>0</v>
      </c>
      <c r="BH12" s="319">
        <f t="shared" si="34"/>
        <v>0</v>
      </c>
      <c r="BI12" s="319">
        <f t="shared" si="35"/>
        <v>0</v>
      </c>
      <c r="BJ12" s="319">
        <f t="shared" si="36"/>
        <v>0</v>
      </c>
      <c r="BK12" s="319">
        <f t="shared" si="37"/>
        <v>0</v>
      </c>
      <c r="BL12" s="319">
        <f t="shared" si="38"/>
        <v>0</v>
      </c>
      <c r="BM12" s="319">
        <f t="shared" si="39"/>
        <v>0</v>
      </c>
      <c r="BN12" s="319">
        <f t="shared" si="40"/>
        <v>0</v>
      </c>
      <c r="BO12" s="319"/>
      <c r="BP12" s="320">
        <v>44</v>
      </c>
      <c r="BQ12" s="320">
        <f t="shared" si="0"/>
        <v>56</v>
      </c>
      <c r="BR12" s="320">
        <f t="shared" si="1"/>
        <v>67</v>
      </c>
      <c r="BS12" s="320">
        <f t="shared" si="2"/>
        <v>52</v>
      </c>
      <c r="BT12" s="320">
        <f t="shared" si="3"/>
        <v>74</v>
      </c>
      <c r="BU12" s="320">
        <f t="shared" si="4"/>
        <v>54</v>
      </c>
      <c r="BV12" s="320">
        <f t="shared" si="5"/>
        <v>0</v>
      </c>
      <c r="BW12" s="320">
        <f t="shared" si="6"/>
        <v>0</v>
      </c>
      <c r="BX12" s="320">
        <f t="shared" si="7"/>
        <v>0</v>
      </c>
      <c r="BY12" s="320">
        <f t="shared" si="8"/>
        <v>0</v>
      </c>
      <c r="BZ12" s="320">
        <f t="shared" si="9"/>
        <v>0</v>
      </c>
      <c r="CA12" s="320">
        <f t="shared" si="10"/>
        <v>0</v>
      </c>
      <c r="CB12" s="320">
        <f t="shared" si="11"/>
        <v>0</v>
      </c>
      <c r="CC12" s="320">
        <f t="shared" si="12"/>
        <v>0</v>
      </c>
      <c r="CD12" s="320">
        <f t="shared" si="13"/>
        <v>0</v>
      </c>
      <c r="CE12" s="320">
        <f t="shared" si="14"/>
        <v>0</v>
      </c>
      <c r="CF12" s="320">
        <f t="shared" si="15"/>
        <v>0</v>
      </c>
    </row>
    <row r="13" spans="1:84" s="321" customFormat="1" ht="13" customHeight="1">
      <c r="A13" s="318" t="s">
        <v>75</v>
      </c>
      <c r="B13" s="322">
        <v>239</v>
      </c>
      <c r="C13" s="322">
        <v>270</v>
      </c>
      <c r="D13" s="322">
        <v>207</v>
      </c>
      <c r="E13" s="322">
        <v>226</v>
      </c>
      <c r="F13" s="322">
        <v>327</v>
      </c>
      <c r="G13" s="322">
        <v>343</v>
      </c>
      <c r="H13" s="322">
        <v>320</v>
      </c>
      <c r="I13" s="322">
        <v>328</v>
      </c>
      <c r="J13" s="322">
        <v>268</v>
      </c>
      <c r="K13" s="322">
        <v>273</v>
      </c>
      <c r="L13" s="322">
        <v>239</v>
      </c>
      <c r="M13" s="322">
        <v>229</v>
      </c>
      <c r="N13" s="322">
        <v>239</v>
      </c>
      <c r="O13" s="322">
        <v>261</v>
      </c>
      <c r="P13" s="322">
        <v>219</v>
      </c>
      <c r="Q13" s="322">
        <v>219</v>
      </c>
      <c r="R13" s="322">
        <v>316</v>
      </c>
      <c r="S13" s="322">
        <v>300</v>
      </c>
      <c r="T13" s="322">
        <v>190</v>
      </c>
      <c r="U13" s="322">
        <v>230</v>
      </c>
      <c r="V13" s="322">
        <v>247</v>
      </c>
      <c r="W13" s="322">
        <v>216</v>
      </c>
      <c r="X13" s="322">
        <v>213</v>
      </c>
      <c r="Y13" s="322">
        <v>214</v>
      </c>
      <c r="Z13" s="322">
        <v>254</v>
      </c>
      <c r="AA13" s="322">
        <v>273</v>
      </c>
      <c r="AB13" s="322">
        <v>221</v>
      </c>
      <c r="AC13" s="322">
        <v>260</v>
      </c>
      <c r="AD13" s="322">
        <v>308</v>
      </c>
      <c r="AE13" s="322">
        <v>210</v>
      </c>
      <c r="AF13" s="322">
        <v>248</v>
      </c>
      <c r="AG13" s="322">
        <v>196</v>
      </c>
      <c r="AH13" s="322">
        <v>288</v>
      </c>
      <c r="AI13" s="322">
        <v>282</v>
      </c>
      <c r="AJ13" s="322">
        <v>292</v>
      </c>
      <c r="AK13" s="322">
        <v>280</v>
      </c>
      <c r="AL13" s="322">
        <v>313</v>
      </c>
      <c r="AM13" s="322">
        <v>284</v>
      </c>
      <c r="AN13" s="322">
        <v>301</v>
      </c>
      <c r="AO13" s="322">
        <v>229</v>
      </c>
      <c r="AP13" s="322">
        <v>321</v>
      </c>
      <c r="AQ13" s="322">
        <v>223</v>
      </c>
      <c r="AR13" s="322">
        <v>376</v>
      </c>
      <c r="AS13" s="322">
        <v>233</v>
      </c>
      <c r="AT13" s="322">
        <v>326</v>
      </c>
      <c r="AU13" s="322">
        <v>401</v>
      </c>
      <c r="AV13" s="322">
        <v>387</v>
      </c>
      <c r="AW13" s="319">
        <f>BS!AW76</f>
        <v>242.67324290197249</v>
      </c>
      <c r="AX13" s="319">
        <f>BS!AX76</f>
        <v>437.33430718796438</v>
      </c>
      <c r="AY13" s="319">
        <f>BS!AY76</f>
        <v>535.90283543621331</v>
      </c>
      <c r="AZ13" s="319">
        <f>BS!AZ76</f>
        <v>452.55788767297491</v>
      </c>
      <c r="BA13" s="319">
        <f>BS!BA76</f>
        <v>274.70112062387216</v>
      </c>
      <c r="BB13" s="319">
        <f>BS!BB76</f>
        <v>379.13776599153249</v>
      </c>
      <c r="BC13" s="319">
        <f>BS!BC76</f>
        <v>548.07802804605808</v>
      </c>
      <c r="BD13" s="319">
        <f>BS!BD76</f>
        <v>466.70686091647178</v>
      </c>
      <c r="BE13" s="319">
        <f>BS!BE76</f>
        <v>287.17412023956064</v>
      </c>
      <c r="BF13" s="319">
        <f>BS!BF76</f>
        <v>376.84919971403184</v>
      </c>
      <c r="BG13" s="319">
        <f>BS!BG76</f>
        <v>570.02180595761831</v>
      </c>
      <c r="BH13" s="319">
        <f>BS!BH76</f>
        <v>533.63675178391145</v>
      </c>
      <c r="BI13" s="319">
        <f>BS!BI76</f>
        <v>319.52642861471202</v>
      </c>
      <c r="BJ13" s="319">
        <f>BS!BJ76</f>
        <v>411.55852153934876</v>
      </c>
      <c r="BK13" s="319">
        <f>BS!BK76</f>
        <v>610.94563634496581</v>
      </c>
      <c r="BL13" s="319">
        <f>BS!BL76</f>
        <v>518.26758237198567</v>
      </c>
      <c r="BM13" s="319">
        <f>BS!BM76</f>
        <v>326.84029704452621</v>
      </c>
      <c r="BN13" s="319">
        <f>BS!BN76</f>
        <v>425.34794427768026</v>
      </c>
      <c r="BO13" s="319"/>
      <c r="BP13" s="320">
        <v>239</v>
      </c>
      <c r="BQ13" s="320">
        <f t="shared" si="0"/>
        <v>327</v>
      </c>
      <c r="BR13" s="320">
        <f t="shared" si="1"/>
        <v>268</v>
      </c>
      <c r="BS13" s="320">
        <f t="shared" si="2"/>
        <v>239</v>
      </c>
      <c r="BT13" s="320">
        <f t="shared" si="3"/>
        <v>316</v>
      </c>
      <c r="BU13" s="320">
        <f t="shared" si="4"/>
        <v>247</v>
      </c>
      <c r="BV13" s="320">
        <f t="shared" si="5"/>
        <v>254</v>
      </c>
      <c r="BW13" s="320">
        <f t="shared" si="6"/>
        <v>308</v>
      </c>
      <c r="BX13" s="320">
        <f t="shared" si="7"/>
        <v>288</v>
      </c>
      <c r="BY13" s="320">
        <f t="shared" si="8"/>
        <v>313</v>
      </c>
      <c r="BZ13" s="320">
        <f t="shared" si="9"/>
        <v>321</v>
      </c>
      <c r="CA13" s="320">
        <f t="shared" si="10"/>
        <v>326</v>
      </c>
      <c r="CB13" s="320">
        <f t="shared" si="11"/>
        <v>437.33430718796438</v>
      </c>
      <c r="CC13" s="320">
        <f t="shared" si="12"/>
        <v>379.13776599153249</v>
      </c>
      <c r="CD13" s="320">
        <f t="shared" si="13"/>
        <v>376.84919971403184</v>
      </c>
      <c r="CE13" s="320">
        <f t="shared" si="14"/>
        <v>411.55852153934876</v>
      </c>
      <c r="CF13" s="320">
        <f t="shared" si="15"/>
        <v>425.34794427768026</v>
      </c>
    </row>
    <row r="14" spans="1:84" s="321" customFormat="1" ht="13" customHeight="1">
      <c r="A14" s="323" t="s">
        <v>10</v>
      </c>
      <c r="B14" s="324">
        <f t="shared" ref="B14:N14" si="41">SUM(B7:B13)</f>
        <v>2585</v>
      </c>
      <c r="C14" s="324">
        <f t="shared" si="41"/>
        <v>2228</v>
      </c>
      <c r="D14" s="324">
        <f t="shared" si="41"/>
        <v>2485</v>
      </c>
      <c r="E14" s="324">
        <f t="shared" si="41"/>
        <v>2714</v>
      </c>
      <c r="F14" s="324">
        <f t="shared" si="41"/>
        <v>3032</v>
      </c>
      <c r="G14" s="324">
        <f t="shared" si="41"/>
        <v>2354</v>
      </c>
      <c r="H14" s="324">
        <f t="shared" si="41"/>
        <v>2568</v>
      </c>
      <c r="I14" s="324">
        <f t="shared" si="41"/>
        <v>2806</v>
      </c>
      <c r="J14" s="324">
        <f t="shared" si="41"/>
        <v>2609</v>
      </c>
      <c r="K14" s="324">
        <f t="shared" si="41"/>
        <v>1951</v>
      </c>
      <c r="L14" s="324">
        <f t="shared" si="41"/>
        <v>2332</v>
      </c>
      <c r="M14" s="324">
        <f t="shared" si="41"/>
        <v>2229</v>
      </c>
      <c r="N14" s="324">
        <f t="shared" si="41"/>
        <v>2325</v>
      </c>
      <c r="O14" s="324">
        <f t="shared" ref="O14:T14" si="42">SUM(O7:O13)</f>
        <v>1884</v>
      </c>
      <c r="P14" s="324">
        <f t="shared" si="42"/>
        <v>2340</v>
      </c>
      <c r="Q14" s="324">
        <f t="shared" si="42"/>
        <v>2921</v>
      </c>
      <c r="R14" s="324">
        <f t="shared" si="42"/>
        <v>3138</v>
      </c>
      <c r="S14" s="324">
        <f t="shared" si="42"/>
        <v>2930</v>
      </c>
      <c r="T14" s="324">
        <f t="shared" si="42"/>
        <v>3532</v>
      </c>
      <c r="U14" s="324">
        <f t="shared" ref="U14:AR14" si="43">SUM(U7:U13)</f>
        <v>3754</v>
      </c>
      <c r="V14" s="324">
        <f t="shared" si="43"/>
        <v>3720</v>
      </c>
      <c r="W14" s="324">
        <f t="shared" si="43"/>
        <v>3326</v>
      </c>
      <c r="X14" s="324">
        <f t="shared" si="43"/>
        <v>3646</v>
      </c>
      <c r="Y14" s="324">
        <f t="shared" si="43"/>
        <v>4152</v>
      </c>
      <c r="Z14" s="324">
        <f t="shared" si="43"/>
        <v>4354</v>
      </c>
      <c r="AA14" s="324">
        <f t="shared" si="43"/>
        <v>3972</v>
      </c>
      <c r="AB14" s="324">
        <f t="shared" si="43"/>
        <v>4260</v>
      </c>
      <c r="AC14" s="324">
        <f t="shared" si="43"/>
        <v>5101</v>
      </c>
      <c r="AD14" s="324">
        <f t="shared" si="43"/>
        <v>5199</v>
      </c>
      <c r="AE14" s="324">
        <f t="shared" si="43"/>
        <v>4902</v>
      </c>
      <c r="AF14" s="324">
        <f t="shared" si="43"/>
        <v>5415</v>
      </c>
      <c r="AG14" s="324">
        <f t="shared" si="43"/>
        <v>5966</v>
      </c>
      <c r="AH14" s="324">
        <f t="shared" si="43"/>
        <v>6004</v>
      </c>
      <c r="AI14" s="324">
        <f t="shared" si="43"/>
        <v>5624</v>
      </c>
      <c r="AJ14" s="324">
        <f t="shared" si="43"/>
        <v>5803</v>
      </c>
      <c r="AK14" s="324">
        <f t="shared" si="43"/>
        <v>6247</v>
      </c>
      <c r="AL14" s="324">
        <f t="shared" si="43"/>
        <v>6381</v>
      </c>
      <c r="AM14" s="324">
        <f t="shared" si="43"/>
        <v>5800</v>
      </c>
      <c r="AN14" s="324">
        <f t="shared" si="43"/>
        <v>6040</v>
      </c>
      <c r="AO14" s="324">
        <f t="shared" si="43"/>
        <v>6629</v>
      </c>
      <c r="AP14" s="324">
        <f t="shared" si="43"/>
        <v>6517</v>
      </c>
      <c r="AQ14" s="324">
        <f t="shared" si="43"/>
        <v>6690</v>
      </c>
      <c r="AR14" s="324">
        <f t="shared" si="43"/>
        <v>6830</v>
      </c>
      <c r="AS14" s="324">
        <f t="shared" ref="AS14:BB14" si="44">SUM(AS7:AS13)</f>
        <v>7721</v>
      </c>
      <c r="AT14" s="324">
        <f t="shared" si="44"/>
        <v>7213</v>
      </c>
      <c r="AU14" s="324">
        <f t="shared" si="44"/>
        <v>4677</v>
      </c>
      <c r="AV14" s="324">
        <f t="shared" si="44"/>
        <v>3390</v>
      </c>
      <c r="AW14" s="324">
        <f t="shared" si="44"/>
        <v>4465.7925654460851</v>
      </c>
      <c r="AX14" s="324">
        <f t="shared" si="44"/>
        <v>4650.9798876020795</v>
      </c>
      <c r="AY14" s="324">
        <f t="shared" si="44"/>
        <v>4002.9120927591166</v>
      </c>
      <c r="AZ14" s="324">
        <f t="shared" si="44"/>
        <v>3945.4904144782759</v>
      </c>
      <c r="BA14" s="324">
        <f t="shared" si="44"/>
        <v>5073.306008800897</v>
      </c>
      <c r="BB14" s="324">
        <f t="shared" si="44"/>
        <v>5576.5151983486812</v>
      </c>
      <c r="BC14" s="324">
        <f t="shared" ref="BC14:BN14" si="45">SUM(BC7:BC13)</f>
        <v>5292.7439377397386</v>
      </c>
      <c r="BD14" s="324">
        <f t="shared" si="45"/>
        <v>5670.38936909735</v>
      </c>
      <c r="BE14" s="324">
        <f t="shared" si="45"/>
        <v>7306.713528279035</v>
      </c>
      <c r="BF14" s="324">
        <f t="shared" si="45"/>
        <v>7863.6493936415154</v>
      </c>
      <c r="BG14" s="324">
        <f t="shared" si="45"/>
        <v>7586.5917543144187</v>
      </c>
      <c r="BH14" s="324">
        <f t="shared" si="45"/>
        <v>8235.2481188913443</v>
      </c>
      <c r="BI14" s="324">
        <f t="shared" si="45"/>
        <v>9955.1997484934363</v>
      </c>
      <c r="BJ14" s="324">
        <f t="shared" si="45"/>
        <v>10532.625647985058</v>
      </c>
      <c r="BK14" s="324">
        <f t="shared" si="45"/>
        <v>10218.50597505479</v>
      </c>
      <c r="BL14" s="324">
        <f t="shared" si="45"/>
        <v>10658.698993864267</v>
      </c>
      <c r="BM14" s="324">
        <f t="shared" si="45"/>
        <v>12516.955472397121</v>
      </c>
      <c r="BN14" s="324">
        <f t="shared" si="45"/>
        <v>13164.720785222418</v>
      </c>
      <c r="BO14" s="324"/>
      <c r="BP14" s="325">
        <v>2585</v>
      </c>
      <c r="BQ14" s="325">
        <f t="shared" si="0"/>
        <v>3032</v>
      </c>
      <c r="BR14" s="325">
        <f t="shared" si="1"/>
        <v>2609</v>
      </c>
      <c r="BS14" s="325">
        <f t="shared" si="2"/>
        <v>2325</v>
      </c>
      <c r="BT14" s="325">
        <f t="shared" si="3"/>
        <v>3138</v>
      </c>
      <c r="BU14" s="325">
        <f t="shared" si="4"/>
        <v>3720</v>
      </c>
      <c r="BV14" s="325">
        <f t="shared" si="5"/>
        <v>4354</v>
      </c>
      <c r="BW14" s="325">
        <f t="shared" si="6"/>
        <v>5199</v>
      </c>
      <c r="BX14" s="325">
        <f t="shared" si="7"/>
        <v>6004</v>
      </c>
      <c r="BY14" s="325">
        <f t="shared" si="8"/>
        <v>6381</v>
      </c>
      <c r="BZ14" s="325">
        <f t="shared" si="9"/>
        <v>6517</v>
      </c>
      <c r="CA14" s="325">
        <f t="shared" si="10"/>
        <v>7213</v>
      </c>
      <c r="CB14" s="325">
        <f t="shared" si="11"/>
        <v>4650.9798876020795</v>
      </c>
      <c r="CC14" s="325">
        <f t="shared" si="12"/>
        <v>5576.5151983486812</v>
      </c>
      <c r="CD14" s="325">
        <f t="shared" si="13"/>
        <v>7863.6493936415154</v>
      </c>
      <c r="CE14" s="325">
        <f t="shared" si="14"/>
        <v>10532.625647985058</v>
      </c>
      <c r="CF14" s="325">
        <f t="shared" si="15"/>
        <v>13164.720785222418</v>
      </c>
    </row>
    <row r="15" spans="1:84" s="328" customFormat="1" ht="13" customHeight="1">
      <c r="A15" s="326"/>
      <c r="B15" s="327"/>
      <c r="C15" s="327"/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27"/>
      <c r="R15" s="327"/>
      <c r="S15" s="327"/>
      <c r="T15" s="327"/>
      <c r="U15" s="326"/>
      <c r="V15" s="326"/>
      <c r="W15" s="326"/>
      <c r="X15" s="326"/>
      <c r="Y15" s="326"/>
      <c r="Z15" s="326"/>
      <c r="AA15" s="326"/>
      <c r="AB15" s="326"/>
      <c r="AC15" s="326"/>
      <c r="AD15" s="326"/>
      <c r="AE15" s="326"/>
      <c r="AF15" s="326"/>
      <c r="AG15" s="326"/>
      <c r="AH15" s="326"/>
      <c r="AI15" s="326"/>
      <c r="AJ15" s="326"/>
      <c r="AK15" s="326"/>
      <c r="AL15" s="326"/>
      <c r="AM15" s="326"/>
      <c r="AN15" s="326"/>
      <c r="AO15" s="326"/>
      <c r="AP15" s="326"/>
      <c r="AQ15" s="326"/>
      <c r="AR15" s="326"/>
      <c r="AS15" s="326"/>
      <c r="AT15" s="326"/>
      <c r="AU15" s="326"/>
      <c r="AV15" s="318"/>
      <c r="AW15" s="318"/>
      <c r="AX15" s="326"/>
      <c r="AY15" s="326"/>
      <c r="AZ15" s="326"/>
      <c r="BA15" s="326"/>
      <c r="BB15" s="326"/>
      <c r="BC15" s="326"/>
      <c r="BD15" s="326"/>
      <c r="BE15" s="326"/>
      <c r="BF15" s="326"/>
      <c r="BG15" s="326"/>
      <c r="BH15" s="326"/>
      <c r="BI15" s="326"/>
      <c r="BJ15" s="326"/>
      <c r="BK15" s="326"/>
      <c r="BL15" s="326"/>
      <c r="BM15" s="326"/>
      <c r="BN15" s="326"/>
      <c r="BO15" s="326"/>
      <c r="BP15" s="326"/>
      <c r="BQ15" s="326"/>
      <c r="BR15" s="326"/>
      <c r="BS15" s="326"/>
      <c r="BT15" s="326"/>
      <c r="BU15" s="326"/>
      <c r="BV15" s="326"/>
      <c r="BW15" s="326"/>
      <c r="BX15" s="326"/>
      <c r="BY15" s="326"/>
      <c r="BZ15" s="326"/>
      <c r="CA15" s="326"/>
      <c r="CB15" s="326"/>
      <c r="CC15" s="326"/>
      <c r="CD15" s="326"/>
      <c r="CE15" s="326"/>
      <c r="CF15" s="326"/>
    </row>
    <row r="16" spans="1:84" s="321" customFormat="1" ht="13" customHeight="1">
      <c r="A16" s="318" t="s">
        <v>62</v>
      </c>
      <c r="B16" s="322">
        <v>537</v>
      </c>
      <c r="C16" s="322">
        <v>516</v>
      </c>
      <c r="D16" s="322">
        <v>510</v>
      </c>
      <c r="E16" s="322">
        <v>502</v>
      </c>
      <c r="F16" s="322">
        <v>513</v>
      </c>
      <c r="G16" s="322">
        <v>516</v>
      </c>
      <c r="H16" s="322">
        <v>532</v>
      </c>
      <c r="I16" s="322">
        <v>547</v>
      </c>
      <c r="J16" s="322">
        <v>568</v>
      </c>
      <c r="K16" s="322">
        <v>558</v>
      </c>
      <c r="L16" s="322">
        <v>561</v>
      </c>
      <c r="M16" s="322">
        <v>550</v>
      </c>
      <c r="N16" s="322">
        <v>548</v>
      </c>
      <c r="O16" s="322">
        <v>537</v>
      </c>
      <c r="P16" s="322">
        <v>532</v>
      </c>
      <c r="Q16" s="322">
        <v>518</v>
      </c>
      <c r="R16" s="322">
        <v>510</v>
      </c>
      <c r="S16" s="322">
        <v>503</v>
      </c>
      <c r="T16" s="322">
        <v>483</v>
      </c>
      <c r="U16" s="322">
        <v>461</v>
      </c>
      <c r="V16" s="322">
        <v>459</v>
      </c>
      <c r="W16" s="322">
        <v>444</v>
      </c>
      <c r="X16" s="322">
        <v>430</v>
      </c>
      <c r="Y16" s="322">
        <v>415</v>
      </c>
      <c r="Z16" s="322">
        <v>439</v>
      </c>
      <c r="AA16" s="322">
        <v>435</v>
      </c>
      <c r="AB16" s="322">
        <v>431</v>
      </c>
      <c r="AC16" s="322">
        <v>424</v>
      </c>
      <c r="AD16" s="322">
        <v>434</v>
      </c>
      <c r="AE16" s="322">
        <v>436</v>
      </c>
      <c r="AF16" s="322">
        <v>444</v>
      </c>
      <c r="AG16" s="322">
        <v>447</v>
      </c>
      <c r="AH16" s="322">
        <v>453</v>
      </c>
      <c r="AI16" s="322">
        <v>440</v>
      </c>
      <c r="AJ16" s="322">
        <v>440</v>
      </c>
      <c r="AK16" s="322">
        <v>426</v>
      </c>
      <c r="AL16" s="322">
        <v>448</v>
      </c>
      <c r="AM16" s="322">
        <v>446</v>
      </c>
      <c r="AN16" s="322">
        <v>442</v>
      </c>
      <c r="AO16" s="322">
        <v>439</v>
      </c>
      <c r="AP16" s="322">
        <v>449</v>
      </c>
      <c r="AQ16" s="322">
        <v>450</v>
      </c>
      <c r="AR16" s="322">
        <v>458</v>
      </c>
      <c r="AS16" s="322">
        <v>467</v>
      </c>
      <c r="AT16" s="322">
        <v>491</v>
      </c>
      <c r="AU16" s="322">
        <v>510</v>
      </c>
      <c r="AV16" s="322">
        <v>516</v>
      </c>
      <c r="AW16" s="319">
        <f>AV16-BS!AW105-CF!AW22</f>
        <v>504.27324542973832</v>
      </c>
      <c r="AX16" s="319">
        <f>AW16-BS!AX105-CF!AX22</f>
        <v>527.72092446740169</v>
      </c>
      <c r="AY16" s="319">
        <f>AX16-BS!AY105-CF!AY22</f>
        <v>508.1347012327559</v>
      </c>
      <c r="AZ16" s="319">
        <f>AY16-BS!AZ105-CF!AZ22</f>
        <v>492.4135862484099</v>
      </c>
      <c r="BA16" s="319">
        <f>AZ16-BS!BA105-CF!BA22</f>
        <v>475.00006641113487</v>
      </c>
      <c r="BB16" s="319">
        <f>BA16-BS!BB105-CF!BB22</f>
        <v>458.04521361398105</v>
      </c>
      <c r="BC16" s="319">
        <f>BB16-BS!BC105-CF!BC22</f>
        <v>448.26216955509307</v>
      </c>
      <c r="BD16" s="319">
        <f>BC16-BS!BD105-CF!BD22</f>
        <v>441.55656479572548</v>
      </c>
      <c r="BE16" s="319">
        <f>BD16-BS!BE105-CF!BE22</f>
        <v>432.54018790888</v>
      </c>
      <c r="BF16" s="319">
        <f>BE16-BS!BF105-CF!BF22</f>
        <v>422.88751382989687</v>
      </c>
      <c r="BG16" s="319">
        <f>BF16-BS!BG105-CF!BG22</f>
        <v>419.42609967658689</v>
      </c>
      <c r="BH16" s="319">
        <f>BG16-BS!BH105-CF!BH22</f>
        <v>423.44460297598255</v>
      </c>
      <c r="BI16" s="319">
        <f>BH16-BS!BI105-CF!BI22</f>
        <v>421.92780259626443</v>
      </c>
      <c r="BJ16" s="319">
        <f>BI16-BS!BJ105-CF!BJ22</f>
        <v>417.71719325770357</v>
      </c>
      <c r="BK16" s="319">
        <f>BJ16-BS!BK105-CF!BK22</f>
        <v>418.46604846210437</v>
      </c>
      <c r="BL16" s="319">
        <f>BK16-BS!BL105-CF!BL22</f>
        <v>420.97339486117539</v>
      </c>
      <c r="BM16" s="319">
        <f>BL16-BS!BM105-CF!BM22</f>
        <v>420.94830469366241</v>
      </c>
      <c r="BN16" s="319">
        <f>BM16-BS!BN105-CF!BN22</f>
        <v>418.49357069481249</v>
      </c>
      <c r="BO16" s="319"/>
      <c r="BP16" s="320">
        <v>537</v>
      </c>
      <c r="BQ16" s="320">
        <f t="shared" ref="BQ16:BQ21" si="46">F16</f>
        <v>513</v>
      </c>
      <c r="BR16" s="320">
        <f t="shared" ref="BR16:BR21" si="47">J16</f>
        <v>568</v>
      </c>
      <c r="BS16" s="320">
        <f t="shared" ref="BS16:BS21" si="48">N16</f>
        <v>548</v>
      </c>
      <c r="BT16" s="320">
        <f t="shared" ref="BT16:BT21" si="49">R16</f>
        <v>510</v>
      </c>
      <c r="BU16" s="320">
        <f t="shared" ref="BU16:BU21" si="50">V16</f>
        <v>459</v>
      </c>
      <c r="BV16" s="320">
        <f t="shared" ref="BV16:BV21" si="51">Z16</f>
        <v>439</v>
      </c>
      <c r="BW16" s="320">
        <f t="shared" ref="BW16:BW21" si="52">AD16</f>
        <v>434</v>
      </c>
      <c r="BX16" s="320">
        <f t="shared" ref="BX16:BX21" si="53">AH16</f>
        <v>453</v>
      </c>
      <c r="BY16" s="320">
        <f t="shared" ref="BY16:BY21" si="54">AL16</f>
        <v>448</v>
      </c>
      <c r="BZ16" s="320">
        <f t="shared" ref="BZ16:BZ21" si="55">AP16</f>
        <v>449</v>
      </c>
      <c r="CA16" s="320">
        <f t="shared" ref="CA16:CA21" si="56">AT16</f>
        <v>491</v>
      </c>
      <c r="CB16" s="320">
        <f t="shared" ref="CB16:CB21" si="57">AX16</f>
        <v>527.72092446740169</v>
      </c>
      <c r="CC16" s="320">
        <f t="shared" ref="CC16:CC21" si="58">BB16</f>
        <v>458.04521361398105</v>
      </c>
      <c r="CD16" s="320">
        <f t="shared" ref="CD16:CD21" si="59">BF16</f>
        <v>422.88751382989687</v>
      </c>
      <c r="CE16" s="320">
        <f t="shared" ref="CE16:CE21" si="60">BJ16</f>
        <v>417.71719325770357</v>
      </c>
      <c r="CF16" s="320">
        <f t="shared" ref="CF16:CF21" si="61">BN16</f>
        <v>418.49357069481249</v>
      </c>
    </row>
    <row r="17" spans="1:84" s="321" customFormat="1" ht="13" customHeight="1">
      <c r="A17" s="318" t="s">
        <v>11</v>
      </c>
      <c r="B17" s="322">
        <v>1093</v>
      </c>
      <c r="C17" s="322">
        <v>1090</v>
      </c>
      <c r="D17" s="322">
        <v>1094</v>
      </c>
      <c r="E17" s="322">
        <v>1107</v>
      </c>
      <c r="F17" s="322">
        <v>1110</v>
      </c>
      <c r="G17" s="322">
        <v>1132</v>
      </c>
      <c r="H17" s="322">
        <v>1700</v>
      </c>
      <c r="I17" s="322">
        <v>1716</v>
      </c>
      <c r="J17" s="322">
        <v>1718</v>
      </c>
      <c r="K17" s="322">
        <v>1716</v>
      </c>
      <c r="L17" s="322">
        <v>1723</v>
      </c>
      <c r="M17" s="322">
        <v>1724</v>
      </c>
      <c r="N17" s="322">
        <v>1721</v>
      </c>
      <c r="O17" s="322">
        <v>1722</v>
      </c>
      <c r="P17" s="322">
        <v>1726</v>
      </c>
      <c r="Q17" s="322">
        <v>1725</v>
      </c>
      <c r="R17" s="322">
        <v>1723</v>
      </c>
      <c r="S17" s="322">
        <v>1726</v>
      </c>
      <c r="T17" s="322">
        <v>1723</v>
      </c>
      <c r="U17" s="322">
        <v>1718</v>
      </c>
      <c r="V17" s="322">
        <v>1713</v>
      </c>
      <c r="W17" s="322">
        <v>1713</v>
      </c>
      <c r="X17" s="322">
        <v>1709</v>
      </c>
      <c r="Y17" s="322">
        <v>1708</v>
      </c>
      <c r="Z17" s="322">
        <v>1710</v>
      </c>
      <c r="AA17" s="322">
        <v>1708</v>
      </c>
      <c r="AB17" s="322">
        <v>1709</v>
      </c>
      <c r="AC17" s="322">
        <v>1704</v>
      </c>
      <c r="AD17" s="322">
        <v>1707</v>
      </c>
      <c r="AE17" s="322">
        <v>1708</v>
      </c>
      <c r="AF17" s="322">
        <v>1711</v>
      </c>
      <c r="AG17" s="322">
        <v>1879</v>
      </c>
      <c r="AH17" s="322">
        <v>1883</v>
      </c>
      <c r="AI17" s="322">
        <v>1886</v>
      </c>
      <c r="AJ17" s="322">
        <v>1894</v>
      </c>
      <c r="AK17" s="322">
        <v>1891</v>
      </c>
      <c r="AL17" s="322">
        <v>1892</v>
      </c>
      <c r="AM17" s="322">
        <v>1892</v>
      </c>
      <c r="AN17" s="322">
        <v>1890</v>
      </c>
      <c r="AO17" s="322">
        <v>1892</v>
      </c>
      <c r="AP17" s="322">
        <v>1885</v>
      </c>
      <c r="AQ17" s="322">
        <v>1889</v>
      </c>
      <c r="AR17" s="322">
        <v>1891</v>
      </c>
      <c r="AS17" s="322">
        <v>1896</v>
      </c>
      <c r="AT17" s="322">
        <v>2868</v>
      </c>
      <c r="AU17" s="322">
        <v>4256</v>
      </c>
      <c r="AV17" s="322">
        <v>5459</v>
      </c>
      <c r="AW17" s="319">
        <f t="shared" ref="AW17:BB17" si="62">AV17</f>
        <v>5459</v>
      </c>
      <c r="AX17" s="319">
        <f t="shared" si="62"/>
        <v>5459</v>
      </c>
      <c r="AY17" s="319">
        <f t="shared" si="62"/>
        <v>5459</v>
      </c>
      <c r="AZ17" s="319">
        <f t="shared" si="62"/>
        <v>5459</v>
      </c>
      <c r="BA17" s="319">
        <f t="shared" si="62"/>
        <v>5459</v>
      </c>
      <c r="BB17" s="319">
        <f t="shared" si="62"/>
        <v>5459</v>
      </c>
      <c r="BC17" s="319">
        <f t="shared" ref="BC17:BN17" si="63">BB17</f>
        <v>5459</v>
      </c>
      <c r="BD17" s="319">
        <f t="shared" si="63"/>
        <v>5459</v>
      </c>
      <c r="BE17" s="319">
        <f t="shared" si="63"/>
        <v>5459</v>
      </c>
      <c r="BF17" s="319">
        <f t="shared" si="63"/>
        <v>5459</v>
      </c>
      <c r="BG17" s="319">
        <f t="shared" si="63"/>
        <v>5459</v>
      </c>
      <c r="BH17" s="319">
        <f t="shared" si="63"/>
        <v>5459</v>
      </c>
      <c r="BI17" s="319">
        <f t="shared" si="63"/>
        <v>5459</v>
      </c>
      <c r="BJ17" s="319">
        <f t="shared" si="63"/>
        <v>5459</v>
      </c>
      <c r="BK17" s="319">
        <f t="shared" si="63"/>
        <v>5459</v>
      </c>
      <c r="BL17" s="319">
        <f t="shared" si="63"/>
        <v>5459</v>
      </c>
      <c r="BM17" s="319">
        <f t="shared" si="63"/>
        <v>5459</v>
      </c>
      <c r="BN17" s="319">
        <f t="shared" si="63"/>
        <v>5459</v>
      </c>
      <c r="BO17" s="319"/>
      <c r="BP17" s="320">
        <v>1093</v>
      </c>
      <c r="BQ17" s="320">
        <f t="shared" si="46"/>
        <v>1110</v>
      </c>
      <c r="BR17" s="320">
        <f t="shared" si="47"/>
        <v>1718</v>
      </c>
      <c r="BS17" s="320">
        <f t="shared" si="48"/>
        <v>1721</v>
      </c>
      <c r="BT17" s="320">
        <f t="shared" si="49"/>
        <v>1723</v>
      </c>
      <c r="BU17" s="320">
        <f t="shared" si="50"/>
        <v>1713</v>
      </c>
      <c r="BV17" s="320">
        <f t="shared" si="51"/>
        <v>1710</v>
      </c>
      <c r="BW17" s="320">
        <f t="shared" si="52"/>
        <v>1707</v>
      </c>
      <c r="BX17" s="320">
        <f t="shared" si="53"/>
        <v>1883</v>
      </c>
      <c r="BY17" s="320">
        <f t="shared" si="54"/>
        <v>1892</v>
      </c>
      <c r="BZ17" s="320">
        <f t="shared" si="55"/>
        <v>1885</v>
      </c>
      <c r="CA17" s="320">
        <f t="shared" si="56"/>
        <v>2868</v>
      </c>
      <c r="CB17" s="320">
        <f t="shared" si="57"/>
        <v>5459</v>
      </c>
      <c r="CC17" s="320">
        <f t="shared" si="58"/>
        <v>5459</v>
      </c>
      <c r="CD17" s="320">
        <f t="shared" si="59"/>
        <v>5459</v>
      </c>
      <c r="CE17" s="320">
        <f t="shared" si="60"/>
        <v>5459</v>
      </c>
      <c r="CF17" s="320">
        <f t="shared" si="61"/>
        <v>5459</v>
      </c>
    </row>
    <row r="18" spans="1:84" s="321" customFormat="1" ht="13" customHeight="1">
      <c r="A18" s="318" t="s">
        <v>131</v>
      </c>
      <c r="B18" s="322">
        <v>204</v>
      </c>
      <c r="C18" s="322">
        <v>185</v>
      </c>
      <c r="D18" s="322">
        <v>168</v>
      </c>
      <c r="E18" s="322">
        <v>160</v>
      </c>
      <c r="F18" s="322">
        <v>144</v>
      </c>
      <c r="G18" s="322">
        <v>134</v>
      </c>
      <c r="H18" s="322">
        <v>416</v>
      </c>
      <c r="I18" s="322">
        <v>402</v>
      </c>
      <c r="J18" s="322">
        <v>369</v>
      </c>
      <c r="K18" s="322">
        <v>347</v>
      </c>
      <c r="L18" s="322">
        <v>334</v>
      </c>
      <c r="M18" s="322">
        <v>304</v>
      </c>
      <c r="N18" s="322">
        <v>253</v>
      </c>
      <c r="O18" s="322">
        <v>234</v>
      </c>
      <c r="P18" s="322">
        <v>216</v>
      </c>
      <c r="Q18" s="322">
        <v>196</v>
      </c>
      <c r="R18" s="322">
        <v>177</v>
      </c>
      <c r="S18" s="322">
        <v>160</v>
      </c>
      <c r="T18" s="322">
        <v>143</v>
      </c>
      <c r="U18" s="322">
        <v>127</v>
      </c>
      <c r="V18" s="322">
        <v>111</v>
      </c>
      <c r="W18" s="322">
        <v>98</v>
      </c>
      <c r="X18" s="322">
        <v>84</v>
      </c>
      <c r="Y18" s="322">
        <v>71</v>
      </c>
      <c r="Z18" s="322">
        <v>57</v>
      </c>
      <c r="AA18" s="322">
        <v>42</v>
      </c>
      <c r="AB18" s="322">
        <v>28</v>
      </c>
      <c r="AC18" s="322">
        <v>9</v>
      </c>
      <c r="AD18" s="322">
        <v>8</v>
      </c>
      <c r="AE18" s="322">
        <v>7</v>
      </c>
      <c r="AF18" s="322">
        <v>5</v>
      </c>
      <c r="AG18" s="322">
        <v>81</v>
      </c>
      <c r="AH18" s="322">
        <v>71</v>
      </c>
      <c r="AI18" s="322">
        <v>107</v>
      </c>
      <c r="AJ18" s="322">
        <v>100</v>
      </c>
      <c r="AK18" s="322">
        <v>93</v>
      </c>
      <c r="AL18" s="322">
        <v>87</v>
      </c>
      <c r="AM18" s="322">
        <v>80</v>
      </c>
      <c r="AN18" s="322">
        <v>72</v>
      </c>
      <c r="AO18" s="322">
        <v>62</v>
      </c>
      <c r="AP18" s="322">
        <v>53</v>
      </c>
      <c r="AQ18" s="322">
        <v>48</v>
      </c>
      <c r="AR18" s="322">
        <v>42</v>
      </c>
      <c r="AS18" s="322">
        <v>37</v>
      </c>
      <c r="AT18" s="322">
        <v>309</v>
      </c>
      <c r="AU18" s="322">
        <v>909</v>
      </c>
      <c r="AV18" s="322">
        <v>1080</v>
      </c>
      <c r="AW18" s="319">
        <f>AV18+BS!AW104</f>
        <v>1044.3564356435643</v>
      </c>
      <c r="AX18" s="319">
        <f>AW18+BS!AX104</f>
        <v>1009.8892265464169</v>
      </c>
      <c r="AY18" s="319">
        <f>AX18+BS!AY104</f>
        <v>976.55954910264074</v>
      </c>
      <c r="AZ18" s="319">
        <f>AY18+BS!AZ104</f>
        <v>944.32986101344466</v>
      </c>
      <c r="BA18" s="319">
        <f>AZ18+BS!BA104</f>
        <v>913.16385899979957</v>
      </c>
      <c r="BB18" s="319">
        <f>BA18+BS!BB104</f>
        <v>883.02643791069727</v>
      </c>
      <c r="BC18" s="319">
        <f>BB18+BS!BC104</f>
        <v>853.88365118097124</v>
      </c>
      <c r="BD18" s="319">
        <f>BC18+BS!BD104</f>
        <v>825.70267259414049</v>
      </c>
      <c r="BE18" s="319">
        <f>BD18+BS!BE104</f>
        <v>798.45175930720518</v>
      </c>
      <c r="BF18" s="319">
        <f>BE18+BS!BF104</f>
        <v>772.1002160957463</v>
      </c>
      <c r="BG18" s="319">
        <f>BF18+BS!BG104</f>
        <v>746.61836077905502</v>
      </c>
      <c r="BH18" s="319">
        <f>BG18+BS!BH104</f>
        <v>721.97749078634695</v>
      </c>
      <c r="BI18" s="319">
        <f>BH18+BS!BI104</f>
        <v>698.14985082640146</v>
      </c>
      <c r="BJ18" s="319">
        <f>BI18+BS!BJ104</f>
        <v>675.10860162421</v>
      </c>
      <c r="BK18" s="319">
        <f>BJ18+BS!BK104</f>
        <v>652.82778968941761</v>
      </c>
      <c r="BL18" s="319">
        <f>BK18+BS!BL104</f>
        <v>631.28231808250609</v>
      </c>
      <c r="BM18" s="319">
        <f>BL18+BS!BM104</f>
        <v>610.44791814578969</v>
      </c>
      <c r="BN18" s="319">
        <f>BM18+BS!BN104</f>
        <v>590.30112216738075</v>
      </c>
      <c r="BO18" s="319"/>
      <c r="BP18" s="320">
        <v>204</v>
      </c>
      <c r="BQ18" s="320">
        <f t="shared" si="46"/>
        <v>144</v>
      </c>
      <c r="BR18" s="320">
        <f t="shared" si="47"/>
        <v>369</v>
      </c>
      <c r="BS18" s="320">
        <f t="shared" si="48"/>
        <v>253</v>
      </c>
      <c r="BT18" s="320">
        <f t="shared" si="49"/>
        <v>177</v>
      </c>
      <c r="BU18" s="320">
        <f t="shared" si="50"/>
        <v>111</v>
      </c>
      <c r="BV18" s="320">
        <f t="shared" si="51"/>
        <v>57</v>
      </c>
      <c r="BW18" s="320">
        <f t="shared" si="52"/>
        <v>8</v>
      </c>
      <c r="BX18" s="320">
        <f t="shared" si="53"/>
        <v>71</v>
      </c>
      <c r="BY18" s="320">
        <f t="shared" si="54"/>
        <v>87</v>
      </c>
      <c r="BZ18" s="320">
        <f t="shared" si="55"/>
        <v>53</v>
      </c>
      <c r="CA18" s="320">
        <f t="shared" si="56"/>
        <v>309</v>
      </c>
      <c r="CB18" s="320">
        <f t="shared" si="57"/>
        <v>1009.8892265464169</v>
      </c>
      <c r="CC18" s="320">
        <f t="shared" si="58"/>
        <v>883.02643791069727</v>
      </c>
      <c r="CD18" s="320">
        <f t="shared" si="59"/>
        <v>772.1002160957463</v>
      </c>
      <c r="CE18" s="320">
        <f t="shared" si="60"/>
        <v>675.10860162421</v>
      </c>
      <c r="CF18" s="320">
        <f t="shared" si="61"/>
        <v>590.30112216738075</v>
      </c>
    </row>
    <row r="19" spans="1:84" s="321" customFormat="1" ht="13" customHeight="1">
      <c r="A19" s="318" t="s">
        <v>93</v>
      </c>
      <c r="B19" s="322">
        <v>52</v>
      </c>
      <c r="C19" s="322">
        <v>49</v>
      </c>
      <c r="D19" s="322">
        <v>48</v>
      </c>
      <c r="E19" s="322">
        <v>44</v>
      </c>
      <c r="F19" s="322">
        <v>49</v>
      </c>
      <c r="G19" s="322">
        <v>49</v>
      </c>
      <c r="H19" s="322">
        <v>45</v>
      </c>
      <c r="I19" s="322">
        <v>44</v>
      </c>
      <c r="J19" s="322">
        <v>42</v>
      </c>
      <c r="K19" s="322">
        <v>44</v>
      </c>
      <c r="L19" s="322">
        <v>49</v>
      </c>
      <c r="M19" s="322">
        <v>47</v>
      </c>
      <c r="N19" s="322">
        <v>53</v>
      </c>
      <c r="O19" s="322">
        <v>50</v>
      </c>
      <c r="P19" s="322">
        <v>48</v>
      </c>
      <c r="Q19" s="322">
        <v>46</v>
      </c>
      <c r="R19" s="322">
        <v>28</v>
      </c>
      <c r="S19" s="322">
        <v>15</v>
      </c>
      <c r="T19" s="322">
        <v>9</v>
      </c>
      <c r="U19" s="322">
        <v>6</v>
      </c>
      <c r="V19" s="322">
        <v>13</v>
      </c>
      <c r="W19" s="322">
        <v>14</v>
      </c>
      <c r="X19" s="322">
        <v>14</v>
      </c>
      <c r="Y19" s="322">
        <v>8</v>
      </c>
      <c r="Z19" s="322">
        <v>387</v>
      </c>
      <c r="AA19" s="322">
        <v>343</v>
      </c>
      <c r="AB19" s="322">
        <v>366</v>
      </c>
      <c r="AC19" s="322">
        <v>386</v>
      </c>
      <c r="AD19" s="322">
        <v>286</v>
      </c>
      <c r="AE19" s="322">
        <v>232</v>
      </c>
      <c r="AF19" s="322">
        <v>248</v>
      </c>
      <c r="AG19" s="322">
        <v>159</v>
      </c>
      <c r="AH19" s="322">
        <v>84</v>
      </c>
      <c r="AI19" s="322">
        <v>92</v>
      </c>
      <c r="AJ19" s="322">
        <v>112</v>
      </c>
      <c r="AK19" s="322">
        <v>106</v>
      </c>
      <c r="AL19" s="322">
        <v>35</v>
      </c>
      <c r="AM19" s="322">
        <v>1208</v>
      </c>
      <c r="AN19" s="322">
        <v>1835</v>
      </c>
      <c r="AO19" s="322">
        <v>1828</v>
      </c>
      <c r="AP19" s="322">
        <v>1903</v>
      </c>
      <c r="AQ19" s="322">
        <v>1894</v>
      </c>
      <c r="AR19" s="322">
        <v>1937</v>
      </c>
      <c r="AS19" s="322">
        <v>1924</v>
      </c>
      <c r="AT19" s="322">
        <v>2045</v>
      </c>
      <c r="AU19" s="322">
        <v>1960</v>
      </c>
      <c r="AV19" s="322">
        <v>2139</v>
      </c>
      <c r="AW19" s="319">
        <f t="shared" ref="AW19:BB19" si="64">AW63</f>
        <v>2117.61</v>
      </c>
      <c r="AX19" s="319">
        <f t="shared" si="64"/>
        <v>2096.4339</v>
      </c>
      <c r="AY19" s="319">
        <f t="shared" si="64"/>
        <v>2075.4695609999999</v>
      </c>
      <c r="AZ19" s="319">
        <f t="shared" si="64"/>
        <v>2054.7148653899999</v>
      </c>
      <c r="BA19" s="319">
        <f t="shared" si="64"/>
        <v>2034.1677167360999</v>
      </c>
      <c r="BB19" s="319">
        <f t="shared" si="64"/>
        <v>2013.8260395687389</v>
      </c>
      <c r="BC19" s="319">
        <f t="shared" ref="BC19:BN19" si="65">BC63</f>
        <v>1993.6877791730515</v>
      </c>
      <c r="BD19" s="319">
        <f t="shared" si="65"/>
        <v>1973.750901381321</v>
      </c>
      <c r="BE19" s="319">
        <f t="shared" si="65"/>
        <v>1954.0133923675078</v>
      </c>
      <c r="BF19" s="319">
        <f t="shared" si="65"/>
        <v>1934.4732584438327</v>
      </c>
      <c r="BG19" s="319">
        <f t="shared" si="65"/>
        <v>1915.1285258593944</v>
      </c>
      <c r="BH19" s="319">
        <f t="shared" si="65"/>
        <v>1895.9772406008003</v>
      </c>
      <c r="BI19" s="319">
        <f t="shared" si="65"/>
        <v>1877.0174681947924</v>
      </c>
      <c r="BJ19" s="319">
        <f t="shared" si="65"/>
        <v>1858.2472935128444</v>
      </c>
      <c r="BK19" s="319">
        <f t="shared" si="65"/>
        <v>1839.664820577716</v>
      </c>
      <c r="BL19" s="319">
        <f t="shared" si="65"/>
        <v>1821.2681723719388</v>
      </c>
      <c r="BM19" s="319">
        <f t="shared" si="65"/>
        <v>1803.0554906482193</v>
      </c>
      <c r="BN19" s="319">
        <f t="shared" si="65"/>
        <v>1785.0249357417372</v>
      </c>
      <c r="BO19" s="319"/>
      <c r="BP19" s="320">
        <v>52</v>
      </c>
      <c r="BQ19" s="320">
        <f t="shared" si="46"/>
        <v>49</v>
      </c>
      <c r="BR19" s="320">
        <f t="shared" si="47"/>
        <v>42</v>
      </c>
      <c r="BS19" s="320">
        <f t="shared" si="48"/>
        <v>53</v>
      </c>
      <c r="BT19" s="320">
        <f t="shared" si="49"/>
        <v>28</v>
      </c>
      <c r="BU19" s="320">
        <f t="shared" si="50"/>
        <v>13</v>
      </c>
      <c r="BV19" s="320">
        <f t="shared" si="51"/>
        <v>387</v>
      </c>
      <c r="BW19" s="320">
        <f t="shared" si="52"/>
        <v>286</v>
      </c>
      <c r="BX19" s="320">
        <f t="shared" si="53"/>
        <v>84</v>
      </c>
      <c r="BY19" s="320">
        <f t="shared" si="54"/>
        <v>35</v>
      </c>
      <c r="BZ19" s="320">
        <f t="shared" si="55"/>
        <v>1903</v>
      </c>
      <c r="CA19" s="320">
        <f t="shared" si="56"/>
        <v>2045</v>
      </c>
      <c r="CB19" s="320">
        <f t="shared" si="57"/>
        <v>2096.4339</v>
      </c>
      <c r="CC19" s="320">
        <f t="shared" si="58"/>
        <v>2013.8260395687389</v>
      </c>
      <c r="CD19" s="320">
        <f t="shared" si="59"/>
        <v>1934.4732584438327</v>
      </c>
      <c r="CE19" s="320">
        <f t="shared" si="60"/>
        <v>1858.2472935128444</v>
      </c>
      <c r="CF19" s="320">
        <f t="shared" si="61"/>
        <v>1785.0249357417372</v>
      </c>
    </row>
    <row r="20" spans="1:84" s="321" customFormat="1" ht="13" customHeight="1">
      <c r="A20" s="318" t="s">
        <v>73</v>
      </c>
      <c r="B20" s="322">
        <v>175</v>
      </c>
      <c r="C20" s="322">
        <v>177</v>
      </c>
      <c r="D20" s="322">
        <v>189</v>
      </c>
      <c r="E20" s="322">
        <v>200</v>
      </c>
      <c r="F20" s="322">
        <v>80</v>
      </c>
      <c r="G20" s="322">
        <v>170</v>
      </c>
      <c r="H20" s="322">
        <v>174</v>
      </c>
      <c r="I20" s="322">
        <v>181</v>
      </c>
      <c r="J20" s="322">
        <v>185</v>
      </c>
      <c r="K20" s="322">
        <v>209</v>
      </c>
      <c r="L20" s="322">
        <v>192</v>
      </c>
      <c r="M20" s="322">
        <v>185</v>
      </c>
      <c r="N20" s="322">
        <v>170</v>
      </c>
      <c r="O20" s="322">
        <v>178</v>
      </c>
      <c r="P20" s="322">
        <v>174</v>
      </c>
      <c r="Q20" s="322">
        <v>167</v>
      </c>
      <c r="R20" s="322">
        <v>140</v>
      </c>
      <c r="S20" s="322">
        <v>142</v>
      </c>
      <c r="T20" s="322">
        <v>141</v>
      </c>
      <c r="U20" s="322">
        <v>101</v>
      </c>
      <c r="V20" s="322">
        <v>131</v>
      </c>
      <c r="W20" s="322">
        <v>126</v>
      </c>
      <c r="X20" s="322">
        <v>117</v>
      </c>
      <c r="Y20" s="322">
        <v>116</v>
      </c>
      <c r="Z20" s="322">
        <v>103</v>
      </c>
      <c r="AA20" s="322">
        <v>105</v>
      </c>
      <c r="AB20" s="322">
        <v>98</v>
      </c>
      <c r="AC20" s="322">
        <v>95</v>
      </c>
      <c r="AD20" s="322">
        <v>84</v>
      </c>
      <c r="AE20" s="322">
        <v>90</v>
      </c>
      <c r="AF20" s="322">
        <v>99</v>
      </c>
      <c r="AG20" s="322">
        <v>110</v>
      </c>
      <c r="AH20" s="322">
        <v>89</v>
      </c>
      <c r="AI20" s="322">
        <v>98</v>
      </c>
      <c r="AJ20" s="322">
        <v>101</v>
      </c>
      <c r="AK20" s="322">
        <v>94</v>
      </c>
      <c r="AL20" s="322">
        <v>114</v>
      </c>
      <c r="AM20" s="322">
        <v>323</v>
      </c>
      <c r="AN20" s="322">
        <v>314</v>
      </c>
      <c r="AO20" s="322">
        <v>311</v>
      </c>
      <c r="AP20" s="322">
        <v>305</v>
      </c>
      <c r="AQ20" s="322">
        <v>313</v>
      </c>
      <c r="AR20" s="322">
        <v>312</v>
      </c>
      <c r="AS20" s="322">
        <v>375</v>
      </c>
      <c r="AT20" s="322">
        <v>362</v>
      </c>
      <c r="AU20" s="322">
        <v>422</v>
      </c>
      <c r="AV20" s="322">
        <v>435</v>
      </c>
      <c r="AW20" s="319">
        <f t="shared" ref="AW20:BB20" si="66">AW51</f>
        <v>408.99917000677709</v>
      </c>
      <c r="AX20" s="319">
        <f t="shared" si="66"/>
        <v>361.13618250000007</v>
      </c>
      <c r="AY20" s="319">
        <f t="shared" si="66"/>
        <v>407.30152371607949</v>
      </c>
      <c r="AZ20" s="319">
        <f t="shared" si="66"/>
        <v>412.11768903859041</v>
      </c>
      <c r="BA20" s="319">
        <f t="shared" si="66"/>
        <v>373.77449667514327</v>
      </c>
      <c r="BB20" s="319">
        <f t="shared" si="66"/>
        <v>352.5981223721252</v>
      </c>
      <c r="BC20" s="319">
        <f t="shared" ref="BC20:BN20" si="67">BC51</f>
        <v>386.87679906146406</v>
      </c>
      <c r="BD20" s="319">
        <f t="shared" si="67"/>
        <v>394.17313777259034</v>
      </c>
      <c r="BE20" s="319">
        <f t="shared" si="67"/>
        <v>361.87821547089163</v>
      </c>
      <c r="BF20" s="319">
        <f t="shared" si="67"/>
        <v>341.14769658322882</v>
      </c>
      <c r="BG20" s="319">
        <f t="shared" si="67"/>
        <v>371.49998465158308</v>
      </c>
      <c r="BH20" s="319">
        <f t="shared" si="67"/>
        <v>415.45068978029633</v>
      </c>
      <c r="BI20" s="319">
        <f t="shared" si="67"/>
        <v>370.52654928838939</v>
      </c>
      <c r="BJ20" s="319">
        <f t="shared" si="67"/>
        <v>342.24340212219522</v>
      </c>
      <c r="BK20" s="319">
        <f t="shared" si="67"/>
        <v>365.08877148260837</v>
      </c>
      <c r="BL20" s="319">
        <f t="shared" si="67"/>
        <v>369.25025172376763</v>
      </c>
      <c r="BM20" s="319">
        <f t="shared" si="67"/>
        <v>346.1526309053009</v>
      </c>
      <c r="BN20" s="319">
        <f t="shared" si="67"/>
        <v>322.36896829466286</v>
      </c>
      <c r="BO20" s="319"/>
      <c r="BP20" s="320">
        <v>175</v>
      </c>
      <c r="BQ20" s="320">
        <f t="shared" si="46"/>
        <v>80</v>
      </c>
      <c r="BR20" s="320">
        <f t="shared" si="47"/>
        <v>185</v>
      </c>
      <c r="BS20" s="320">
        <f t="shared" si="48"/>
        <v>170</v>
      </c>
      <c r="BT20" s="320">
        <f t="shared" si="49"/>
        <v>140</v>
      </c>
      <c r="BU20" s="320">
        <f t="shared" si="50"/>
        <v>131</v>
      </c>
      <c r="BV20" s="320">
        <f t="shared" si="51"/>
        <v>103</v>
      </c>
      <c r="BW20" s="320">
        <f t="shared" si="52"/>
        <v>84</v>
      </c>
      <c r="BX20" s="320">
        <f t="shared" si="53"/>
        <v>89</v>
      </c>
      <c r="BY20" s="320">
        <f t="shared" si="54"/>
        <v>114</v>
      </c>
      <c r="BZ20" s="320">
        <f t="shared" si="55"/>
        <v>305</v>
      </c>
      <c r="CA20" s="320">
        <f t="shared" si="56"/>
        <v>362</v>
      </c>
      <c r="CB20" s="320">
        <f t="shared" si="57"/>
        <v>361.13618250000007</v>
      </c>
      <c r="CC20" s="320">
        <f t="shared" si="58"/>
        <v>352.5981223721252</v>
      </c>
      <c r="CD20" s="320">
        <f t="shared" si="59"/>
        <v>341.14769658322882</v>
      </c>
      <c r="CE20" s="320">
        <f t="shared" si="60"/>
        <v>342.24340212219522</v>
      </c>
      <c r="CF20" s="320">
        <f t="shared" si="61"/>
        <v>322.36896829466286</v>
      </c>
    </row>
    <row r="21" spans="1:84" s="321" customFormat="1" ht="13" customHeight="1">
      <c r="A21" s="323" t="s">
        <v>12</v>
      </c>
      <c r="B21" s="324">
        <f t="shared" ref="B21:AR21" si="68">B14+SUM(B16:B20)</f>
        <v>4646</v>
      </c>
      <c r="C21" s="324">
        <f t="shared" si="68"/>
        <v>4245</v>
      </c>
      <c r="D21" s="324">
        <f t="shared" si="68"/>
        <v>4494</v>
      </c>
      <c r="E21" s="324">
        <f t="shared" si="68"/>
        <v>4727</v>
      </c>
      <c r="F21" s="324">
        <f t="shared" si="68"/>
        <v>4928</v>
      </c>
      <c r="G21" s="324">
        <f t="shared" si="68"/>
        <v>4355</v>
      </c>
      <c r="H21" s="324">
        <f t="shared" si="68"/>
        <v>5435</v>
      </c>
      <c r="I21" s="324">
        <f t="shared" si="68"/>
        <v>5696</v>
      </c>
      <c r="J21" s="324">
        <f t="shared" si="68"/>
        <v>5491</v>
      </c>
      <c r="K21" s="324">
        <f t="shared" si="68"/>
        <v>4825</v>
      </c>
      <c r="L21" s="324">
        <f t="shared" si="68"/>
        <v>5191</v>
      </c>
      <c r="M21" s="324">
        <f t="shared" si="68"/>
        <v>5039</v>
      </c>
      <c r="N21" s="324">
        <f t="shared" si="68"/>
        <v>5070</v>
      </c>
      <c r="O21" s="324">
        <f t="shared" ref="O21:T21" si="69">O14+SUM(O16:O20)</f>
        <v>4605</v>
      </c>
      <c r="P21" s="324">
        <f t="shared" si="69"/>
        <v>5036</v>
      </c>
      <c r="Q21" s="324">
        <f t="shared" si="69"/>
        <v>5573</v>
      </c>
      <c r="R21" s="324">
        <f t="shared" si="69"/>
        <v>5716</v>
      </c>
      <c r="S21" s="324">
        <f t="shared" si="69"/>
        <v>5476</v>
      </c>
      <c r="T21" s="324">
        <f t="shared" si="69"/>
        <v>6031</v>
      </c>
      <c r="U21" s="324">
        <f t="shared" si="68"/>
        <v>6167</v>
      </c>
      <c r="V21" s="324">
        <f t="shared" si="68"/>
        <v>6147</v>
      </c>
      <c r="W21" s="324">
        <f t="shared" si="68"/>
        <v>5721</v>
      </c>
      <c r="X21" s="324">
        <f t="shared" si="68"/>
        <v>6000</v>
      </c>
      <c r="Y21" s="324">
        <f t="shared" si="68"/>
        <v>6470</v>
      </c>
      <c r="Z21" s="324">
        <f t="shared" si="68"/>
        <v>7050</v>
      </c>
      <c r="AA21" s="324">
        <f t="shared" si="68"/>
        <v>6605</v>
      </c>
      <c r="AB21" s="324">
        <f t="shared" si="68"/>
        <v>6892</v>
      </c>
      <c r="AC21" s="324">
        <f t="shared" si="68"/>
        <v>7719</v>
      </c>
      <c r="AD21" s="324">
        <f t="shared" si="68"/>
        <v>7718</v>
      </c>
      <c r="AE21" s="324">
        <f t="shared" si="68"/>
        <v>7375</v>
      </c>
      <c r="AF21" s="324">
        <f t="shared" si="68"/>
        <v>7922</v>
      </c>
      <c r="AG21" s="324">
        <f t="shared" si="68"/>
        <v>8642</v>
      </c>
      <c r="AH21" s="324">
        <f t="shared" si="68"/>
        <v>8584</v>
      </c>
      <c r="AI21" s="324">
        <f t="shared" si="68"/>
        <v>8247</v>
      </c>
      <c r="AJ21" s="324">
        <f t="shared" si="68"/>
        <v>8450</v>
      </c>
      <c r="AK21" s="324">
        <f t="shared" si="68"/>
        <v>8857</v>
      </c>
      <c r="AL21" s="324">
        <f t="shared" si="68"/>
        <v>8957</v>
      </c>
      <c r="AM21" s="324">
        <f t="shared" si="68"/>
        <v>9749</v>
      </c>
      <c r="AN21" s="324">
        <f t="shared" si="68"/>
        <v>10593</v>
      </c>
      <c r="AO21" s="324">
        <f t="shared" si="68"/>
        <v>11161</v>
      </c>
      <c r="AP21" s="324">
        <f t="shared" si="68"/>
        <v>11112</v>
      </c>
      <c r="AQ21" s="324">
        <f t="shared" si="68"/>
        <v>11284</v>
      </c>
      <c r="AR21" s="324">
        <f t="shared" si="68"/>
        <v>11470</v>
      </c>
      <c r="AS21" s="324">
        <f t="shared" ref="AS21:AX21" si="70">AS14+SUM(AS16:AS20)</f>
        <v>12420</v>
      </c>
      <c r="AT21" s="324">
        <f t="shared" si="70"/>
        <v>13288</v>
      </c>
      <c r="AU21" s="324">
        <f t="shared" si="70"/>
        <v>12734</v>
      </c>
      <c r="AV21" s="324">
        <f t="shared" si="70"/>
        <v>13019</v>
      </c>
      <c r="AW21" s="324">
        <f t="shared" si="70"/>
        <v>14000.031416526164</v>
      </c>
      <c r="AX21" s="324">
        <f t="shared" si="70"/>
        <v>14105.160121115898</v>
      </c>
      <c r="AY21" s="324">
        <f>AY14+SUM(AY16:AY20)</f>
        <v>13429.377427810592</v>
      </c>
      <c r="AZ21" s="324">
        <f>AZ14+SUM(AZ16:AZ20)</f>
        <v>13308.06641616872</v>
      </c>
      <c r="BA21" s="324">
        <f>BA14+SUM(BA16:BA20)</f>
        <v>14328.412147623074</v>
      </c>
      <c r="BB21" s="324">
        <f>BB14+SUM(BB16:BB20)</f>
        <v>14743.011011814224</v>
      </c>
      <c r="BC21" s="324">
        <f t="shared" ref="BC21:BN21" si="71">BC14+SUM(BC16:BC20)</f>
        <v>14434.454336710318</v>
      </c>
      <c r="BD21" s="324">
        <f t="shared" si="71"/>
        <v>14764.572645641128</v>
      </c>
      <c r="BE21" s="324">
        <f t="shared" si="71"/>
        <v>16312.59708333352</v>
      </c>
      <c r="BF21" s="324">
        <f t="shared" si="71"/>
        <v>16793.258078594219</v>
      </c>
      <c r="BG21" s="324">
        <f t="shared" si="71"/>
        <v>16498.264725281038</v>
      </c>
      <c r="BH21" s="324">
        <f t="shared" si="71"/>
        <v>17151.098143034771</v>
      </c>
      <c r="BI21" s="324">
        <f t="shared" si="71"/>
        <v>18781.821419399283</v>
      </c>
      <c r="BJ21" s="324">
        <f t="shared" si="71"/>
        <v>19284.94213850201</v>
      </c>
      <c r="BK21" s="324">
        <f t="shared" si="71"/>
        <v>18953.553405266633</v>
      </c>
      <c r="BL21" s="324">
        <f t="shared" si="71"/>
        <v>19360.473130903658</v>
      </c>
      <c r="BM21" s="324">
        <f t="shared" si="71"/>
        <v>21156.559816790093</v>
      </c>
      <c r="BN21" s="324">
        <f t="shared" si="71"/>
        <v>21739.909382121012</v>
      </c>
      <c r="BO21" s="324"/>
      <c r="BP21" s="325">
        <v>4646</v>
      </c>
      <c r="BQ21" s="325">
        <f t="shared" si="46"/>
        <v>4928</v>
      </c>
      <c r="BR21" s="325">
        <f t="shared" si="47"/>
        <v>5491</v>
      </c>
      <c r="BS21" s="325">
        <f t="shared" si="48"/>
        <v>5070</v>
      </c>
      <c r="BT21" s="325">
        <f t="shared" si="49"/>
        <v>5716</v>
      </c>
      <c r="BU21" s="325">
        <f t="shared" si="50"/>
        <v>6147</v>
      </c>
      <c r="BV21" s="325">
        <f t="shared" si="51"/>
        <v>7050</v>
      </c>
      <c r="BW21" s="325">
        <f t="shared" si="52"/>
        <v>7718</v>
      </c>
      <c r="BX21" s="325">
        <f t="shared" si="53"/>
        <v>8584</v>
      </c>
      <c r="BY21" s="325">
        <f t="shared" si="54"/>
        <v>8957</v>
      </c>
      <c r="BZ21" s="325">
        <f t="shared" si="55"/>
        <v>11112</v>
      </c>
      <c r="CA21" s="325">
        <f t="shared" si="56"/>
        <v>13288</v>
      </c>
      <c r="CB21" s="325">
        <f t="shared" si="57"/>
        <v>14105.160121115898</v>
      </c>
      <c r="CC21" s="325">
        <f t="shared" si="58"/>
        <v>14743.011011814224</v>
      </c>
      <c r="CD21" s="325">
        <f t="shared" si="59"/>
        <v>16793.258078594219</v>
      </c>
      <c r="CE21" s="325">
        <f t="shared" si="60"/>
        <v>19284.94213850201</v>
      </c>
      <c r="CF21" s="325">
        <f t="shared" si="61"/>
        <v>21739.909382121012</v>
      </c>
    </row>
    <row r="22" spans="1:84" s="328" customFormat="1" ht="13" customHeight="1">
      <c r="A22" s="326"/>
      <c r="B22" s="326"/>
      <c r="C22" s="326"/>
      <c r="D22" s="326"/>
      <c r="E22" s="326"/>
      <c r="F22" s="326"/>
      <c r="G22" s="326"/>
      <c r="H22" s="326"/>
      <c r="I22" s="326"/>
      <c r="J22" s="326"/>
      <c r="K22" s="326"/>
      <c r="L22" s="326"/>
      <c r="M22" s="326"/>
      <c r="N22" s="326"/>
      <c r="O22" s="326"/>
      <c r="P22" s="326"/>
      <c r="Q22" s="326"/>
      <c r="R22" s="326"/>
      <c r="S22" s="326"/>
      <c r="T22" s="326"/>
      <c r="U22" s="326"/>
      <c r="V22" s="326"/>
      <c r="W22" s="326"/>
      <c r="X22" s="326"/>
      <c r="Y22" s="326"/>
      <c r="Z22" s="326"/>
      <c r="AA22" s="326"/>
      <c r="AB22" s="326"/>
      <c r="AC22" s="326"/>
      <c r="AD22" s="326"/>
      <c r="AE22" s="326"/>
      <c r="AF22" s="326"/>
      <c r="AG22" s="326"/>
      <c r="AH22" s="326"/>
      <c r="AI22" s="326"/>
      <c r="AJ22" s="326"/>
      <c r="AK22" s="326"/>
      <c r="AL22" s="326"/>
      <c r="AM22" s="326"/>
      <c r="AN22" s="326"/>
      <c r="AO22" s="326"/>
      <c r="AP22" s="326"/>
      <c r="AQ22" s="326"/>
      <c r="AR22" s="326"/>
      <c r="AS22" s="326"/>
      <c r="AT22" s="326"/>
      <c r="AU22" s="326"/>
      <c r="AV22" s="318"/>
      <c r="AW22" s="318"/>
      <c r="AX22" s="326"/>
      <c r="AY22" s="326"/>
      <c r="AZ22" s="326"/>
      <c r="BA22" s="326"/>
      <c r="BB22" s="326"/>
      <c r="BC22" s="326"/>
      <c r="BD22" s="326"/>
      <c r="BE22" s="326"/>
      <c r="BF22" s="326"/>
      <c r="BG22" s="326"/>
      <c r="BH22" s="326"/>
      <c r="BI22" s="326"/>
      <c r="BJ22" s="326"/>
      <c r="BK22" s="326"/>
      <c r="BL22" s="326"/>
      <c r="BM22" s="326"/>
      <c r="BN22" s="326"/>
      <c r="BO22" s="326"/>
      <c r="BP22" s="326"/>
      <c r="BQ22" s="326"/>
      <c r="BR22" s="326"/>
      <c r="BS22" s="326"/>
      <c r="BT22" s="326"/>
      <c r="BU22" s="326"/>
      <c r="BV22" s="326"/>
      <c r="BW22" s="326"/>
      <c r="BX22" s="326"/>
      <c r="BY22" s="326"/>
      <c r="BZ22" s="326"/>
      <c r="CA22" s="326"/>
      <c r="CB22" s="326"/>
      <c r="CC22" s="326"/>
      <c r="CD22" s="326"/>
      <c r="CE22" s="326"/>
      <c r="CF22" s="326"/>
    </row>
    <row r="23" spans="1:84" s="321" customFormat="1" ht="13" customHeight="1">
      <c r="A23" s="318" t="s">
        <v>13</v>
      </c>
      <c r="B23" s="322">
        <v>91</v>
      </c>
      <c r="C23" s="322">
        <v>55</v>
      </c>
      <c r="D23" s="322">
        <v>205</v>
      </c>
      <c r="E23" s="322">
        <v>162</v>
      </c>
      <c r="F23" s="322">
        <v>228</v>
      </c>
      <c r="G23" s="322">
        <v>91</v>
      </c>
      <c r="H23" s="322">
        <v>213</v>
      </c>
      <c r="I23" s="322">
        <v>112</v>
      </c>
      <c r="J23" s="322">
        <v>215</v>
      </c>
      <c r="K23" s="322">
        <v>50</v>
      </c>
      <c r="L23" s="322">
        <v>219</v>
      </c>
      <c r="M23" s="322">
        <v>93</v>
      </c>
      <c r="N23" s="322">
        <v>136</v>
      </c>
      <c r="O23" s="322">
        <v>48</v>
      </c>
      <c r="P23" s="322">
        <v>208</v>
      </c>
      <c r="Q23" s="322">
        <v>137</v>
      </c>
      <c r="R23" s="322">
        <v>119</v>
      </c>
      <c r="S23" s="322">
        <v>69</v>
      </c>
      <c r="T23" s="322">
        <v>191</v>
      </c>
      <c r="U23" s="322">
        <v>77</v>
      </c>
      <c r="V23" s="322">
        <v>68</v>
      </c>
      <c r="W23" s="322">
        <v>43</v>
      </c>
      <c r="X23" s="322">
        <v>188</v>
      </c>
      <c r="Y23" s="322">
        <v>128</v>
      </c>
      <c r="Z23" s="322">
        <v>89</v>
      </c>
      <c r="AA23" s="322">
        <v>44</v>
      </c>
      <c r="AB23" s="322">
        <v>206</v>
      </c>
      <c r="AC23" s="322">
        <v>65</v>
      </c>
      <c r="AD23" s="322">
        <v>87</v>
      </c>
      <c r="AE23" s="322">
        <v>38</v>
      </c>
      <c r="AF23" s="322">
        <v>187</v>
      </c>
      <c r="AG23" s="322">
        <v>91</v>
      </c>
      <c r="AH23" s="322">
        <v>48</v>
      </c>
      <c r="AI23" s="322">
        <v>47</v>
      </c>
      <c r="AJ23" s="322">
        <v>168</v>
      </c>
      <c r="AK23" s="322">
        <v>70</v>
      </c>
      <c r="AL23" s="322">
        <v>113</v>
      </c>
      <c r="AM23" s="322">
        <v>56</v>
      </c>
      <c r="AN23" s="322">
        <v>148</v>
      </c>
      <c r="AO23" s="322">
        <v>61</v>
      </c>
      <c r="AP23" s="322">
        <v>68</v>
      </c>
      <c r="AQ23" s="322">
        <v>51</v>
      </c>
      <c r="AR23" s="322">
        <v>164</v>
      </c>
      <c r="AS23" s="322">
        <v>89</v>
      </c>
      <c r="AT23" s="322">
        <v>96</v>
      </c>
      <c r="AU23" s="322">
        <v>73</v>
      </c>
      <c r="AV23" s="322">
        <v>136</v>
      </c>
      <c r="AW23" s="319">
        <f>AV23+CF!AW16</f>
        <v>167.94211382978727</v>
      </c>
      <c r="AX23" s="319">
        <f>AW23+CF!AX16</f>
        <v>115.64794630872478</v>
      </c>
      <c r="AY23" s="319">
        <f>AX23+CF!AY16</f>
        <v>83.221420562734409</v>
      </c>
      <c r="AZ23" s="319">
        <f>AY23+CF!AZ16</f>
        <v>143.62220918882394</v>
      </c>
      <c r="BA23" s="319">
        <f>AZ23+CF!BA16</f>
        <v>183.72278348804971</v>
      </c>
      <c r="BB23" s="319">
        <f>BA23+CF!BB16</f>
        <v>110.96759674994054</v>
      </c>
      <c r="BC23" s="319">
        <f>BB23+CF!BC16</f>
        <v>83.03826245419873</v>
      </c>
      <c r="BD23" s="319">
        <f>BC23+CF!BD16</f>
        <v>148.6015392839287</v>
      </c>
      <c r="BE23" s="319">
        <f>BD23+CF!BE16</f>
        <v>188.26592243290773</v>
      </c>
      <c r="BF23" s="319">
        <f>BE23+CF!BF16</f>
        <v>115.8654354708318</v>
      </c>
      <c r="BG23" s="319">
        <f>BF23+CF!BG16</f>
        <v>87.108354841700816</v>
      </c>
      <c r="BH23" s="319">
        <f>BG23+CF!BH16</f>
        <v>181.1373062158919</v>
      </c>
      <c r="BI23" s="319">
        <f>BH23+CF!BI16</f>
        <v>202.52598742415805</v>
      </c>
      <c r="BJ23" s="319">
        <f>BI23+CF!BJ16</f>
        <v>123.79161003438004</v>
      </c>
      <c r="BK23" s="319">
        <f>BJ23+CF!BK16</f>
        <v>92.753013333309298</v>
      </c>
      <c r="BL23" s="319">
        <f>BK23+CF!BL16</f>
        <v>164.80920096048638</v>
      </c>
      <c r="BM23" s="319">
        <f>BL23+CF!BM16</f>
        <v>208.2924867815527</v>
      </c>
      <c r="BN23" s="319">
        <f>BM23+CF!BN16</f>
        <v>130.05260543715383</v>
      </c>
      <c r="BO23" s="319"/>
      <c r="BP23" s="320">
        <v>91</v>
      </c>
      <c r="BQ23" s="320">
        <f>F23</f>
        <v>228</v>
      </c>
      <c r="BR23" s="320">
        <f>J23</f>
        <v>215</v>
      </c>
      <c r="BS23" s="320">
        <f>N23</f>
        <v>136</v>
      </c>
      <c r="BT23" s="320">
        <f>R23</f>
        <v>119</v>
      </c>
      <c r="BU23" s="320">
        <f>V23</f>
        <v>68</v>
      </c>
      <c r="BV23" s="320">
        <f>Z23</f>
        <v>89</v>
      </c>
      <c r="BW23" s="320">
        <f>AD23</f>
        <v>87</v>
      </c>
      <c r="BX23" s="320">
        <f>AH23</f>
        <v>48</v>
      </c>
      <c r="BY23" s="320">
        <f>AL23</f>
        <v>113</v>
      </c>
      <c r="BZ23" s="320">
        <f>AP23</f>
        <v>68</v>
      </c>
      <c r="CA23" s="320">
        <f>AT23</f>
        <v>96</v>
      </c>
      <c r="CB23" s="320">
        <f>AX23</f>
        <v>115.64794630872478</v>
      </c>
      <c r="CC23" s="320">
        <f>BB23</f>
        <v>110.96759674994054</v>
      </c>
      <c r="CD23" s="320">
        <f>BF23</f>
        <v>115.8654354708318</v>
      </c>
      <c r="CE23" s="320">
        <f>BJ23</f>
        <v>123.79161003438004</v>
      </c>
      <c r="CF23" s="320">
        <f>BN23</f>
        <v>130.05260543715383</v>
      </c>
    </row>
    <row r="24" spans="1:84" s="321" customFormat="1" ht="13" customHeight="1">
      <c r="A24" s="318" t="s">
        <v>133</v>
      </c>
      <c r="B24" s="322">
        <v>717</v>
      </c>
      <c r="C24" s="322">
        <v>620</v>
      </c>
      <c r="D24" s="322">
        <v>620</v>
      </c>
      <c r="E24" s="322">
        <v>746</v>
      </c>
      <c r="F24" s="322">
        <v>768</v>
      </c>
      <c r="G24" s="322">
        <v>604</v>
      </c>
      <c r="H24" s="322">
        <v>792</v>
      </c>
      <c r="I24" s="322">
        <v>846</v>
      </c>
      <c r="J24" s="322">
        <v>857</v>
      </c>
      <c r="K24" s="322">
        <v>702</v>
      </c>
      <c r="L24" s="322">
        <v>874</v>
      </c>
      <c r="M24" s="322">
        <v>840</v>
      </c>
      <c r="N24" s="322">
        <v>737</v>
      </c>
      <c r="O24" s="322">
        <v>588</v>
      </c>
      <c r="P24" s="322">
        <v>708</v>
      </c>
      <c r="Q24" s="322">
        <v>823</v>
      </c>
      <c r="R24" s="322">
        <v>781</v>
      </c>
      <c r="S24" s="322">
        <v>666</v>
      </c>
      <c r="T24" s="322">
        <v>915</v>
      </c>
      <c r="U24" s="322">
        <f>813</f>
        <v>813</v>
      </c>
      <c r="V24" s="322">
        <v>794</v>
      </c>
      <c r="W24" s="322">
        <v>603</v>
      </c>
      <c r="X24" s="322">
        <v>802</v>
      </c>
      <c r="Y24" s="322">
        <v>840</v>
      </c>
      <c r="Z24" s="322">
        <v>710</v>
      </c>
      <c r="AA24" s="322">
        <v>597</v>
      </c>
      <c r="AB24" s="322">
        <v>777</v>
      </c>
      <c r="AC24" s="322">
        <v>901</v>
      </c>
      <c r="AD24" s="322">
        <v>789</v>
      </c>
      <c r="AE24" s="322">
        <v>709</v>
      </c>
      <c r="AF24" s="322">
        <v>969</v>
      </c>
      <c r="AG24" s="322">
        <v>1070</v>
      </c>
      <c r="AH24" s="322">
        <v>821</v>
      </c>
      <c r="AI24" s="322">
        <v>765</v>
      </c>
      <c r="AJ24" s="322">
        <v>907</v>
      </c>
      <c r="AK24" s="322">
        <v>1092</v>
      </c>
      <c r="AL24" s="322">
        <v>1052</v>
      </c>
      <c r="AM24" s="322">
        <v>915</v>
      </c>
      <c r="AN24" s="322">
        <v>1024</v>
      </c>
      <c r="AO24" s="322">
        <v>1204</v>
      </c>
      <c r="AP24" s="322">
        <v>1052</v>
      </c>
      <c r="AQ24" s="322">
        <v>1040</v>
      </c>
      <c r="AR24" s="322">
        <v>1083</v>
      </c>
      <c r="AS24" s="322">
        <v>1423</v>
      </c>
      <c r="AT24" s="322">
        <v>1341</v>
      </c>
      <c r="AU24" s="322">
        <v>1093</v>
      </c>
      <c r="AV24" s="322">
        <v>1119</v>
      </c>
      <c r="AW24" s="319">
        <f>AV24+CF!AW17</f>
        <v>1482.077359010759</v>
      </c>
      <c r="AX24" s="319">
        <f>AW24+CF!AX17</f>
        <v>1798.9733311014118</v>
      </c>
      <c r="AY24" s="319">
        <f>AX24+CF!AY17</f>
        <v>1460.7027409770103</v>
      </c>
      <c r="AZ24" s="319">
        <f>AY24+CF!AZ17</f>
        <v>1308.5588535040283</v>
      </c>
      <c r="BA24" s="319">
        <f>AZ24+CF!BA17</f>
        <v>1677.6810929088845</v>
      </c>
      <c r="BB24" s="319">
        <f>BA24+CF!BB17</f>
        <v>1888.6468952252787</v>
      </c>
      <c r="BC24" s="319">
        <f>BB24+CF!BC17</f>
        <v>1493.8884904098293</v>
      </c>
      <c r="BD24" s="319">
        <f>BC24+CF!BD17</f>
        <v>1349.4702257507286</v>
      </c>
      <c r="BE24" s="319">
        <f>BD24+CF!BE17</f>
        <v>1753.8573952828103</v>
      </c>
      <c r="BF24" s="319">
        <f>BE24+CF!BF17</f>
        <v>1976.0490217272102</v>
      </c>
      <c r="BG24" s="319">
        <f>BF24+CF!BG17</f>
        <v>1553.7003339443313</v>
      </c>
      <c r="BH24" s="319">
        <f>BG24+CF!BH17</f>
        <v>1542.996189266659</v>
      </c>
      <c r="BI24" s="319">
        <f>BH24+CF!BI17</f>
        <v>1951.4425232563744</v>
      </c>
      <c r="BJ24" s="319">
        <f>BI24+CF!BJ17</f>
        <v>2158.0510572623239</v>
      </c>
      <c r="BK24" s="319">
        <f>BJ24+CF!BK17</f>
        <v>1665.2458367208169</v>
      </c>
      <c r="BL24" s="319">
        <f>BK24+CF!BL17</f>
        <v>1498.5566529050438</v>
      </c>
      <c r="BM24" s="319">
        <f>BL24+CF!BM17</f>
        <v>1996.1104836667846</v>
      </c>
      <c r="BN24" s="319">
        <f>BM24+CF!BN17</f>
        <v>2230.3573679376291</v>
      </c>
      <c r="BO24" s="319"/>
      <c r="BP24" s="320">
        <v>717</v>
      </c>
      <c r="BQ24" s="320">
        <f>F24</f>
        <v>768</v>
      </c>
      <c r="BR24" s="320">
        <f>J24</f>
        <v>857</v>
      </c>
      <c r="BS24" s="320">
        <f>N24</f>
        <v>737</v>
      </c>
      <c r="BT24" s="320">
        <f>R24</f>
        <v>781</v>
      </c>
      <c r="BU24" s="320">
        <f>V24</f>
        <v>794</v>
      </c>
      <c r="BV24" s="320">
        <f>Z24</f>
        <v>710</v>
      </c>
      <c r="BW24" s="320">
        <f>AD24</f>
        <v>789</v>
      </c>
      <c r="BX24" s="320">
        <f>AH24</f>
        <v>821</v>
      </c>
      <c r="BY24" s="320">
        <f>AL24</f>
        <v>1052</v>
      </c>
      <c r="BZ24" s="320">
        <f>AP24</f>
        <v>1052</v>
      </c>
      <c r="CA24" s="320">
        <f>AT24</f>
        <v>1341</v>
      </c>
      <c r="CB24" s="320">
        <f>AX24</f>
        <v>1798.9733311014118</v>
      </c>
      <c r="CC24" s="320">
        <f>BB24</f>
        <v>1888.6468952252787</v>
      </c>
      <c r="CD24" s="320">
        <f>BF24</f>
        <v>1976.0490217272102</v>
      </c>
      <c r="CE24" s="320">
        <f>BJ24</f>
        <v>2158.0510572623239</v>
      </c>
      <c r="CF24" s="320">
        <f>BN24</f>
        <v>2230.3573679376291</v>
      </c>
    </row>
    <row r="25" spans="1:84" s="321" customFormat="1" ht="13" customHeight="1">
      <c r="A25" s="318" t="s">
        <v>132</v>
      </c>
      <c r="B25" s="322">
        <v>766</v>
      </c>
      <c r="C25" s="322">
        <v>490</v>
      </c>
      <c r="D25" s="322">
        <v>743</v>
      </c>
      <c r="E25" s="322">
        <v>1100</v>
      </c>
      <c r="F25" s="322">
        <v>1005</v>
      </c>
      <c r="G25" s="322">
        <v>530</v>
      </c>
      <c r="H25" s="322">
        <v>849</v>
      </c>
      <c r="I25" s="322">
        <v>1439</v>
      </c>
      <c r="J25" s="322">
        <v>1048</v>
      </c>
      <c r="K25" s="322">
        <v>584</v>
      </c>
      <c r="L25" s="322">
        <v>953</v>
      </c>
      <c r="M25" s="322">
        <v>1213</v>
      </c>
      <c r="N25" s="322">
        <v>1044</v>
      </c>
      <c r="O25" s="322">
        <v>590</v>
      </c>
      <c r="P25" s="322">
        <v>935</v>
      </c>
      <c r="Q25" s="322">
        <v>1699</v>
      </c>
      <c r="R25" s="322">
        <v>1490</v>
      </c>
      <c r="S25" s="322">
        <v>1051</v>
      </c>
      <c r="T25" s="322">
        <v>1281</v>
      </c>
      <c r="U25" s="322">
        <v>1583</v>
      </c>
      <c r="V25" s="322">
        <v>1283</v>
      </c>
      <c r="W25" s="322">
        <v>775</v>
      </c>
      <c r="X25" s="322">
        <v>1113</v>
      </c>
      <c r="Y25" s="322">
        <v>1844</v>
      </c>
      <c r="Z25" s="322">
        <v>1458</v>
      </c>
      <c r="AA25" s="322">
        <v>873</v>
      </c>
      <c r="AB25" s="322">
        <v>1067</v>
      </c>
      <c r="AC25" s="322">
        <v>1971</v>
      </c>
      <c r="AD25" s="322">
        <v>1539</v>
      </c>
      <c r="AE25" s="322">
        <v>882</v>
      </c>
      <c r="AF25" s="322">
        <v>1116</v>
      </c>
      <c r="AG25" s="322">
        <v>1946</v>
      </c>
      <c r="AH25" s="322">
        <v>1622</v>
      </c>
      <c r="AI25" s="322">
        <v>652</v>
      </c>
      <c r="AJ25" s="322">
        <v>574</v>
      </c>
      <c r="AK25" s="322">
        <v>928</v>
      </c>
      <c r="AL25" s="322">
        <v>1100</v>
      </c>
      <c r="AM25" s="322">
        <v>679</v>
      </c>
      <c r="AN25" s="322">
        <v>646</v>
      </c>
      <c r="AO25" s="322">
        <v>1073</v>
      </c>
      <c r="AP25" s="322">
        <v>945</v>
      </c>
      <c r="AQ25" s="322">
        <v>878</v>
      </c>
      <c r="AR25" s="322">
        <v>639</v>
      </c>
      <c r="AS25" s="322">
        <v>1380</v>
      </c>
      <c r="AT25" s="322">
        <v>1527</v>
      </c>
      <c r="AU25" s="322">
        <v>1305</v>
      </c>
      <c r="AV25" s="322">
        <v>1322</v>
      </c>
      <c r="AW25" s="319">
        <f>AV25+CF!AW19</f>
        <v>2217.6717500000004</v>
      </c>
      <c r="AX25" s="319">
        <f>AW25+CF!AX19</f>
        <v>2206.9433374999999</v>
      </c>
      <c r="AY25" s="319">
        <f>AX25+CF!AY19</f>
        <v>1650.2912343106748</v>
      </c>
      <c r="AZ25" s="319">
        <f>AY25+CF!AZ19</f>
        <v>1462.0387786006947</v>
      </c>
      <c r="BA25" s="319">
        <f>AZ25+CF!BA19</f>
        <v>2362.5747419519621</v>
      </c>
      <c r="BB25" s="319">
        <f>BA25+CF!BB19</f>
        <v>2181.0613419942993</v>
      </c>
      <c r="BC25" s="319">
        <f>BB25+CF!BC19</f>
        <v>1587.8875957213268</v>
      </c>
      <c r="BD25" s="319">
        <f>BC25+CF!BD19</f>
        <v>1416.3104261178114</v>
      </c>
      <c r="BE25" s="319">
        <f>BD25+CF!BE19</f>
        <v>2325.2161508101176</v>
      </c>
      <c r="BF25" s="319">
        <f>BE25+CF!BF19</f>
        <v>2148.7015773168482</v>
      </c>
      <c r="BG25" s="319">
        <f>BF25+CF!BG19</f>
        <v>1552.8788796642016</v>
      </c>
      <c r="BH25" s="319">
        <f>BG25+CF!BH19</f>
        <v>1519.900513591715</v>
      </c>
      <c r="BI25" s="319">
        <f>BH25+CF!BI19</f>
        <v>2436.1963918613578</v>
      </c>
      <c r="BJ25" s="319">
        <f>BI25+CF!BJ19</f>
        <v>2209.8570268726326</v>
      </c>
      <c r="BK25" s="319">
        <f>BJ25+CF!BK19</f>
        <v>1563.9714669794441</v>
      </c>
      <c r="BL25" s="319">
        <f>BK25+CF!BL19</f>
        <v>1384.0118720222019</v>
      </c>
      <c r="BM25" s="319">
        <f>BL25+CF!BM19</f>
        <v>2346.7974976630576</v>
      </c>
      <c r="BN25" s="319">
        <f>BM25+CF!BN19</f>
        <v>2150.8822775651524</v>
      </c>
      <c r="BO25" s="319"/>
      <c r="BP25" s="320">
        <v>766</v>
      </c>
      <c r="BQ25" s="320">
        <f>F25</f>
        <v>1005</v>
      </c>
      <c r="BR25" s="320">
        <f>J25</f>
        <v>1048</v>
      </c>
      <c r="BS25" s="320">
        <f>N25</f>
        <v>1044</v>
      </c>
      <c r="BT25" s="320">
        <f>R25</f>
        <v>1490</v>
      </c>
      <c r="BU25" s="320">
        <f>V25</f>
        <v>1283</v>
      </c>
      <c r="BV25" s="320">
        <f>Z25</f>
        <v>1458</v>
      </c>
      <c r="BW25" s="320">
        <f>AD25</f>
        <v>1539</v>
      </c>
      <c r="BX25" s="320">
        <f>AH25</f>
        <v>1622</v>
      </c>
      <c r="BY25" s="320">
        <f>AL25</f>
        <v>1100</v>
      </c>
      <c r="BZ25" s="320">
        <f>AP25</f>
        <v>945</v>
      </c>
      <c r="CA25" s="320">
        <f>AT25</f>
        <v>1527</v>
      </c>
      <c r="CB25" s="320">
        <f>AX25</f>
        <v>2206.9433374999999</v>
      </c>
      <c r="CC25" s="320">
        <f>BB25</f>
        <v>2181.0613419942993</v>
      </c>
      <c r="CD25" s="320">
        <f>BF25</f>
        <v>2148.7015773168482</v>
      </c>
      <c r="CE25" s="320">
        <f>BJ25</f>
        <v>2209.8570268726326</v>
      </c>
      <c r="CF25" s="320">
        <f>BN25</f>
        <v>2150.8822775651524</v>
      </c>
    </row>
    <row r="26" spans="1:84" s="321" customFormat="1" ht="13" customHeight="1">
      <c r="A26" s="318" t="s">
        <v>135</v>
      </c>
      <c r="B26" s="322">
        <v>0</v>
      </c>
      <c r="C26" s="322">
        <v>0</v>
      </c>
      <c r="D26" s="322">
        <v>0</v>
      </c>
      <c r="E26" s="322">
        <v>0</v>
      </c>
      <c r="F26" s="322">
        <v>0</v>
      </c>
      <c r="G26" s="322">
        <v>0</v>
      </c>
      <c r="H26" s="322">
        <v>0</v>
      </c>
      <c r="I26" s="322">
        <v>0</v>
      </c>
      <c r="J26" s="322">
        <v>0</v>
      </c>
      <c r="K26" s="322">
        <v>0</v>
      </c>
      <c r="L26" s="322">
        <v>0</v>
      </c>
      <c r="M26" s="322">
        <v>0</v>
      </c>
      <c r="N26" s="322">
        <v>0</v>
      </c>
      <c r="O26" s="322">
        <v>0</v>
      </c>
      <c r="P26" s="322">
        <v>0</v>
      </c>
      <c r="Q26" s="322">
        <v>0</v>
      </c>
      <c r="R26" s="322">
        <v>0</v>
      </c>
      <c r="S26" s="322">
        <v>0</v>
      </c>
      <c r="T26" s="322">
        <v>0</v>
      </c>
      <c r="U26" s="322">
        <f>596</f>
        <v>596</v>
      </c>
      <c r="V26" s="322">
        <v>602</v>
      </c>
      <c r="W26" s="322">
        <v>608</v>
      </c>
      <c r="X26" s="322">
        <v>422</v>
      </c>
      <c r="Y26" s="322">
        <v>333</v>
      </c>
      <c r="Z26" s="322">
        <v>161</v>
      </c>
      <c r="AA26" s="322">
        <v>136</v>
      </c>
      <c r="AB26" s="322">
        <v>0</v>
      </c>
      <c r="AC26" s="322">
        <v>0</v>
      </c>
      <c r="AD26" s="322">
        <v>0</v>
      </c>
      <c r="AE26" s="322">
        <v>0</v>
      </c>
      <c r="AF26" s="322">
        <v>0</v>
      </c>
      <c r="AG26" s="322">
        <v>0</v>
      </c>
      <c r="AH26" s="322">
        <v>0</v>
      </c>
      <c r="AI26" s="322">
        <v>0</v>
      </c>
      <c r="AJ26" s="322">
        <v>0</v>
      </c>
      <c r="AK26" s="322">
        <v>0</v>
      </c>
      <c r="AL26" s="322">
        <v>0</v>
      </c>
      <c r="AM26" s="322">
        <v>0</v>
      </c>
      <c r="AN26" s="322">
        <v>0</v>
      </c>
      <c r="AO26" s="322">
        <v>0</v>
      </c>
      <c r="AP26" s="322">
        <v>599</v>
      </c>
      <c r="AQ26" s="322">
        <v>599</v>
      </c>
      <c r="AR26" s="322">
        <v>599</v>
      </c>
      <c r="AS26" s="322">
        <v>600</v>
      </c>
      <c r="AT26" s="322">
        <v>0</v>
      </c>
      <c r="AU26" s="322">
        <v>0</v>
      </c>
      <c r="AV26" s="322">
        <v>0</v>
      </c>
      <c r="AW26" s="319">
        <f t="shared" ref="AW26:BB26" si="72">AV26</f>
        <v>0</v>
      </c>
      <c r="AX26" s="319">
        <f t="shared" si="72"/>
        <v>0</v>
      </c>
      <c r="AY26" s="319">
        <f t="shared" si="72"/>
        <v>0</v>
      </c>
      <c r="AZ26" s="319">
        <f t="shared" si="72"/>
        <v>0</v>
      </c>
      <c r="BA26" s="319">
        <f t="shared" si="72"/>
        <v>0</v>
      </c>
      <c r="BB26" s="319">
        <f t="shared" si="72"/>
        <v>0</v>
      </c>
      <c r="BC26" s="319">
        <f t="shared" ref="BC26:BN26" si="73">BB26</f>
        <v>0</v>
      </c>
      <c r="BD26" s="319">
        <f t="shared" si="73"/>
        <v>0</v>
      </c>
      <c r="BE26" s="319">
        <f t="shared" si="73"/>
        <v>0</v>
      </c>
      <c r="BF26" s="319">
        <f t="shared" si="73"/>
        <v>0</v>
      </c>
      <c r="BG26" s="319">
        <f t="shared" si="73"/>
        <v>0</v>
      </c>
      <c r="BH26" s="319">
        <f t="shared" si="73"/>
        <v>0</v>
      </c>
      <c r="BI26" s="319">
        <f t="shared" si="73"/>
        <v>0</v>
      </c>
      <c r="BJ26" s="319">
        <f t="shared" si="73"/>
        <v>0</v>
      </c>
      <c r="BK26" s="319">
        <f t="shared" si="73"/>
        <v>0</v>
      </c>
      <c r="BL26" s="319">
        <f t="shared" si="73"/>
        <v>0</v>
      </c>
      <c r="BM26" s="319">
        <f t="shared" si="73"/>
        <v>0</v>
      </c>
      <c r="BN26" s="319">
        <f t="shared" si="73"/>
        <v>0</v>
      </c>
      <c r="BO26" s="319"/>
      <c r="BP26" s="320">
        <v>0</v>
      </c>
      <c r="BQ26" s="320">
        <f>F26</f>
        <v>0</v>
      </c>
      <c r="BR26" s="320">
        <f>J26</f>
        <v>0</v>
      </c>
      <c r="BS26" s="320">
        <f>N26</f>
        <v>0</v>
      </c>
      <c r="BT26" s="320">
        <f>R26</f>
        <v>0</v>
      </c>
      <c r="BU26" s="320">
        <f>V26</f>
        <v>602</v>
      </c>
      <c r="BV26" s="320">
        <f>Z26</f>
        <v>161</v>
      </c>
      <c r="BW26" s="320">
        <f>AD26</f>
        <v>0</v>
      </c>
      <c r="BX26" s="320">
        <f>AH26</f>
        <v>0</v>
      </c>
      <c r="BY26" s="320">
        <f>AL26</f>
        <v>0</v>
      </c>
      <c r="BZ26" s="320">
        <f>AP26</f>
        <v>599</v>
      </c>
      <c r="CA26" s="320">
        <f>AT26</f>
        <v>0</v>
      </c>
      <c r="CB26" s="320">
        <f>AX26</f>
        <v>0</v>
      </c>
      <c r="CC26" s="320">
        <f>BB26</f>
        <v>0</v>
      </c>
      <c r="CD26" s="320">
        <f>BF26</f>
        <v>0</v>
      </c>
      <c r="CE26" s="320">
        <f>BJ26</f>
        <v>0</v>
      </c>
      <c r="CF26" s="320">
        <f>BN26</f>
        <v>0</v>
      </c>
    </row>
    <row r="27" spans="1:84" s="321" customFormat="1" ht="13" customHeight="1">
      <c r="A27" s="323" t="s">
        <v>14</v>
      </c>
      <c r="B27" s="324">
        <f>SUM(B23:B26)</f>
        <v>1574</v>
      </c>
      <c r="C27" s="324">
        <f t="shared" ref="C27:S27" si="74">SUM(C23:C26)</f>
        <v>1165</v>
      </c>
      <c r="D27" s="324">
        <f t="shared" si="74"/>
        <v>1568</v>
      </c>
      <c r="E27" s="324">
        <f t="shared" si="74"/>
        <v>2008</v>
      </c>
      <c r="F27" s="324">
        <f t="shared" si="74"/>
        <v>2001</v>
      </c>
      <c r="G27" s="324">
        <f t="shared" si="74"/>
        <v>1225</v>
      </c>
      <c r="H27" s="324">
        <f t="shared" si="74"/>
        <v>1854</v>
      </c>
      <c r="I27" s="324">
        <f t="shared" si="74"/>
        <v>2397</v>
      </c>
      <c r="J27" s="324">
        <f t="shared" si="74"/>
        <v>2120</v>
      </c>
      <c r="K27" s="324">
        <f t="shared" si="74"/>
        <v>1336</v>
      </c>
      <c r="L27" s="324">
        <f t="shared" si="74"/>
        <v>2046</v>
      </c>
      <c r="M27" s="324">
        <f t="shared" si="74"/>
        <v>2146</v>
      </c>
      <c r="N27" s="324">
        <f t="shared" si="74"/>
        <v>1917</v>
      </c>
      <c r="O27" s="324">
        <f t="shared" si="74"/>
        <v>1226</v>
      </c>
      <c r="P27" s="324">
        <f t="shared" si="74"/>
        <v>1851</v>
      </c>
      <c r="Q27" s="324">
        <f t="shared" si="74"/>
        <v>2659</v>
      </c>
      <c r="R27" s="324">
        <f t="shared" si="74"/>
        <v>2390</v>
      </c>
      <c r="S27" s="324">
        <f t="shared" si="74"/>
        <v>1786</v>
      </c>
      <c r="T27" s="324">
        <f>SUM(T23:T26)</f>
        <v>2387</v>
      </c>
      <c r="U27" s="324">
        <f>SUM(U23:U26)</f>
        <v>3069</v>
      </c>
      <c r="V27" s="324">
        <f>SUM(V23:V26)</f>
        <v>2747</v>
      </c>
      <c r="W27" s="324">
        <f t="shared" ref="W27:AL27" si="75">SUM(W23:W26)</f>
        <v>2029</v>
      </c>
      <c r="X27" s="324">
        <f t="shared" si="75"/>
        <v>2525</v>
      </c>
      <c r="Y27" s="324">
        <f t="shared" si="75"/>
        <v>3145</v>
      </c>
      <c r="Z27" s="324">
        <f t="shared" si="75"/>
        <v>2418</v>
      </c>
      <c r="AA27" s="324">
        <f t="shared" si="75"/>
        <v>1650</v>
      </c>
      <c r="AB27" s="324">
        <f t="shared" si="75"/>
        <v>2050</v>
      </c>
      <c r="AC27" s="324">
        <f t="shared" si="75"/>
        <v>2937</v>
      </c>
      <c r="AD27" s="324">
        <f t="shared" si="75"/>
        <v>2415</v>
      </c>
      <c r="AE27" s="324">
        <f t="shared" si="75"/>
        <v>1629</v>
      </c>
      <c r="AF27" s="324">
        <f t="shared" si="75"/>
        <v>2272</v>
      </c>
      <c r="AG27" s="324">
        <f t="shared" si="75"/>
        <v>3107</v>
      </c>
      <c r="AH27" s="324">
        <f t="shared" si="75"/>
        <v>2491</v>
      </c>
      <c r="AI27" s="324">
        <f t="shared" si="75"/>
        <v>1464</v>
      </c>
      <c r="AJ27" s="324">
        <f t="shared" si="75"/>
        <v>1649</v>
      </c>
      <c r="AK27" s="324">
        <f t="shared" si="75"/>
        <v>2090</v>
      </c>
      <c r="AL27" s="324">
        <f t="shared" si="75"/>
        <v>2265</v>
      </c>
      <c r="AM27" s="324">
        <f t="shared" ref="AM27:AR27" si="76">SUM(AM23:AM26)</f>
        <v>1650</v>
      </c>
      <c r="AN27" s="324">
        <f t="shared" si="76"/>
        <v>1818</v>
      </c>
      <c r="AO27" s="324">
        <f t="shared" si="76"/>
        <v>2338</v>
      </c>
      <c r="AP27" s="324">
        <f t="shared" si="76"/>
        <v>2664</v>
      </c>
      <c r="AQ27" s="324">
        <f t="shared" si="76"/>
        <v>2568</v>
      </c>
      <c r="AR27" s="324">
        <f t="shared" si="76"/>
        <v>2485</v>
      </c>
      <c r="AS27" s="324">
        <f t="shared" ref="AS27:BB27" si="77">SUM(AS23:AS26)</f>
        <v>3492</v>
      </c>
      <c r="AT27" s="324">
        <f t="shared" si="77"/>
        <v>2964</v>
      </c>
      <c r="AU27" s="324">
        <f t="shared" si="77"/>
        <v>2471</v>
      </c>
      <c r="AV27" s="324">
        <f t="shared" si="77"/>
        <v>2577</v>
      </c>
      <c r="AW27" s="324">
        <f t="shared" si="77"/>
        <v>3867.6912228405467</v>
      </c>
      <c r="AX27" s="324">
        <f t="shared" si="77"/>
        <v>4121.5646149101367</v>
      </c>
      <c r="AY27" s="324">
        <f t="shared" si="77"/>
        <v>3194.2153958504196</v>
      </c>
      <c r="AZ27" s="324">
        <f t="shared" si="77"/>
        <v>2914.2198412935468</v>
      </c>
      <c r="BA27" s="324">
        <f t="shared" si="77"/>
        <v>4223.9786183488959</v>
      </c>
      <c r="BB27" s="324">
        <f t="shared" si="77"/>
        <v>4180.6758339695189</v>
      </c>
      <c r="BC27" s="324">
        <f t="shared" ref="BC27:BN27" si="78">SUM(BC23:BC26)</f>
        <v>3164.8143485853548</v>
      </c>
      <c r="BD27" s="324">
        <f t="shared" si="78"/>
        <v>2914.3821911524687</v>
      </c>
      <c r="BE27" s="324">
        <f t="shared" si="78"/>
        <v>4267.3394685258354</v>
      </c>
      <c r="BF27" s="324">
        <f t="shared" si="78"/>
        <v>4240.6160345148901</v>
      </c>
      <c r="BG27" s="324">
        <f t="shared" si="78"/>
        <v>3193.6875684502338</v>
      </c>
      <c r="BH27" s="324">
        <f t="shared" si="78"/>
        <v>3244.0340090742657</v>
      </c>
      <c r="BI27" s="324">
        <f t="shared" si="78"/>
        <v>4590.1649025418901</v>
      </c>
      <c r="BJ27" s="324">
        <f t="shared" si="78"/>
        <v>4491.699694169336</v>
      </c>
      <c r="BK27" s="324">
        <f t="shared" si="78"/>
        <v>3321.9703170335706</v>
      </c>
      <c r="BL27" s="324">
        <f t="shared" si="78"/>
        <v>3047.3777258877321</v>
      </c>
      <c r="BM27" s="324">
        <f t="shared" si="78"/>
        <v>4551.2004681113949</v>
      </c>
      <c r="BN27" s="324">
        <f t="shared" si="78"/>
        <v>4511.2922509399359</v>
      </c>
      <c r="BO27" s="324"/>
      <c r="BP27" s="325">
        <v>1574</v>
      </c>
      <c r="BQ27" s="325">
        <f>F27</f>
        <v>2001</v>
      </c>
      <c r="BR27" s="325">
        <f>J27</f>
        <v>2120</v>
      </c>
      <c r="BS27" s="325">
        <f>N27</f>
        <v>1917</v>
      </c>
      <c r="BT27" s="325">
        <f>R27</f>
        <v>2390</v>
      </c>
      <c r="BU27" s="325">
        <f>V27</f>
        <v>2747</v>
      </c>
      <c r="BV27" s="325">
        <f>Z27</f>
        <v>2418</v>
      </c>
      <c r="BW27" s="325">
        <f>AD27</f>
        <v>2415</v>
      </c>
      <c r="BX27" s="325">
        <f>AH27</f>
        <v>2491</v>
      </c>
      <c r="BY27" s="325">
        <f>AL27</f>
        <v>2265</v>
      </c>
      <c r="BZ27" s="325">
        <f>AP27</f>
        <v>2664</v>
      </c>
      <c r="CA27" s="325">
        <f>AT27</f>
        <v>2964</v>
      </c>
      <c r="CB27" s="325">
        <f>AX27</f>
        <v>4121.5646149101367</v>
      </c>
      <c r="CC27" s="325">
        <f>BB27</f>
        <v>4180.6758339695189</v>
      </c>
      <c r="CD27" s="325">
        <f>BF27</f>
        <v>4240.6160345148901</v>
      </c>
      <c r="CE27" s="325">
        <f>BJ27</f>
        <v>4491.699694169336</v>
      </c>
      <c r="CF27" s="325">
        <f>BN27</f>
        <v>4511.2922509399359</v>
      </c>
    </row>
    <row r="28" spans="1:84" s="321" customFormat="1" ht="13" customHeight="1">
      <c r="A28" s="318"/>
      <c r="B28" s="318"/>
      <c r="C28" s="318"/>
      <c r="D28" s="318"/>
      <c r="E28" s="318"/>
      <c r="F28" s="318"/>
      <c r="G28" s="318"/>
      <c r="H28" s="318"/>
      <c r="I28" s="318"/>
      <c r="J28" s="318"/>
      <c r="K28" s="318"/>
      <c r="L28" s="318"/>
      <c r="M28" s="318"/>
      <c r="N28" s="318"/>
      <c r="O28" s="318"/>
      <c r="P28" s="318"/>
      <c r="Q28" s="318"/>
      <c r="R28" s="318"/>
      <c r="S28" s="318"/>
      <c r="T28" s="318"/>
      <c r="U28" s="318"/>
      <c r="V28" s="318"/>
      <c r="W28" s="318"/>
      <c r="X28" s="318"/>
      <c r="Y28" s="318"/>
      <c r="Z28" s="318"/>
      <c r="AA28" s="318"/>
      <c r="AB28" s="318"/>
      <c r="AC28" s="318"/>
      <c r="AD28" s="318"/>
      <c r="AE28" s="318"/>
      <c r="AF28" s="318"/>
      <c r="AG28" s="318"/>
      <c r="AH28" s="318"/>
      <c r="AI28" s="318"/>
      <c r="AJ28" s="318"/>
      <c r="AK28" s="318"/>
      <c r="AL28" s="318"/>
      <c r="AM28" s="318"/>
      <c r="AN28" s="318"/>
      <c r="AO28" s="318"/>
      <c r="AP28" s="318"/>
      <c r="AQ28" s="318"/>
      <c r="AR28" s="318"/>
      <c r="AS28" s="318"/>
      <c r="AT28" s="318"/>
      <c r="AU28" s="318"/>
      <c r="AV28" s="318"/>
      <c r="AW28" s="318"/>
      <c r="AX28" s="318"/>
      <c r="AY28" s="318"/>
      <c r="AZ28" s="318"/>
      <c r="BA28" s="318"/>
      <c r="BB28" s="318"/>
      <c r="BC28" s="318"/>
      <c r="BD28" s="318"/>
      <c r="BE28" s="318"/>
      <c r="BF28" s="318"/>
      <c r="BG28" s="318"/>
      <c r="BH28" s="318"/>
      <c r="BI28" s="318"/>
      <c r="BJ28" s="318"/>
      <c r="BK28" s="318"/>
      <c r="BL28" s="318"/>
      <c r="BM28" s="318"/>
      <c r="BN28" s="318"/>
      <c r="BO28" s="318"/>
      <c r="BP28" s="318"/>
      <c r="BQ28" s="318"/>
      <c r="BR28" s="318"/>
      <c r="BS28" s="318"/>
      <c r="BT28" s="318"/>
      <c r="BU28" s="318"/>
      <c r="BV28" s="318"/>
      <c r="BW28" s="318"/>
      <c r="BX28" s="318"/>
      <c r="BY28" s="318"/>
      <c r="BZ28" s="318"/>
      <c r="CA28" s="318"/>
      <c r="CB28" s="318"/>
      <c r="CC28" s="318"/>
      <c r="CD28" s="318"/>
      <c r="CE28" s="318"/>
      <c r="CF28" s="318"/>
    </row>
    <row r="29" spans="1:84" s="321" customFormat="1" ht="13" customHeight="1">
      <c r="A29" s="318" t="s">
        <v>135</v>
      </c>
      <c r="B29" s="322">
        <v>0</v>
      </c>
      <c r="C29" s="322">
        <v>0</v>
      </c>
      <c r="D29" s="322">
        <v>0</v>
      </c>
      <c r="E29" s="322">
        <v>0</v>
      </c>
      <c r="F29" s="322">
        <v>0</v>
      </c>
      <c r="G29" s="322">
        <v>0</v>
      </c>
      <c r="H29" s="322">
        <v>529</v>
      </c>
      <c r="I29" s="322">
        <v>534</v>
      </c>
      <c r="J29" s="322">
        <v>539</v>
      </c>
      <c r="K29" s="322">
        <v>544</v>
      </c>
      <c r="L29" s="322">
        <v>549</v>
      </c>
      <c r="M29" s="322">
        <v>554</v>
      </c>
      <c r="N29" s="322">
        <v>559</v>
      </c>
      <c r="O29" s="322">
        <v>564</v>
      </c>
      <c r="P29" s="322">
        <v>570</v>
      </c>
      <c r="Q29" s="322">
        <v>575</v>
      </c>
      <c r="R29" s="322">
        <v>580</v>
      </c>
      <c r="S29" s="322">
        <v>586</v>
      </c>
      <c r="T29" s="322">
        <v>591</v>
      </c>
      <c r="U29" s="322">
        <v>0</v>
      </c>
      <c r="V29" s="322">
        <v>0</v>
      </c>
      <c r="W29" s="322">
        <v>0</v>
      </c>
      <c r="X29" s="322">
        <v>0</v>
      </c>
      <c r="Y29" s="322">
        <v>0</v>
      </c>
      <c r="Z29" s="322">
        <v>0</v>
      </c>
      <c r="AA29" s="322">
        <v>0</v>
      </c>
      <c r="AB29" s="322">
        <v>0</v>
      </c>
      <c r="AC29" s="322">
        <v>0</v>
      </c>
      <c r="AD29" s="322">
        <v>0</v>
      </c>
      <c r="AE29" s="322">
        <v>0</v>
      </c>
      <c r="AF29" s="322">
        <v>0</v>
      </c>
      <c r="AG29" s="322">
        <v>0</v>
      </c>
      <c r="AH29" s="322">
        <v>0</v>
      </c>
      <c r="AI29" s="322">
        <v>0</v>
      </c>
      <c r="AJ29" s="322">
        <v>0</v>
      </c>
      <c r="AK29" s="322">
        <v>0</v>
      </c>
      <c r="AL29" s="322">
        <v>0</v>
      </c>
      <c r="AM29" s="322">
        <v>0</v>
      </c>
      <c r="AN29" s="322">
        <v>0</v>
      </c>
      <c r="AO29" s="322">
        <v>0</v>
      </c>
      <c r="AP29" s="322">
        <v>0</v>
      </c>
      <c r="AQ29" s="322">
        <v>0</v>
      </c>
      <c r="AR29" s="322">
        <v>0</v>
      </c>
      <c r="AS29" s="322">
        <v>0</v>
      </c>
      <c r="AT29" s="322">
        <v>0</v>
      </c>
      <c r="AU29" s="322">
        <v>0</v>
      </c>
      <c r="AV29" s="322">
        <v>0</v>
      </c>
      <c r="AW29" s="319">
        <f t="shared" ref="AW29:BB33" si="79">AV29</f>
        <v>0</v>
      </c>
      <c r="AX29" s="319">
        <f t="shared" si="79"/>
        <v>0</v>
      </c>
      <c r="AY29" s="319">
        <f t="shared" si="79"/>
        <v>0</v>
      </c>
      <c r="AZ29" s="319">
        <f t="shared" si="79"/>
        <v>0</v>
      </c>
      <c r="BA29" s="319">
        <f t="shared" si="79"/>
        <v>0</v>
      </c>
      <c r="BB29" s="319">
        <f t="shared" si="79"/>
        <v>0</v>
      </c>
      <c r="BC29" s="319">
        <f t="shared" ref="BC29:BN29" si="80">BB29</f>
        <v>0</v>
      </c>
      <c r="BD29" s="319">
        <f t="shared" si="80"/>
        <v>0</v>
      </c>
      <c r="BE29" s="319">
        <f t="shared" si="80"/>
        <v>0</v>
      </c>
      <c r="BF29" s="319">
        <f t="shared" si="80"/>
        <v>0</v>
      </c>
      <c r="BG29" s="319">
        <f t="shared" si="80"/>
        <v>0</v>
      </c>
      <c r="BH29" s="319">
        <f t="shared" si="80"/>
        <v>0</v>
      </c>
      <c r="BI29" s="319">
        <f t="shared" si="80"/>
        <v>0</v>
      </c>
      <c r="BJ29" s="319">
        <f t="shared" si="80"/>
        <v>0</v>
      </c>
      <c r="BK29" s="319">
        <f t="shared" si="80"/>
        <v>0</v>
      </c>
      <c r="BL29" s="319">
        <f t="shared" si="80"/>
        <v>0</v>
      </c>
      <c r="BM29" s="319">
        <f t="shared" si="80"/>
        <v>0</v>
      </c>
      <c r="BN29" s="319">
        <f t="shared" si="80"/>
        <v>0</v>
      </c>
      <c r="BO29" s="329"/>
      <c r="BP29" s="320">
        <v>0</v>
      </c>
      <c r="BQ29" s="320">
        <f t="shared" ref="BQ29:BQ34" si="81">F29</f>
        <v>0</v>
      </c>
      <c r="BR29" s="320">
        <f t="shared" ref="BR29:BR34" si="82">J29</f>
        <v>539</v>
      </c>
      <c r="BS29" s="320">
        <f t="shared" ref="BS29:BS34" si="83">N29</f>
        <v>559</v>
      </c>
      <c r="BT29" s="320">
        <f t="shared" ref="BT29:BT34" si="84">R29</f>
        <v>580</v>
      </c>
      <c r="BU29" s="320">
        <f t="shared" ref="BU29:BU34" si="85">V29</f>
        <v>0</v>
      </c>
      <c r="BV29" s="320">
        <f t="shared" ref="BV29:BV34" si="86">Z29</f>
        <v>0</v>
      </c>
      <c r="BW29" s="320">
        <f t="shared" ref="BW29:BW34" si="87">AD29</f>
        <v>0</v>
      </c>
      <c r="BX29" s="320">
        <f t="shared" ref="BX29:BX34" si="88">AH29</f>
        <v>0</v>
      </c>
      <c r="BY29" s="320">
        <f t="shared" ref="BY29:BY34" si="89">AL29</f>
        <v>0</v>
      </c>
      <c r="BZ29" s="320">
        <f t="shared" ref="BZ29:BZ34" si="90">AP29</f>
        <v>0</v>
      </c>
      <c r="CA29" s="320">
        <f t="shared" ref="CA29:CA34" si="91">AT29</f>
        <v>0</v>
      </c>
      <c r="CB29" s="320">
        <f t="shared" ref="CB29:CB34" si="92">AX29</f>
        <v>0</v>
      </c>
      <c r="CC29" s="320">
        <f t="shared" ref="CC29:CC34" si="93">BB29</f>
        <v>0</v>
      </c>
      <c r="CD29" s="320">
        <f t="shared" ref="CD29:CD34" si="94">BF29</f>
        <v>0</v>
      </c>
      <c r="CE29" s="320">
        <f t="shared" ref="CE29:CE34" si="95">BJ29</f>
        <v>0</v>
      </c>
      <c r="CF29" s="320">
        <f t="shared" ref="CF29:CF34" si="96">BN29</f>
        <v>0</v>
      </c>
    </row>
    <row r="30" spans="1:84" s="321" customFormat="1" ht="13" customHeight="1">
      <c r="A30" s="318" t="s">
        <v>184</v>
      </c>
      <c r="B30" s="322">
        <v>0</v>
      </c>
      <c r="C30" s="322">
        <v>0</v>
      </c>
      <c r="D30" s="322">
        <v>0</v>
      </c>
      <c r="E30" s="322">
        <v>0</v>
      </c>
      <c r="F30" s="322">
        <v>0</v>
      </c>
      <c r="G30" s="322">
        <v>0</v>
      </c>
      <c r="H30" s="322">
        <v>0</v>
      </c>
      <c r="I30" s="322">
        <v>0</v>
      </c>
      <c r="J30" s="322">
        <v>0</v>
      </c>
      <c r="K30" s="322">
        <v>0</v>
      </c>
      <c r="L30" s="322">
        <v>0</v>
      </c>
      <c r="M30" s="322">
        <v>0</v>
      </c>
      <c r="N30" s="322">
        <v>0</v>
      </c>
      <c r="O30" s="322">
        <v>0</v>
      </c>
      <c r="P30" s="322">
        <v>0</v>
      </c>
      <c r="Q30" s="322">
        <v>0</v>
      </c>
      <c r="R30" s="322">
        <v>0</v>
      </c>
      <c r="S30" s="322">
        <v>0</v>
      </c>
      <c r="T30" s="322">
        <v>0</v>
      </c>
      <c r="U30" s="322">
        <v>0</v>
      </c>
      <c r="V30" s="322">
        <v>0</v>
      </c>
      <c r="W30" s="322">
        <v>0</v>
      </c>
      <c r="X30" s="322">
        <v>0</v>
      </c>
      <c r="Y30" s="322">
        <v>0</v>
      </c>
      <c r="Z30" s="322">
        <v>989</v>
      </c>
      <c r="AA30" s="322">
        <v>989</v>
      </c>
      <c r="AB30" s="322">
        <v>990</v>
      </c>
      <c r="AC30" s="322">
        <v>990</v>
      </c>
      <c r="AD30" s="322">
        <v>990</v>
      </c>
      <c r="AE30" s="322">
        <v>991</v>
      </c>
      <c r="AF30" s="322">
        <v>991</v>
      </c>
      <c r="AG30" s="322">
        <v>992</v>
      </c>
      <c r="AH30" s="322">
        <v>992</v>
      </c>
      <c r="AI30" s="322">
        <v>993</v>
      </c>
      <c r="AJ30" s="322">
        <v>993</v>
      </c>
      <c r="AK30" s="322">
        <v>994</v>
      </c>
      <c r="AL30" s="322">
        <v>994</v>
      </c>
      <c r="AM30" s="322">
        <v>995</v>
      </c>
      <c r="AN30" s="322">
        <v>995</v>
      </c>
      <c r="AO30" s="322">
        <v>995</v>
      </c>
      <c r="AP30" s="322">
        <v>397</v>
      </c>
      <c r="AQ30" s="322">
        <v>397</v>
      </c>
      <c r="AR30" s="322">
        <v>397</v>
      </c>
      <c r="AS30" s="322">
        <v>397</v>
      </c>
      <c r="AT30" s="322">
        <v>1876</v>
      </c>
      <c r="AU30" s="322">
        <v>1877</v>
      </c>
      <c r="AV30" s="322">
        <v>1877</v>
      </c>
      <c r="AW30" s="319">
        <f t="shared" si="79"/>
        <v>1877</v>
      </c>
      <c r="AX30" s="319">
        <f t="shared" si="79"/>
        <v>1877</v>
      </c>
      <c r="AY30" s="319">
        <f t="shared" si="79"/>
        <v>1877</v>
      </c>
      <c r="AZ30" s="319">
        <f t="shared" si="79"/>
        <v>1877</v>
      </c>
      <c r="BA30" s="319">
        <f t="shared" si="79"/>
        <v>1877</v>
      </c>
      <c r="BB30" s="319">
        <f t="shared" si="79"/>
        <v>1877</v>
      </c>
      <c r="BC30" s="319">
        <f t="shared" ref="BC30:BN30" si="97">BB30</f>
        <v>1877</v>
      </c>
      <c r="BD30" s="319">
        <f t="shared" si="97"/>
        <v>1877</v>
      </c>
      <c r="BE30" s="319">
        <f t="shared" si="97"/>
        <v>1877</v>
      </c>
      <c r="BF30" s="319">
        <f t="shared" si="97"/>
        <v>1877</v>
      </c>
      <c r="BG30" s="319">
        <f t="shared" si="97"/>
        <v>1877</v>
      </c>
      <c r="BH30" s="319">
        <f t="shared" si="97"/>
        <v>1877</v>
      </c>
      <c r="BI30" s="319">
        <f t="shared" si="97"/>
        <v>1877</v>
      </c>
      <c r="BJ30" s="319">
        <f t="shared" si="97"/>
        <v>1877</v>
      </c>
      <c r="BK30" s="319">
        <f t="shared" si="97"/>
        <v>1877</v>
      </c>
      <c r="BL30" s="319">
        <f t="shared" si="97"/>
        <v>1877</v>
      </c>
      <c r="BM30" s="319">
        <f t="shared" si="97"/>
        <v>1877</v>
      </c>
      <c r="BN30" s="319">
        <f t="shared" si="97"/>
        <v>1877</v>
      </c>
      <c r="BO30" s="319"/>
      <c r="BP30" s="320"/>
      <c r="BQ30" s="320">
        <f t="shared" si="81"/>
        <v>0</v>
      </c>
      <c r="BR30" s="320">
        <f t="shared" si="82"/>
        <v>0</v>
      </c>
      <c r="BS30" s="320">
        <f t="shared" si="83"/>
        <v>0</v>
      </c>
      <c r="BT30" s="320">
        <f t="shared" si="84"/>
        <v>0</v>
      </c>
      <c r="BU30" s="320">
        <f t="shared" si="85"/>
        <v>0</v>
      </c>
      <c r="BV30" s="320">
        <f t="shared" si="86"/>
        <v>989</v>
      </c>
      <c r="BW30" s="320">
        <f t="shared" si="87"/>
        <v>990</v>
      </c>
      <c r="BX30" s="320">
        <f t="shared" si="88"/>
        <v>992</v>
      </c>
      <c r="BY30" s="320">
        <f t="shared" si="89"/>
        <v>994</v>
      </c>
      <c r="BZ30" s="320">
        <f t="shared" si="90"/>
        <v>397</v>
      </c>
      <c r="CA30" s="320">
        <f t="shared" si="91"/>
        <v>1876</v>
      </c>
      <c r="CB30" s="320">
        <f t="shared" si="92"/>
        <v>1877</v>
      </c>
      <c r="CC30" s="320">
        <f t="shared" si="93"/>
        <v>1877</v>
      </c>
      <c r="CD30" s="320">
        <f t="shared" si="94"/>
        <v>1877</v>
      </c>
      <c r="CE30" s="320">
        <f t="shared" si="95"/>
        <v>1877</v>
      </c>
      <c r="CF30" s="320">
        <f t="shared" si="96"/>
        <v>1877</v>
      </c>
    </row>
    <row r="31" spans="1:84" s="321" customFormat="1" ht="13" customHeight="1">
      <c r="A31" s="318" t="s">
        <v>134</v>
      </c>
      <c r="B31" s="322">
        <v>242</v>
      </c>
      <c r="C31" s="322">
        <v>229</v>
      </c>
      <c r="D31" s="322">
        <v>179</v>
      </c>
      <c r="E31" s="322">
        <v>184</v>
      </c>
      <c r="F31" s="322">
        <v>192</v>
      </c>
      <c r="G31" s="322">
        <v>192</v>
      </c>
      <c r="H31" s="322">
        <v>187</v>
      </c>
      <c r="I31" s="322">
        <v>183</v>
      </c>
      <c r="J31" s="322">
        <v>189</v>
      </c>
      <c r="K31" s="322">
        <v>198</v>
      </c>
      <c r="L31" s="322">
        <v>209</v>
      </c>
      <c r="M31" s="322">
        <v>211</v>
      </c>
      <c r="N31" s="322">
        <v>205</v>
      </c>
      <c r="O31" s="322">
        <v>201</v>
      </c>
      <c r="P31" s="322">
        <v>207</v>
      </c>
      <c r="Q31" s="322">
        <v>210</v>
      </c>
      <c r="R31" s="322">
        <v>189</v>
      </c>
      <c r="S31" s="322">
        <v>90</v>
      </c>
      <c r="T31" s="322">
        <v>89</v>
      </c>
      <c r="U31" s="322">
        <v>88</v>
      </c>
      <c r="V31" s="322">
        <v>70</v>
      </c>
      <c r="W31" s="322">
        <v>71</v>
      </c>
      <c r="X31" s="322">
        <v>66</v>
      </c>
      <c r="Y31" s="322">
        <v>63</v>
      </c>
      <c r="Z31" s="322">
        <v>80</v>
      </c>
      <c r="AA31" s="322">
        <v>88</v>
      </c>
      <c r="AB31" s="322">
        <v>86</v>
      </c>
      <c r="AC31" s="322">
        <v>87</v>
      </c>
      <c r="AD31" s="322">
        <v>104</v>
      </c>
      <c r="AE31" s="322">
        <v>114</v>
      </c>
      <c r="AF31" s="322">
        <v>122</v>
      </c>
      <c r="AG31" s="322">
        <v>194</v>
      </c>
      <c r="AH31" s="322">
        <v>250</v>
      </c>
      <c r="AI31" s="322">
        <v>276</v>
      </c>
      <c r="AJ31" s="322">
        <v>273</v>
      </c>
      <c r="AK31" s="322">
        <v>264</v>
      </c>
      <c r="AL31" s="322">
        <v>233</v>
      </c>
      <c r="AM31" s="322">
        <v>345</v>
      </c>
      <c r="AN31" s="322">
        <v>361</v>
      </c>
      <c r="AO31" s="322">
        <v>352</v>
      </c>
      <c r="AP31" s="322">
        <v>373</v>
      </c>
      <c r="AQ31" s="322">
        <v>312</v>
      </c>
      <c r="AR31" s="322">
        <v>301</v>
      </c>
      <c r="AS31" s="322">
        <v>296</v>
      </c>
      <c r="AT31" s="322">
        <v>315</v>
      </c>
      <c r="AU31" s="322">
        <v>321</v>
      </c>
      <c r="AV31" s="322">
        <v>318</v>
      </c>
      <c r="AW31" s="319">
        <f t="shared" si="79"/>
        <v>318</v>
      </c>
      <c r="AX31" s="319">
        <f t="shared" si="79"/>
        <v>318</v>
      </c>
      <c r="AY31" s="319">
        <f t="shared" si="79"/>
        <v>318</v>
      </c>
      <c r="AZ31" s="319">
        <f t="shared" si="79"/>
        <v>318</v>
      </c>
      <c r="BA31" s="319">
        <f t="shared" si="79"/>
        <v>318</v>
      </c>
      <c r="BB31" s="319">
        <f t="shared" si="79"/>
        <v>318</v>
      </c>
      <c r="BC31" s="319">
        <f t="shared" ref="BC31:BN31" si="98">BB31</f>
        <v>318</v>
      </c>
      <c r="BD31" s="319">
        <f t="shared" si="98"/>
        <v>318</v>
      </c>
      <c r="BE31" s="319">
        <f t="shared" si="98"/>
        <v>318</v>
      </c>
      <c r="BF31" s="319">
        <f t="shared" si="98"/>
        <v>318</v>
      </c>
      <c r="BG31" s="319">
        <f t="shared" si="98"/>
        <v>318</v>
      </c>
      <c r="BH31" s="319">
        <f t="shared" si="98"/>
        <v>318</v>
      </c>
      <c r="BI31" s="319">
        <f t="shared" si="98"/>
        <v>318</v>
      </c>
      <c r="BJ31" s="319">
        <f t="shared" si="98"/>
        <v>318</v>
      </c>
      <c r="BK31" s="319">
        <f t="shared" si="98"/>
        <v>318</v>
      </c>
      <c r="BL31" s="319">
        <f t="shared" si="98"/>
        <v>318</v>
      </c>
      <c r="BM31" s="319">
        <f t="shared" si="98"/>
        <v>318</v>
      </c>
      <c r="BN31" s="319">
        <f t="shared" si="98"/>
        <v>318</v>
      </c>
      <c r="BO31" s="319"/>
      <c r="BP31" s="320">
        <v>242</v>
      </c>
      <c r="BQ31" s="320">
        <f t="shared" si="81"/>
        <v>192</v>
      </c>
      <c r="BR31" s="320">
        <f t="shared" si="82"/>
        <v>189</v>
      </c>
      <c r="BS31" s="320">
        <f t="shared" si="83"/>
        <v>205</v>
      </c>
      <c r="BT31" s="320">
        <f t="shared" si="84"/>
        <v>189</v>
      </c>
      <c r="BU31" s="320">
        <f t="shared" si="85"/>
        <v>70</v>
      </c>
      <c r="BV31" s="320">
        <f t="shared" si="86"/>
        <v>80</v>
      </c>
      <c r="BW31" s="320">
        <f t="shared" si="87"/>
        <v>104</v>
      </c>
      <c r="BX31" s="320">
        <f t="shared" si="88"/>
        <v>250</v>
      </c>
      <c r="BY31" s="320">
        <f t="shared" si="89"/>
        <v>233</v>
      </c>
      <c r="BZ31" s="320">
        <f t="shared" si="90"/>
        <v>373</v>
      </c>
      <c r="CA31" s="320">
        <f t="shared" si="91"/>
        <v>315</v>
      </c>
      <c r="CB31" s="320">
        <f t="shared" si="92"/>
        <v>318</v>
      </c>
      <c r="CC31" s="320">
        <f t="shared" si="93"/>
        <v>318</v>
      </c>
      <c r="CD31" s="320">
        <f t="shared" si="94"/>
        <v>318</v>
      </c>
      <c r="CE31" s="320">
        <f t="shared" si="95"/>
        <v>318</v>
      </c>
      <c r="CF31" s="320">
        <f t="shared" si="96"/>
        <v>318</v>
      </c>
    </row>
    <row r="32" spans="1:84" s="321" customFormat="1" ht="13" customHeight="1">
      <c r="A32" s="318" t="s">
        <v>93</v>
      </c>
      <c r="B32" s="322">
        <v>2</v>
      </c>
      <c r="C32" s="322">
        <v>2</v>
      </c>
      <c r="D32" s="322">
        <v>2</v>
      </c>
      <c r="E32" s="322">
        <v>4</v>
      </c>
      <c r="F32" s="322">
        <v>37</v>
      </c>
      <c r="G32" s="322">
        <v>42</v>
      </c>
      <c r="H32" s="322">
        <v>84</v>
      </c>
      <c r="I32" s="322">
        <v>82</v>
      </c>
      <c r="J32" s="322">
        <v>8</v>
      </c>
      <c r="K32" s="322">
        <v>2</v>
      </c>
      <c r="L32" s="322">
        <v>2</v>
      </c>
      <c r="M32" s="322">
        <v>2</v>
      </c>
      <c r="N32" s="322">
        <v>1</v>
      </c>
      <c r="O32" s="322">
        <v>1</v>
      </c>
      <c r="P32" s="322">
        <v>1</v>
      </c>
      <c r="Q32" s="322">
        <v>1</v>
      </c>
      <c r="R32" s="322">
        <v>18</v>
      </c>
      <c r="S32" s="322">
        <v>85</v>
      </c>
      <c r="T32" s="322">
        <v>85</v>
      </c>
      <c r="U32" s="322">
        <v>85</v>
      </c>
      <c r="V32" s="322">
        <v>80</v>
      </c>
      <c r="W32" s="322">
        <v>80</v>
      </c>
      <c r="X32" s="322">
        <v>75</v>
      </c>
      <c r="Y32" s="322">
        <v>75</v>
      </c>
      <c r="Z32" s="322">
        <v>2</v>
      </c>
      <c r="AA32" s="322">
        <v>2</v>
      </c>
      <c r="AB32" s="322">
        <v>2</v>
      </c>
      <c r="AC32" s="322">
        <v>2</v>
      </c>
      <c r="AD32" s="322">
        <v>1</v>
      </c>
      <c r="AE32" s="322">
        <v>1</v>
      </c>
      <c r="AF32" s="322">
        <v>1</v>
      </c>
      <c r="AG32" s="322">
        <v>2</v>
      </c>
      <c r="AH32" s="322">
        <v>1</v>
      </c>
      <c r="AI32" s="322">
        <v>1</v>
      </c>
      <c r="AJ32" s="322">
        <v>1</v>
      </c>
      <c r="AK32" s="322">
        <v>0.99999999999999978</v>
      </c>
      <c r="AL32" s="322">
        <v>2</v>
      </c>
      <c r="AM32" s="322">
        <v>2</v>
      </c>
      <c r="AN32" s="322">
        <v>2</v>
      </c>
      <c r="AO32" s="322">
        <v>2</v>
      </c>
      <c r="AP32" s="322">
        <v>1</v>
      </c>
      <c r="AQ32" s="322">
        <v>1</v>
      </c>
      <c r="AR32" s="322">
        <v>1</v>
      </c>
      <c r="AS32" s="322">
        <v>1</v>
      </c>
      <c r="AT32" s="322">
        <v>43</v>
      </c>
      <c r="AU32" s="322">
        <v>24</v>
      </c>
      <c r="AV32" s="322">
        <v>68</v>
      </c>
      <c r="AW32" s="319">
        <f t="shared" ref="AW32:BB32" si="99">AW57</f>
        <v>67.319999999999993</v>
      </c>
      <c r="AX32" s="319">
        <f t="shared" si="99"/>
        <v>66.646799999999999</v>
      </c>
      <c r="AY32" s="319">
        <f t="shared" si="99"/>
        <v>65.98033199999999</v>
      </c>
      <c r="AZ32" s="319">
        <f t="shared" si="99"/>
        <v>65.320528679999995</v>
      </c>
      <c r="BA32" s="319">
        <f t="shared" si="99"/>
        <v>64.667323393199993</v>
      </c>
      <c r="BB32" s="319">
        <f t="shared" si="99"/>
        <v>64.020650159267987</v>
      </c>
      <c r="BC32" s="319">
        <f t="shared" ref="BC32:BN32" si="100">BC57</f>
        <v>63.380443657675308</v>
      </c>
      <c r="BD32" s="319">
        <f t="shared" si="100"/>
        <v>62.746639221098555</v>
      </c>
      <c r="BE32" s="319">
        <f t="shared" si="100"/>
        <v>62.119172828887571</v>
      </c>
      <c r="BF32" s="319">
        <f t="shared" si="100"/>
        <v>61.497981100598693</v>
      </c>
      <c r="BG32" s="319">
        <f t="shared" si="100"/>
        <v>60.883001289592706</v>
      </c>
      <c r="BH32" s="319">
        <f t="shared" si="100"/>
        <v>60.274171276696777</v>
      </c>
      <c r="BI32" s="319">
        <f t="shared" si="100"/>
        <v>59.671429563929813</v>
      </c>
      <c r="BJ32" s="319">
        <f t="shared" si="100"/>
        <v>59.074715268290511</v>
      </c>
      <c r="BK32" s="319">
        <f t="shared" si="100"/>
        <v>58.48396811560761</v>
      </c>
      <c r="BL32" s="319">
        <f t="shared" si="100"/>
        <v>57.899128434451534</v>
      </c>
      <c r="BM32" s="319">
        <f t="shared" si="100"/>
        <v>57.320137150107016</v>
      </c>
      <c r="BN32" s="319">
        <f t="shared" si="100"/>
        <v>56.746935778605945</v>
      </c>
      <c r="BO32" s="319"/>
      <c r="BP32" s="320">
        <v>2</v>
      </c>
      <c r="BQ32" s="320">
        <f t="shared" si="81"/>
        <v>37</v>
      </c>
      <c r="BR32" s="320">
        <f t="shared" si="82"/>
        <v>8</v>
      </c>
      <c r="BS32" s="320">
        <f t="shared" si="83"/>
        <v>1</v>
      </c>
      <c r="BT32" s="320">
        <f t="shared" si="84"/>
        <v>18</v>
      </c>
      <c r="BU32" s="320">
        <f t="shared" si="85"/>
        <v>80</v>
      </c>
      <c r="BV32" s="320">
        <f t="shared" si="86"/>
        <v>2</v>
      </c>
      <c r="BW32" s="320">
        <f t="shared" si="87"/>
        <v>1</v>
      </c>
      <c r="BX32" s="320">
        <f t="shared" si="88"/>
        <v>1</v>
      </c>
      <c r="BY32" s="320">
        <f t="shared" si="89"/>
        <v>2</v>
      </c>
      <c r="BZ32" s="320">
        <f t="shared" si="90"/>
        <v>1</v>
      </c>
      <c r="CA32" s="320">
        <f t="shared" si="91"/>
        <v>43</v>
      </c>
      <c r="CB32" s="320">
        <f t="shared" si="92"/>
        <v>66.646799999999999</v>
      </c>
      <c r="CC32" s="320">
        <f t="shared" si="93"/>
        <v>64.020650159267987</v>
      </c>
      <c r="CD32" s="320">
        <f t="shared" si="94"/>
        <v>61.497981100598693</v>
      </c>
      <c r="CE32" s="320">
        <f t="shared" si="95"/>
        <v>59.074715268290511</v>
      </c>
      <c r="CF32" s="320">
        <f t="shared" si="96"/>
        <v>56.746935778605945</v>
      </c>
    </row>
    <row r="33" spans="1:84" s="321" customFormat="1" ht="13" customHeight="1">
      <c r="A33" s="318" t="s">
        <v>74</v>
      </c>
      <c r="B33" s="322">
        <v>99</v>
      </c>
      <c r="C33" s="322">
        <v>97</v>
      </c>
      <c r="D33" s="322">
        <v>107</v>
      </c>
      <c r="E33" s="322">
        <v>173</v>
      </c>
      <c r="F33" s="322">
        <v>134</v>
      </c>
      <c r="G33" s="322">
        <v>146</v>
      </c>
      <c r="H33" s="322">
        <v>241</v>
      </c>
      <c r="I33" s="322">
        <v>235</v>
      </c>
      <c r="J33" s="322">
        <v>177</v>
      </c>
      <c r="K33" s="322">
        <v>193</v>
      </c>
      <c r="L33" s="322">
        <v>231</v>
      </c>
      <c r="M33" s="322">
        <v>168</v>
      </c>
      <c r="N33" s="322">
        <v>121</v>
      </c>
      <c r="O33" s="322">
        <v>121</v>
      </c>
      <c r="P33" s="322">
        <v>121</v>
      </c>
      <c r="Q33" s="322">
        <v>124</v>
      </c>
      <c r="R33" s="322">
        <v>117</v>
      </c>
      <c r="S33" s="322">
        <v>216</v>
      </c>
      <c r="T33" s="322">
        <v>209</v>
      </c>
      <c r="U33" s="322">
        <v>201</v>
      </c>
      <c r="V33" s="322">
        <v>183</v>
      </c>
      <c r="W33" s="322">
        <v>180</v>
      </c>
      <c r="X33" s="322">
        <v>175</v>
      </c>
      <c r="Y33" s="322">
        <v>168</v>
      </c>
      <c r="Z33" s="322">
        <v>163</v>
      </c>
      <c r="AA33" s="322">
        <v>160</v>
      </c>
      <c r="AB33" s="322">
        <v>156</v>
      </c>
      <c r="AC33" s="322">
        <v>154</v>
      </c>
      <c r="AD33" s="322">
        <v>148</v>
      </c>
      <c r="AE33" s="322">
        <v>154</v>
      </c>
      <c r="AF33" s="322">
        <v>148</v>
      </c>
      <c r="AG33" s="322">
        <v>261</v>
      </c>
      <c r="AH33" s="322">
        <v>255</v>
      </c>
      <c r="AI33" s="322">
        <v>253</v>
      </c>
      <c r="AJ33" s="322">
        <v>217</v>
      </c>
      <c r="AK33" s="322">
        <v>164</v>
      </c>
      <c r="AL33" s="322">
        <v>132</v>
      </c>
      <c r="AM33" s="322">
        <v>272</v>
      </c>
      <c r="AN33" s="322">
        <v>259</v>
      </c>
      <c r="AO33" s="322">
        <v>237</v>
      </c>
      <c r="AP33" s="322">
        <v>216</v>
      </c>
      <c r="AQ33" s="322">
        <v>224</v>
      </c>
      <c r="AR33" s="322">
        <v>211</v>
      </c>
      <c r="AS33" s="322">
        <v>271</v>
      </c>
      <c r="AT33" s="322">
        <v>250</v>
      </c>
      <c r="AU33" s="322">
        <v>313</v>
      </c>
      <c r="AV33" s="322">
        <v>323</v>
      </c>
      <c r="AW33" s="319">
        <f t="shared" si="79"/>
        <v>323</v>
      </c>
      <c r="AX33" s="319">
        <f t="shared" si="79"/>
        <v>323</v>
      </c>
      <c r="AY33" s="319">
        <f t="shared" si="79"/>
        <v>323</v>
      </c>
      <c r="AZ33" s="319">
        <f t="shared" si="79"/>
        <v>323</v>
      </c>
      <c r="BA33" s="319">
        <f t="shared" si="79"/>
        <v>323</v>
      </c>
      <c r="BB33" s="319">
        <f t="shared" si="79"/>
        <v>323</v>
      </c>
      <c r="BC33" s="319">
        <f t="shared" ref="BC33:BN33" si="101">BB33</f>
        <v>323</v>
      </c>
      <c r="BD33" s="319">
        <f t="shared" si="101"/>
        <v>323</v>
      </c>
      <c r="BE33" s="319">
        <f t="shared" si="101"/>
        <v>323</v>
      </c>
      <c r="BF33" s="319">
        <f t="shared" si="101"/>
        <v>323</v>
      </c>
      <c r="BG33" s="319">
        <f t="shared" si="101"/>
        <v>323</v>
      </c>
      <c r="BH33" s="319">
        <f t="shared" si="101"/>
        <v>323</v>
      </c>
      <c r="BI33" s="319">
        <f t="shared" si="101"/>
        <v>323</v>
      </c>
      <c r="BJ33" s="319">
        <f t="shared" si="101"/>
        <v>323</v>
      </c>
      <c r="BK33" s="319">
        <f t="shared" si="101"/>
        <v>323</v>
      </c>
      <c r="BL33" s="319">
        <f t="shared" si="101"/>
        <v>323</v>
      </c>
      <c r="BM33" s="319">
        <f t="shared" si="101"/>
        <v>323</v>
      </c>
      <c r="BN33" s="319">
        <f t="shared" si="101"/>
        <v>323</v>
      </c>
      <c r="BO33" s="319"/>
      <c r="BP33" s="320">
        <v>99</v>
      </c>
      <c r="BQ33" s="320">
        <f t="shared" si="81"/>
        <v>134</v>
      </c>
      <c r="BR33" s="320">
        <f t="shared" si="82"/>
        <v>177</v>
      </c>
      <c r="BS33" s="320">
        <f t="shared" si="83"/>
        <v>121</v>
      </c>
      <c r="BT33" s="320">
        <f t="shared" si="84"/>
        <v>117</v>
      </c>
      <c r="BU33" s="320">
        <f t="shared" si="85"/>
        <v>183</v>
      </c>
      <c r="BV33" s="320">
        <f t="shared" si="86"/>
        <v>163</v>
      </c>
      <c r="BW33" s="320">
        <f t="shared" si="87"/>
        <v>148</v>
      </c>
      <c r="BX33" s="320">
        <f t="shared" si="88"/>
        <v>255</v>
      </c>
      <c r="BY33" s="320">
        <f t="shared" si="89"/>
        <v>132</v>
      </c>
      <c r="BZ33" s="320">
        <f t="shared" si="90"/>
        <v>216</v>
      </c>
      <c r="CA33" s="320">
        <f t="shared" si="91"/>
        <v>250</v>
      </c>
      <c r="CB33" s="320">
        <f t="shared" si="92"/>
        <v>323</v>
      </c>
      <c r="CC33" s="320">
        <f t="shared" si="93"/>
        <v>323</v>
      </c>
      <c r="CD33" s="320">
        <f t="shared" si="94"/>
        <v>323</v>
      </c>
      <c r="CE33" s="320">
        <f t="shared" si="95"/>
        <v>323</v>
      </c>
      <c r="CF33" s="320">
        <f t="shared" si="96"/>
        <v>323</v>
      </c>
    </row>
    <row r="34" spans="1:84" s="321" customFormat="1" ht="13" customHeight="1">
      <c r="A34" s="323" t="s">
        <v>172</v>
      </c>
      <c r="B34" s="324">
        <f t="shared" ref="B34:AH34" si="102">B27+SUM(B29:B33)</f>
        <v>1917</v>
      </c>
      <c r="C34" s="324">
        <f t="shared" si="102"/>
        <v>1493</v>
      </c>
      <c r="D34" s="324">
        <f t="shared" si="102"/>
        <v>1856</v>
      </c>
      <c r="E34" s="324">
        <f t="shared" si="102"/>
        <v>2369</v>
      </c>
      <c r="F34" s="324">
        <f t="shared" si="102"/>
        <v>2364</v>
      </c>
      <c r="G34" s="324">
        <f t="shared" si="102"/>
        <v>1605</v>
      </c>
      <c r="H34" s="324">
        <f t="shared" si="102"/>
        <v>2895</v>
      </c>
      <c r="I34" s="324">
        <f t="shared" si="102"/>
        <v>3431</v>
      </c>
      <c r="J34" s="324">
        <f t="shared" si="102"/>
        <v>3033</v>
      </c>
      <c r="K34" s="324">
        <f t="shared" si="102"/>
        <v>2273</v>
      </c>
      <c r="L34" s="324">
        <f t="shared" si="102"/>
        <v>3037</v>
      </c>
      <c r="M34" s="324">
        <f t="shared" si="102"/>
        <v>3081</v>
      </c>
      <c r="N34" s="324">
        <f t="shared" si="102"/>
        <v>2803</v>
      </c>
      <c r="O34" s="324">
        <f t="shared" ref="O34:T34" si="103">O27+SUM(O29:O33)</f>
        <v>2113</v>
      </c>
      <c r="P34" s="324">
        <f t="shared" si="103"/>
        <v>2750</v>
      </c>
      <c r="Q34" s="324">
        <f t="shared" si="103"/>
        <v>3569</v>
      </c>
      <c r="R34" s="324">
        <f t="shared" si="103"/>
        <v>3294</v>
      </c>
      <c r="S34" s="324">
        <f t="shared" si="103"/>
        <v>2763</v>
      </c>
      <c r="T34" s="324">
        <f t="shared" si="103"/>
        <v>3361</v>
      </c>
      <c r="U34" s="324">
        <f>U27+SUM(U29:U33)</f>
        <v>3443</v>
      </c>
      <c r="V34" s="324">
        <f>V27+SUM(V29:V33)</f>
        <v>3080</v>
      </c>
      <c r="W34" s="324">
        <f t="shared" si="102"/>
        <v>2360</v>
      </c>
      <c r="X34" s="324">
        <f t="shared" si="102"/>
        <v>2841</v>
      </c>
      <c r="Y34" s="324">
        <f t="shared" si="102"/>
        <v>3451</v>
      </c>
      <c r="Z34" s="324">
        <f t="shared" si="102"/>
        <v>3652</v>
      </c>
      <c r="AA34" s="324">
        <f t="shared" si="102"/>
        <v>2889</v>
      </c>
      <c r="AB34" s="324">
        <f t="shared" si="102"/>
        <v>3284</v>
      </c>
      <c r="AC34" s="324">
        <f t="shared" si="102"/>
        <v>4170</v>
      </c>
      <c r="AD34" s="324">
        <f t="shared" si="102"/>
        <v>3658</v>
      </c>
      <c r="AE34" s="324">
        <f t="shared" si="102"/>
        <v>2889</v>
      </c>
      <c r="AF34" s="324">
        <f t="shared" si="102"/>
        <v>3534</v>
      </c>
      <c r="AG34" s="324">
        <f t="shared" si="102"/>
        <v>4556</v>
      </c>
      <c r="AH34" s="324">
        <f t="shared" si="102"/>
        <v>3989</v>
      </c>
      <c r="AI34" s="324">
        <f t="shared" ref="AI34:AR34" si="104">AI27+SUM(AI29:AI33)</f>
        <v>2987</v>
      </c>
      <c r="AJ34" s="324">
        <f t="shared" si="104"/>
        <v>3133</v>
      </c>
      <c r="AK34" s="324">
        <f t="shared" si="104"/>
        <v>3513</v>
      </c>
      <c r="AL34" s="324">
        <f t="shared" si="104"/>
        <v>3626</v>
      </c>
      <c r="AM34" s="324">
        <f t="shared" si="104"/>
        <v>3264</v>
      </c>
      <c r="AN34" s="324">
        <f t="shared" si="104"/>
        <v>3435</v>
      </c>
      <c r="AO34" s="324">
        <f t="shared" si="104"/>
        <v>3924</v>
      </c>
      <c r="AP34" s="324">
        <f t="shared" si="104"/>
        <v>3651</v>
      </c>
      <c r="AQ34" s="324">
        <f t="shared" si="104"/>
        <v>3502</v>
      </c>
      <c r="AR34" s="324">
        <f t="shared" si="104"/>
        <v>3395</v>
      </c>
      <c r="AS34" s="324">
        <f t="shared" ref="AS34:BB34" si="105">AS27+SUM(AS29:AS33)</f>
        <v>4457</v>
      </c>
      <c r="AT34" s="324">
        <f t="shared" si="105"/>
        <v>5448</v>
      </c>
      <c r="AU34" s="324">
        <f t="shared" si="105"/>
        <v>5006</v>
      </c>
      <c r="AV34" s="324">
        <f t="shared" si="105"/>
        <v>5163</v>
      </c>
      <c r="AW34" s="324">
        <f t="shared" si="105"/>
        <v>6453.0112228405469</v>
      </c>
      <c r="AX34" s="324">
        <f t="shared" si="105"/>
        <v>6706.2114149101362</v>
      </c>
      <c r="AY34" s="324">
        <f t="shared" si="105"/>
        <v>5778.1957278504196</v>
      </c>
      <c r="AZ34" s="324">
        <f t="shared" si="105"/>
        <v>5497.5403699735471</v>
      </c>
      <c r="BA34" s="324">
        <f t="shared" si="105"/>
        <v>6806.6459417420956</v>
      </c>
      <c r="BB34" s="324">
        <f t="shared" si="105"/>
        <v>6762.6964841287863</v>
      </c>
      <c r="BC34" s="324">
        <f t="shared" ref="BC34:BN34" si="106">BC27+SUM(BC29:BC33)</f>
        <v>5746.19479224303</v>
      </c>
      <c r="BD34" s="324">
        <f t="shared" si="106"/>
        <v>5495.1288303735673</v>
      </c>
      <c r="BE34" s="324">
        <f t="shared" si="106"/>
        <v>6847.4586413547231</v>
      </c>
      <c r="BF34" s="324">
        <f t="shared" si="106"/>
        <v>6820.1140156154888</v>
      </c>
      <c r="BG34" s="324">
        <f t="shared" si="106"/>
        <v>5772.5705697398262</v>
      </c>
      <c r="BH34" s="324">
        <f t="shared" si="106"/>
        <v>5822.3081803509631</v>
      </c>
      <c r="BI34" s="324">
        <f t="shared" si="106"/>
        <v>7167.8363321058205</v>
      </c>
      <c r="BJ34" s="324">
        <f t="shared" si="106"/>
        <v>7068.7744094376267</v>
      </c>
      <c r="BK34" s="324">
        <f t="shared" si="106"/>
        <v>5898.4542851491788</v>
      </c>
      <c r="BL34" s="324">
        <f t="shared" si="106"/>
        <v>5623.2768543221837</v>
      </c>
      <c r="BM34" s="324">
        <f t="shared" si="106"/>
        <v>7126.5206052615013</v>
      </c>
      <c r="BN34" s="324">
        <f t="shared" si="106"/>
        <v>7086.0391867185417</v>
      </c>
      <c r="BO34" s="324"/>
      <c r="BP34" s="325">
        <v>1917</v>
      </c>
      <c r="BQ34" s="325">
        <f t="shared" si="81"/>
        <v>2364</v>
      </c>
      <c r="BR34" s="325">
        <f t="shared" si="82"/>
        <v>3033</v>
      </c>
      <c r="BS34" s="325">
        <f t="shared" si="83"/>
        <v>2803</v>
      </c>
      <c r="BT34" s="325">
        <f t="shared" si="84"/>
        <v>3294</v>
      </c>
      <c r="BU34" s="325">
        <f t="shared" si="85"/>
        <v>3080</v>
      </c>
      <c r="BV34" s="325">
        <f t="shared" si="86"/>
        <v>3652</v>
      </c>
      <c r="BW34" s="325">
        <f t="shared" si="87"/>
        <v>3658</v>
      </c>
      <c r="BX34" s="325">
        <f t="shared" si="88"/>
        <v>3989</v>
      </c>
      <c r="BY34" s="325">
        <f t="shared" si="89"/>
        <v>3626</v>
      </c>
      <c r="BZ34" s="325">
        <f t="shared" si="90"/>
        <v>3651</v>
      </c>
      <c r="CA34" s="325">
        <f t="shared" si="91"/>
        <v>5448</v>
      </c>
      <c r="CB34" s="325">
        <f t="shared" si="92"/>
        <v>6706.2114149101362</v>
      </c>
      <c r="CC34" s="325">
        <f t="shared" si="93"/>
        <v>6762.6964841287863</v>
      </c>
      <c r="CD34" s="325">
        <f t="shared" si="94"/>
        <v>6820.1140156154888</v>
      </c>
      <c r="CE34" s="325">
        <f t="shared" si="95"/>
        <v>7068.7744094376267</v>
      </c>
      <c r="CF34" s="325">
        <f t="shared" si="96"/>
        <v>7086.0391867185417</v>
      </c>
    </row>
    <row r="35" spans="1:84" s="321" customFormat="1" ht="13" customHeight="1">
      <c r="A35" s="330"/>
      <c r="B35" s="331"/>
      <c r="C35" s="331"/>
      <c r="D35" s="331"/>
      <c r="E35" s="331"/>
      <c r="F35" s="331"/>
      <c r="G35" s="331"/>
      <c r="H35" s="331"/>
      <c r="I35" s="331"/>
      <c r="J35" s="331"/>
      <c r="K35" s="331"/>
      <c r="L35" s="331"/>
      <c r="M35" s="331"/>
      <c r="N35" s="331"/>
      <c r="O35" s="331"/>
      <c r="P35" s="331"/>
      <c r="Q35" s="331"/>
      <c r="R35" s="331"/>
      <c r="S35" s="331"/>
      <c r="T35" s="331"/>
      <c r="U35" s="331"/>
      <c r="V35" s="331"/>
      <c r="W35" s="331"/>
      <c r="X35" s="331"/>
      <c r="Y35" s="331"/>
      <c r="Z35" s="331"/>
      <c r="AA35" s="331"/>
      <c r="AB35" s="331"/>
      <c r="AC35" s="331"/>
      <c r="AD35" s="331"/>
      <c r="AE35" s="331"/>
      <c r="AF35" s="331"/>
      <c r="AG35" s="331"/>
      <c r="AH35" s="331"/>
      <c r="AI35" s="331"/>
      <c r="AJ35" s="331"/>
      <c r="AK35" s="331"/>
      <c r="AL35" s="331"/>
      <c r="AM35" s="331"/>
      <c r="AN35" s="331"/>
      <c r="AO35" s="331"/>
      <c r="AP35" s="331"/>
      <c r="AQ35" s="331"/>
      <c r="AR35" s="331"/>
      <c r="AS35" s="331"/>
      <c r="AT35" s="331"/>
      <c r="AU35" s="331"/>
      <c r="AV35" s="331"/>
      <c r="AW35" s="331"/>
      <c r="AX35" s="331"/>
      <c r="AY35" s="331"/>
      <c r="AZ35" s="331"/>
      <c r="BA35" s="331"/>
      <c r="BB35" s="331"/>
      <c r="BC35" s="331"/>
      <c r="BD35" s="331"/>
      <c r="BE35" s="331"/>
      <c r="BF35" s="331"/>
      <c r="BG35" s="331"/>
      <c r="BH35" s="331"/>
      <c r="BI35" s="331"/>
      <c r="BJ35" s="331"/>
      <c r="BK35" s="331"/>
      <c r="BL35" s="331"/>
      <c r="BM35" s="331"/>
      <c r="BN35" s="331"/>
      <c r="BO35" s="331"/>
      <c r="BP35" s="332"/>
      <c r="BQ35" s="332"/>
      <c r="BR35" s="332"/>
      <c r="BS35" s="332"/>
      <c r="BT35" s="332"/>
      <c r="BU35" s="332"/>
      <c r="BV35" s="332"/>
      <c r="BW35" s="332"/>
      <c r="BX35" s="332"/>
      <c r="BY35" s="332"/>
      <c r="BZ35" s="332"/>
      <c r="CA35" s="332"/>
      <c r="CB35" s="332"/>
      <c r="CC35" s="332"/>
      <c r="CD35" s="332"/>
      <c r="CE35" s="332"/>
      <c r="CF35" s="332"/>
    </row>
    <row r="36" spans="1:84" s="321" customFormat="1" ht="13" customHeight="1">
      <c r="A36" s="318" t="s">
        <v>135</v>
      </c>
      <c r="B36" s="322">
        <v>0</v>
      </c>
      <c r="C36" s="322">
        <v>0</v>
      </c>
      <c r="D36" s="322">
        <v>0</v>
      </c>
      <c r="E36" s="322">
        <v>0</v>
      </c>
      <c r="F36" s="322">
        <v>0</v>
      </c>
      <c r="G36" s="322">
        <v>0</v>
      </c>
      <c r="H36" s="322">
        <v>0</v>
      </c>
      <c r="I36" s="322">
        <v>0</v>
      </c>
      <c r="J36" s="322">
        <v>0</v>
      </c>
      <c r="K36" s="322">
        <v>0</v>
      </c>
      <c r="L36" s="322">
        <v>0</v>
      </c>
      <c r="M36" s="322">
        <v>0</v>
      </c>
      <c r="N36" s="322">
        <v>0</v>
      </c>
      <c r="O36" s="322">
        <v>0</v>
      </c>
      <c r="P36" s="322">
        <v>0</v>
      </c>
      <c r="Q36" s="322">
        <v>0</v>
      </c>
      <c r="R36" s="322">
        <v>0</v>
      </c>
      <c r="S36" s="322">
        <v>0</v>
      </c>
      <c r="T36" s="322">
        <v>0</v>
      </c>
      <c r="U36" s="322">
        <v>37</v>
      </c>
      <c r="V36" s="322">
        <v>31</v>
      </c>
      <c r="W36" s="322">
        <v>25</v>
      </c>
      <c r="X36" s="322">
        <v>13</v>
      </c>
      <c r="Y36" s="322">
        <v>7</v>
      </c>
      <c r="Z36" s="322">
        <v>2</v>
      </c>
      <c r="AA36" s="322">
        <v>0</v>
      </c>
      <c r="AB36" s="322">
        <v>0</v>
      </c>
      <c r="AC36" s="322">
        <v>0</v>
      </c>
      <c r="AD36" s="322">
        <v>0</v>
      </c>
      <c r="AE36" s="322">
        <v>0</v>
      </c>
      <c r="AF36" s="322">
        <v>0</v>
      </c>
      <c r="AG36" s="322">
        <v>0</v>
      </c>
      <c r="AH36" s="322">
        <v>0</v>
      </c>
      <c r="AI36" s="322">
        <v>0</v>
      </c>
      <c r="AJ36" s="322">
        <v>0</v>
      </c>
      <c r="AK36" s="322">
        <v>0</v>
      </c>
      <c r="AL36" s="322">
        <v>0</v>
      </c>
      <c r="AM36" s="322">
        <v>0</v>
      </c>
      <c r="AN36" s="322">
        <v>0</v>
      </c>
      <c r="AO36" s="322">
        <v>0</v>
      </c>
      <c r="AP36" s="322">
        <v>0</v>
      </c>
      <c r="AQ36" s="322">
        <v>0</v>
      </c>
      <c r="AR36" s="322">
        <v>0</v>
      </c>
      <c r="AS36" s="322">
        <v>0</v>
      </c>
      <c r="AT36" s="322">
        <v>0</v>
      </c>
      <c r="AU36" s="322">
        <v>0</v>
      </c>
      <c r="AV36" s="322">
        <v>0</v>
      </c>
      <c r="AW36" s="329">
        <f t="shared" ref="AW36:BB36" si="107">AV36</f>
        <v>0</v>
      </c>
      <c r="AX36" s="329">
        <f t="shared" si="107"/>
        <v>0</v>
      </c>
      <c r="AY36" s="329">
        <f t="shared" si="107"/>
        <v>0</v>
      </c>
      <c r="AZ36" s="329">
        <f t="shared" si="107"/>
        <v>0</v>
      </c>
      <c r="BA36" s="329">
        <f t="shared" si="107"/>
        <v>0</v>
      </c>
      <c r="BB36" s="329">
        <f t="shared" si="107"/>
        <v>0</v>
      </c>
      <c r="BC36" s="329">
        <f t="shared" ref="BC36:BN36" si="108">BB36</f>
        <v>0</v>
      </c>
      <c r="BD36" s="329">
        <f t="shared" si="108"/>
        <v>0</v>
      </c>
      <c r="BE36" s="329">
        <f t="shared" si="108"/>
        <v>0</v>
      </c>
      <c r="BF36" s="329">
        <f t="shared" si="108"/>
        <v>0</v>
      </c>
      <c r="BG36" s="329">
        <f t="shared" si="108"/>
        <v>0</v>
      </c>
      <c r="BH36" s="329">
        <f t="shared" si="108"/>
        <v>0</v>
      </c>
      <c r="BI36" s="329">
        <f t="shared" si="108"/>
        <v>0</v>
      </c>
      <c r="BJ36" s="329">
        <f t="shared" si="108"/>
        <v>0</v>
      </c>
      <c r="BK36" s="329">
        <f t="shared" si="108"/>
        <v>0</v>
      </c>
      <c r="BL36" s="329">
        <f t="shared" si="108"/>
        <v>0</v>
      </c>
      <c r="BM36" s="329">
        <f t="shared" si="108"/>
        <v>0</v>
      </c>
      <c r="BN36" s="329">
        <f t="shared" si="108"/>
        <v>0</v>
      </c>
      <c r="BO36" s="329"/>
      <c r="BP36" s="320">
        <v>0</v>
      </c>
      <c r="BQ36" s="320">
        <f>F36</f>
        <v>0</v>
      </c>
      <c r="BR36" s="320">
        <f>J36</f>
        <v>0</v>
      </c>
      <c r="BS36" s="320">
        <f>N36</f>
        <v>0</v>
      </c>
      <c r="BT36" s="320">
        <f>R36</f>
        <v>0</v>
      </c>
      <c r="BU36" s="320">
        <f>V36</f>
        <v>31</v>
      </c>
      <c r="BV36" s="320">
        <f>Z36</f>
        <v>2</v>
      </c>
      <c r="BW36" s="320">
        <f>AD36</f>
        <v>0</v>
      </c>
      <c r="BX36" s="320">
        <f>AH36</f>
        <v>0</v>
      </c>
      <c r="BY36" s="320">
        <f>AL36</f>
        <v>0</v>
      </c>
      <c r="BZ36" s="320">
        <f>AP36</f>
        <v>0</v>
      </c>
      <c r="CA36" s="320">
        <f>AT36</f>
        <v>0</v>
      </c>
      <c r="CB36" s="320">
        <f>AX36</f>
        <v>0</v>
      </c>
      <c r="CC36" s="320">
        <f>BB36</f>
        <v>0</v>
      </c>
      <c r="CD36" s="320">
        <f>BF36</f>
        <v>0</v>
      </c>
      <c r="CE36" s="320">
        <f>BJ36</f>
        <v>0</v>
      </c>
      <c r="CF36" s="320">
        <f>BN36</f>
        <v>0</v>
      </c>
    </row>
    <row r="37" spans="1:84" s="321" customFormat="1" ht="13" customHeight="1">
      <c r="A37" s="323"/>
      <c r="B37" s="331"/>
      <c r="C37" s="331"/>
      <c r="D37" s="331"/>
      <c r="E37" s="331"/>
      <c r="F37" s="331"/>
      <c r="G37" s="331"/>
      <c r="H37" s="331"/>
      <c r="I37" s="331"/>
      <c r="J37" s="331"/>
      <c r="K37" s="331"/>
      <c r="L37" s="331"/>
      <c r="M37" s="331"/>
      <c r="N37" s="331"/>
      <c r="O37" s="331"/>
      <c r="P37" s="331"/>
      <c r="Q37" s="331"/>
      <c r="R37" s="331"/>
      <c r="S37" s="331"/>
      <c r="T37" s="331"/>
      <c r="U37" s="323"/>
      <c r="V37" s="323"/>
      <c r="W37" s="333"/>
      <c r="X37" s="323"/>
      <c r="Y37" s="323"/>
      <c r="Z37" s="333"/>
      <c r="AA37" s="333"/>
      <c r="AB37" s="333"/>
      <c r="AC37" s="333"/>
      <c r="AD37" s="333"/>
      <c r="AE37" s="333"/>
      <c r="AF37" s="333"/>
      <c r="AG37" s="333"/>
      <c r="AH37" s="333"/>
      <c r="AI37" s="333"/>
      <c r="AJ37" s="333"/>
      <c r="AK37" s="333"/>
      <c r="AL37" s="333"/>
      <c r="AM37" s="333"/>
      <c r="AN37" s="333"/>
      <c r="AO37" s="333"/>
      <c r="AP37" s="333"/>
      <c r="AQ37" s="333"/>
      <c r="AR37" s="333"/>
      <c r="AS37" s="333"/>
      <c r="AT37" s="333"/>
      <c r="AU37" s="333"/>
      <c r="AV37" s="323"/>
      <c r="AW37" s="323"/>
      <c r="AX37" s="323"/>
      <c r="AY37" s="323"/>
      <c r="AZ37" s="323"/>
      <c r="BA37" s="323"/>
      <c r="BB37" s="323"/>
      <c r="BC37" s="323"/>
      <c r="BD37" s="323"/>
      <c r="BE37" s="323"/>
      <c r="BF37" s="323"/>
      <c r="BG37" s="323"/>
      <c r="BH37" s="323"/>
      <c r="BI37" s="323"/>
      <c r="BJ37" s="323"/>
      <c r="BK37" s="323"/>
      <c r="BL37" s="323"/>
      <c r="BM37" s="323"/>
      <c r="BN37" s="323"/>
      <c r="BO37" s="323"/>
      <c r="BP37" s="323"/>
      <c r="BQ37" s="323"/>
      <c r="BR37" s="323"/>
      <c r="BS37" s="323"/>
      <c r="BT37" s="323"/>
      <c r="BU37" s="323"/>
      <c r="BV37" s="323"/>
      <c r="BW37" s="323"/>
      <c r="BX37" s="323"/>
      <c r="BY37" s="323"/>
      <c r="BZ37" s="323"/>
      <c r="CA37" s="323"/>
      <c r="CB37" s="323"/>
      <c r="CC37" s="323"/>
      <c r="CD37" s="323"/>
      <c r="CE37" s="323"/>
      <c r="CF37" s="323"/>
    </row>
    <row r="38" spans="1:84" s="334" customFormat="1" ht="13" customHeight="1">
      <c r="A38" s="318" t="s">
        <v>95</v>
      </c>
      <c r="B38" s="322">
        <v>3</v>
      </c>
      <c r="C38" s="322">
        <v>3</v>
      </c>
      <c r="D38" s="322">
        <v>3</v>
      </c>
      <c r="E38" s="322">
        <v>3</v>
      </c>
      <c r="F38" s="322">
        <v>3</v>
      </c>
      <c r="G38" s="322">
        <v>3</v>
      </c>
      <c r="H38" s="322">
        <v>3</v>
      </c>
      <c r="I38" s="322">
        <v>3</v>
      </c>
      <c r="J38" s="322">
        <v>3</v>
      </c>
      <c r="K38" s="322">
        <v>3</v>
      </c>
      <c r="L38" s="322">
        <v>3</v>
      </c>
      <c r="M38" s="322">
        <v>3</v>
      </c>
      <c r="N38" s="322">
        <v>3</v>
      </c>
      <c r="O38" s="322">
        <v>3</v>
      </c>
      <c r="P38" s="322">
        <v>3</v>
      </c>
      <c r="Q38" s="322">
        <v>3</v>
      </c>
      <c r="R38" s="322">
        <v>3</v>
      </c>
      <c r="S38" s="322">
        <v>3</v>
      </c>
      <c r="T38" s="322">
        <v>3</v>
      </c>
      <c r="U38" s="322">
        <v>3</v>
      </c>
      <c r="V38" s="322">
        <v>3</v>
      </c>
      <c r="W38" s="322">
        <v>3</v>
      </c>
      <c r="X38" s="322">
        <v>3</v>
      </c>
      <c r="Y38" s="322">
        <v>3</v>
      </c>
      <c r="Z38" s="322">
        <v>3</v>
      </c>
      <c r="AA38" s="322">
        <v>3</v>
      </c>
      <c r="AB38" s="322">
        <v>3</v>
      </c>
      <c r="AC38" s="322">
        <v>3</v>
      </c>
      <c r="AD38" s="322">
        <v>3</v>
      </c>
      <c r="AE38" s="322">
        <v>3</v>
      </c>
      <c r="AF38" s="322">
        <v>3</v>
      </c>
      <c r="AG38" s="322">
        <v>3</v>
      </c>
      <c r="AH38" s="322">
        <v>3</v>
      </c>
      <c r="AI38" s="322">
        <v>3</v>
      </c>
      <c r="AJ38" s="322">
        <v>3</v>
      </c>
      <c r="AK38" s="322">
        <v>3</v>
      </c>
      <c r="AL38" s="322">
        <v>3</v>
      </c>
      <c r="AM38" s="322">
        <v>3</v>
      </c>
      <c r="AN38" s="322">
        <v>3</v>
      </c>
      <c r="AO38" s="322">
        <v>3</v>
      </c>
      <c r="AP38" s="322">
        <v>3</v>
      </c>
      <c r="AQ38" s="322">
        <v>3</v>
      </c>
      <c r="AR38" s="322">
        <v>3</v>
      </c>
      <c r="AS38" s="322">
        <v>3</v>
      </c>
      <c r="AT38" s="322">
        <v>3</v>
      </c>
      <c r="AU38" s="322">
        <v>3</v>
      </c>
      <c r="AV38" s="322">
        <v>3</v>
      </c>
      <c r="AW38" s="329">
        <f t="shared" ref="AW38:BB38" si="109">AV38</f>
        <v>3</v>
      </c>
      <c r="AX38" s="329">
        <f t="shared" si="109"/>
        <v>3</v>
      </c>
      <c r="AY38" s="329">
        <f t="shared" si="109"/>
        <v>3</v>
      </c>
      <c r="AZ38" s="329">
        <f t="shared" si="109"/>
        <v>3</v>
      </c>
      <c r="BA38" s="329">
        <f t="shared" si="109"/>
        <v>3</v>
      </c>
      <c r="BB38" s="329">
        <f t="shared" si="109"/>
        <v>3</v>
      </c>
      <c r="BC38" s="329">
        <f t="shared" ref="BC38:BN38" si="110">BB38</f>
        <v>3</v>
      </c>
      <c r="BD38" s="329">
        <f t="shared" si="110"/>
        <v>3</v>
      </c>
      <c r="BE38" s="329">
        <f t="shared" si="110"/>
        <v>3</v>
      </c>
      <c r="BF38" s="329">
        <f t="shared" si="110"/>
        <v>3</v>
      </c>
      <c r="BG38" s="329">
        <f t="shared" si="110"/>
        <v>3</v>
      </c>
      <c r="BH38" s="329">
        <f t="shared" si="110"/>
        <v>3</v>
      </c>
      <c r="BI38" s="329">
        <f t="shared" si="110"/>
        <v>3</v>
      </c>
      <c r="BJ38" s="329">
        <f t="shared" si="110"/>
        <v>3</v>
      </c>
      <c r="BK38" s="329">
        <f t="shared" si="110"/>
        <v>3</v>
      </c>
      <c r="BL38" s="329">
        <f t="shared" si="110"/>
        <v>3</v>
      </c>
      <c r="BM38" s="329">
        <f t="shared" si="110"/>
        <v>3</v>
      </c>
      <c r="BN38" s="329">
        <f t="shared" si="110"/>
        <v>3</v>
      </c>
      <c r="BO38" s="329"/>
      <c r="BP38" s="320">
        <v>3</v>
      </c>
      <c r="BQ38" s="320">
        <f>F38</f>
        <v>3</v>
      </c>
      <c r="BR38" s="320">
        <f>J38</f>
        <v>3</v>
      </c>
      <c r="BS38" s="320">
        <f>N38</f>
        <v>3</v>
      </c>
      <c r="BT38" s="320">
        <f>R38</f>
        <v>3</v>
      </c>
      <c r="BU38" s="320">
        <f>V38</f>
        <v>3</v>
      </c>
      <c r="BV38" s="320">
        <f>Z38</f>
        <v>3</v>
      </c>
      <c r="BW38" s="320">
        <f>AD38</f>
        <v>3</v>
      </c>
      <c r="BX38" s="320">
        <f>AH38</f>
        <v>3</v>
      </c>
      <c r="BY38" s="320">
        <f>AL38</f>
        <v>3</v>
      </c>
      <c r="BZ38" s="320">
        <f>AP38</f>
        <v>3</v>
      </c>
      <c r="CA38" s="320">
        <f>AT38</f>
        <v>3</v>
      </c>
      <c r="CB38" s="320">
        <f>AX38</f>
        <v>3</v>
      </c>
      <c r="CC38" s="320">
        <f>BB38</f>
        <v>3</v>
      </c>
      <c r="CD38" s="320">
        <f>BF38</f>
        <v>3</v>
      </c>
      <c r="CE38" s="320">
        <f>BJ38</f>
        <v>3</v>
      </c>
      <c r="CF38" s="320">
        <f>BN38</f>
        <v>3</v>
      </c>
    </row>
    <row r="39" spans="1:84" s="321" customFormat="1" ht="13" customHeight="1">
      <c r="A39" s="318" t="s">
        <v>96</v>
      </c>
      <c r="B39" s="322">
        <v>2375</v>
      </c>
      <c r="C39" s="322">
        <v>2417</v>
      </c>
      <c r="D39" s="322">
        <v>2473</v>
      </c>
      <c r="E39" s="322">
        <v>2504</v>
      </c>
      <c r="F39" s="322">
        <v>2495</v>
      </c>
      <c r="G39" s="322">
        <v>2439</v>
      </c>
      <c r="H39" s="322">
        <v>2551</v>
      </c>
      <c r="I39" s="322">
        <v>2549</v>
      </c>
      <c r="J39" s="322">
        <v>2359</v>
      </c>
      <c r="K39" s="322">
        <v>2310</v>
      </c>
      <c r="L39" s="322">
        <v>2259</v>
      </c>
      <c r="M39" s="322">
        <v>2138</v>
      </c>
      <c r="N39" s="322">
        <v>2174</v>
      </c>
      <c r="O39" s="322">
        <v>2190</v>
      </c>
      <c r="P39" s="322">
        <v>2251</v>
      </c>
      <c r="Q39" s="322">
        <v>2287</v>
      </c>
      <c r="R39" s="322">
        <v>2353</v>
      </c>
      <c r="S39" s="322">
        <v>2285</v>
      </c>
      <c r="T39" s="322">
        <v>2247</v>
      </c>
      <c r="U39" s="322">
        <v>2152</v>
      </c>
      <c r="V39" s="322">
        <v>2127</v>
      </c>
      <c r="W39" s="322">
        <v>2001</v>
      </c>
      <c r="X39" s="322">
        <v>1981</v>
      </c>
      <c r="Y39" s="322">
        <v>1905</v>
      </c>
      <c r="Z39" s="322">
        <v>1349</v>
      </c>
      <c r="AA39" s="322">
        <v>1210</v>
      </c>
      <c r="AB39" s="322">
        <v>1153</v>
      </c>
      <c r="AC39" s="322">
        <v>1086</v>
      </c>
      <c r="AD39" s="322">
        <v>1049</v>
      </c>
      <c r="AE39" s="322">
        <v>891</v>
      </c>
      <c r="AF39" s="322">
        <v>817</v>
      </c>
      <c r="AG39" s="322">
        <v>723</v>
      </c>
      <c r="AH39" s="322">
        <v>657</v>
      </c>
      <c r="AI39" s="322">
        <v>339</v>
      </c>
      <c r="AJ39" s="322">
        <v>134</v>
      </c>
      <c r="AK39" s="322">
        <v>0</v>
      </c>
      <c r="AL39" s="322">
        <v>0</v>
      </c>
      <c r="AM39" s="322">
        <v>0</v>
      </c>
      <c r="AN39" s="322">
        <v>0</v>
      </c>
      <c r="AO39" s="322">
        <v>0</v>
      </c>
      <c r="AP39" s="322">
        <v>0</v>
      </c>
      <c r="AQ39" s="322">
        <v>0</v>
      </c>
      <c r="AR39" s="322">
        <v>145</v>
      </c>
      <c r="AS39" s="322">
        <v>0</v>
      </c>
      <c r="AT39" s="322">
        <v>0</v>
      </c>
      <c r="AU39" s="322">
        <f>AU21-AU34-SUM(AU36,AU38,AU40:AU41)</f>
        <v>0</v>
      </c>
      <c r="AV39" s="322">
        <f>AV21-AV34-SUM(AV36,AV38,AV40:AV41)</f>
        <v>0</v>
      </c>
      <c r="AW39" s="319">
        <f>AV39+CF!AW11+CF!AW36+CF!AW37</f>
        <v>96.164322373863399</v>
      </c>
      <c r="AX39" s="319">
        <f>AW39+CF!AX11+CF!AX36+CF!AX37</f>
        <v>250.81002333030389</v>
      </c>
      <c r="AY39" s="319">
        <f>AX39+CF!AY11+CF!AY36+CF!AY37</f>
        <v>327.46817679853427</v>
      </c>
      <c r="AZ39" s="319">
        <f>AY39+CF!AZ11+CF!AZ36+CF!AZ37</f>
        <v>484.71488512577758</v>
      </c>
      <c r="BA39" s="319">
        <f>AZ39+CF!BA11+CF!BA36+CF!BA37</f>
        <v>599.12191690464874</v>
      </c>
      <c r="BB39" s="319">
        <f>BA39+CF!BB11+CF!BB36+CF!BB37</f>
        <v>747.61398399969221</v>
      </c>
      <c r="BC39" s="319">
        <f>BB39+CF!BC11+CF!BC36+CF!BC37</f>
        <v>829.47024286192811</v>
      </c>
      <c r="BD39" s="319">
        <f>BC39+CF!BD11+CF!BD36+CF!BD37</f>
        <v>985.81982283417926</v>
      </c>
      <c r="BE39" s="319">
        <f>BD39+CF!BE11+CF!BE36+CF!BE37</f>
        <v>1101.7818865437646</v>
      </c>
      <c r="BF39" s="319">
        <f>BE39+CF!BF11+CF!BF36+CF!BF37</f>
        <v>1253.7995521045075</v>
      </c>
      <c r="BG39" s="319">
        <f>BF39+CF!BG11+CF!BG36+CF!BG37</f>
        <v>1338.4957165076662</v>
      </c>
      <c r="BH39" s="319">
        <f>BG39+CF!BH11+CF!BH36+CF!BH37</f>
        <v>1525.6739323023535</v>
      </c>
      <c r="BI39" s="319">
        <f>BH39+CF!BI11+CF!BI36+CF!BI37</f>
        <v>1650.075615712175</v>
      </c>
      <c r="BJ39" s="319">
        <f>BI39+CF!BJ11+CF!BJ36+CF!BJ37</f>
        <v>1810.6054994068895</v>
      </c>
      <c r="BK39" s="319">
        <f>BJ39+CF!BK11+CF!BK36+CF!BK37</f>
        <v>1899.0956260500243</v>
      </c>
      <c r="BL39" s="319">
        <f>BK39+CF!BL11+CF!BL36+CF!BL37</f>
        <v>2066.9792635542449</v>
      </c>
      <c r="BM39" s="319">
        <f>BL39+CF!BM11+CF!BM36+CF!BM37</f>
        <v>2194.0479415923842</v>
      </c>
      <c r="BN39" s="319">
        <f>BM39+CF!BN11+CF!BN36+CF!BN37</f>
        <v>2360.2148752700591</v>
      </c>
      <c r="BO39" s="319"/>
      <c r="BP39" s="320">
        <v>2375</v>
      </c>
      <c r="BQ39" s="320">
        <f>F39</f>
        <v>2495</v>
      </c>
      <c r="BR39" s="320">
        <f>J39</f>
        <v>2359</v>
      </c>
      <c r="BS39" s="320">
        <f>N39</f>
        <v>2174</v>
      </c>
      <c r="BT39" s="320">
        <f>R39</f>
        <v>2353</v>
      </c>
      <c r="BU39" s="320">
        <f>V39</f>
        <v>2127</v>
      </c>
      <c r="BV39" s="320">
        <f>Z39</f>
        <v>1349</v>
      </c>
      <c r="BW39" s="320">
        <f>AD39</f>
        <v>1049</v>
      </c>
      <c r="BX39" s="320">
        <f>AH39</f>
        <v>657</v>
      </c>
      <c r="BY39" s="320">
        <f>AL39</f>
        <v>0</v>
      </c>
      <c r="BZ39" s="320">
        <f>AP39</f>
        <v>0</v>
      </c>
      <c r="CA39" s="320">
        <f>AT39</f>
        <v>0</v>
      </c>
      <c r="CB39" s="320">
        <f>AX39</f>
        <v>250.81002333030389</v>
      </c>
      <c r="CC39" s="320">
        <f>BB39</f>
        <v>747.61398399969221</v>
      </c>
      <c r="CD39" s="320">
        <f>BF39</f>
        <v>1253.7995521045075</v>
      </c>
      <c r="CE39" s="320">
        <f>BJ39</f>
        <v>1810.6054994068895</v>
      </c>
      <c r="CF39" s="320">
        <f>BN39</f>
        <v>2360.2148752700591</v>
      </c>
    </row>
    <row r="40" spans="1:84" s="321" customFormat="1" ht="13" customHeight="1">
      <c r="A40" s="318" t="s">
        <v>97</v>
      </c>
      <c r="B40" s="322">
        <v>228</v>
      </c>
      <c r="C40" s="322">
        <v>113</v>
      </c>
      <c r="D40" s="322">
        <v>144</v>
      </c>
      <c r="E40" s="322">
        <v>155</v>
      </c>
      <c r="F40" s="322">
        <v>219</v>
      </c>
      <c r="G40" s="322">
        <v>240</v>
      </c>
      <c r="H40" s="322">
        <v>258</v>
      </c>
      <c r="I40" s="322">
        <v>190</v>
      </c>
      <c r="J40" s="322">
        <v>173</v>
      </c>
      <c r="K40" s="322">
        <v>115</v>
      </c>
      <c r="L40" s="322">
        <v>149</v>
      </c>
      <c r="M40" s="322">
        <v>119</v>
      </c>
      <c r="N40" s="322">
        <v>69</v>
      </c>
      <c r="O40" s="322">
        <v>56</v>
      </c>
      <c r="P40" s="322">
        <v>62</v>
      </c>
      <c r="Q40" s="322">
        <v>52</v>
      </c>
      <c r="R40" s="322">
        <v>37</v>
      </c>
      <c r="S40" s="322">
        <v>61</v>
      </c>
      <c r="T40" s="322">
        <v>53</v>
      </c>
      <c r="U40" s="322">
        <v>23</v>
      </c>
      <c r="V40" s="322">
        <v>2</v>
      </c>
      <c r="W40" s="322">
        <v>-14</v>
      </c>
      <c r="X40" s="322">
        <v>-44</v>
      </c>
      <c r="Y40" s="322">
        <v>-57</v>
      </c>
      <c r="Z40" s="322">
        <v>-16</v>
      </c>
      <c r="AA40" s="322">
        <v>3</v>
      </c>
      <c r="AB40" s="322">
        <v>-10</v>
      </c>
      <c r="AC40" s="322">
        <v>-1</v>
      </c>
      <c r="AD40" s="322">
        <v>-19</v>
      </c>
      <c r="AE40" s="322">
        <v>-71</v>
      </c>
      <c r="AF40" s="322">
        <v>-73</v>
      </c>
      <c r="AG40" s="322">
        <v>-95</v>
      </c>
      <c r="AH40" s="322">
        <v>-127</v>
      </c>
      <c r="AI40" s="322">
        <v>-26</v>
      </c>
      <c r="AJ40" s="322">
        <v>-19</v>
      </c>
      <c r="AK40" s="322">
        <v>-17</v>
      </c>
      <c r="AL40" s="322">
        <v>-30</v>
      </c>
      <c r="AM40" s="322">
        <v>-17</v>
      </c>
      <c r="AN40" s="322">
        <v>-10</v>
      </c>
      <c r="AO40" s="322">
        <v>-33</v>
      </c>
      <c r="AP40" s="322">
        <v>-50</v>
      </c>
      <c r="AQ40" s="322">
        <v>-52</v>
      </c>
      <c r="AR40" s="322">
        <v>-89</v>
      </c>
      <c r="AS40" s="322">
        <v>-94</v>
      </c>
      <c r="AT40" s="322">
        <v>-50</v>
      </c>
      <c r="AU40" s="322">
        <v>-35</v>
      </c>
      <c r="AV40" s="322">
        <v>-2</v>
      </c>
      <c r="AW40" s="329">
        <f t="shared" ref="AW40:BB40" si="111">AV40</f>
        <v>-2</v>
      </c>
      <c r="AX40" s="329">
        <f t="shared" si="111"/>
        <v>-2</v>
      </c>
      <c r="AY40" s="329">
        <f t="shared" si="111"/>
        <v>-2</v>
      </c>
      <c r="AZ40" s="329">
        <f t="shared" si="111"/>
        <v>-2</v>
      </c>
      <c r="BA40" s="329">
        <f t="shared" si="111"/>
        <v>-2</v>
      </c>
      <c r="BB40" s="329">
        <f t="shared" si="111"/>
        <v>-2</v>
      </c>
      <c r="BC40" s="329">
        <f t="shared" ref="BC40:BN40" si="112">BB40</f>
        <v>-2</v>
      </c>
      <c r="BD40" s="329">
        <f t="shared" si="112"/>
        <v>-2</v>
      </c>
      <c r="BE40" s="329">
        <f t="shared" si="112"/>
        <v>-2</v>
      </c>
      <c r="BF40" s="329">
        <f t="shared" si="112"/>
        <v>-2</v>
      </c>
      <c r="BG40" s="329">
        <f t="shared" si="112"/>
        <v>-2</v>
      </c>
      <c r="BH40" s="329">
        <f t="shared" si="112"/>
        <v>-2</v>
      </c>
      <c r="BI40" s="329">
        <f t="shared" si="112"/>
        <v>-2</v>
      </c>
      <c r="BJ40" s="329">
        <f t="shared" si="112"/>
        <v>-2</v>
      </c>
      <c r="BK40" s="329">
        <f t="shared" si="112"/>
        <v>-2</v>
      </c>
      <c r="BL40" s="329">
        <f t="shared" si="112"/>
        <v>-2</v>
      </c>
      <c r="BM40" s="329">
        <f t="shared" si="112"/>
        <v>-2</v>
      </c>
      <c r="BN40" s="329">
        <f t="shared" si="112"/>
        <v>-2</v>
      </c>
      <c r="BO40" s="329"/>
      <c r="BP40" s="320">
        <v>228</v>
      </c>
      <c r="BQ40" s="320">
        <f>F40</f>
        <v>219</v>
      </c>
      <c r="BR40" s="320">
        <f>J40</f>
        <v>173</v>
      </c>
      <c r="BS40" s="320">
        <f>N40</f>
        <v>69</v>
      </c>
      <c r="BT40" s="320">
        <f>R40</f>
        <v>37</v>
      </c>
      <c r="BU40" s="320">
        <f>V40</f>
        <v>2</v>
      </c>
      <c r="BV40" s="320">
        <f>Z40</f>
        <v>-16</v>
      </c>
      <c r="BW40" s="320">
        <f>AD40</f>
        <v>-19</v>
      </c>
      <c r="BX40" s="320">
        <f>AH40</f>
        <v>-127</v>
      </c>
      <c r="BY40" s="320">
        <f>AL40</f>
        <v>-30</v>
      </c>
      <c r="BZ40" s="320">
        <f>AP40</f>
        <v>-50</v>
      </c>
      <c r="CA40" s="320">
        <f>AT40</f>
        <v>-50</v>
      </c>
      <c r="CB40" s="320">
        <f>AX40</f>
        <v>-2</v>
      </c>
      <c r="CC40" s="320">
        <f>BB40</f>
        <v>-2</v>
      </c>
      <c r="CD40" s="320">
        <f>BF40</f>
        <v>-2</v>
      </c>
      <c r="CE40" s="320">
        <f>BJ40</f>
        <v>-2</v>
      </c>
      <c r="CF40" s="320">
        <f>BN40</f>
        <v>-2</v>
      </c>
    </row>
    <row r="41" spans="1:84" s="334" customFormat="1" ht="13" customHeight="1">
      <c r="A41" s="323" t="s">
        <v>55</v>
      </c>
      <c r="B41" s="322">
        <v>123</v>
      </c>
      <c r="C41" s="319">
        <f>B41+Drivers!C205</f>
        <v>219</v>
      </c>
      <c r="D41" s="319">
        <f>C41+Drivers!D205</f>
        <v>18</v>
      </c>
      <c r="E41" s="319">
        <f>D41+Drivers!E205</f>
        <v>-304</v>
      </c>
      <c r="F41" s="319">
        <f>E41+Drivers!F205</f>
        <v>-153</v>
      </c>
      <c r="G41" s="319">
        <f>F41+Drivers!G205</f>
        <v>68</v>
      </c>
      <c r="H41" s="319">
        <f>G41+Drivers!H205</f>
        <v>-272</v>
      </c>
      <c r="I41" s="319">
        <f>H41+Drivers!I205</f>
        <v>-477</v>
      </c>
      <c r="J41" s="319">
        <f>I41+Drivers!J205</f>
        <v>-77</v>
      </c>
      <c r="K41" s="319">
        <f>J41+Drivers!K205</f>
        <v>124</v>
      </c>
      <c r="L41" s="319">
        <f>K41+Drivers!L205</f>
        <v>-257</v>
      </c>
      <c r="M41" s="319">
        <f>L41+Drivers!M205</f>
        <v>-302</v>
      </c>
      <c r="N41" s="319">
        <f>M41+Drivers!N205</f>
        <v>21</v>
      </c>
      <c r="O41" s="319">
        <f>N41+Drivers!O205</f>
        <v>243</v>
      </c>
      <c r="P41" s="319">
        <f>O41+Drivers!P205</f>
        <v>-30</v>
      </c>
      <c r="Q41" s="319">
        <f>P41+Drivers!Q205</f>
        <v>-338</v>
      </c>
      <c r="R41" s="319">
        <f>Q41+Drivers!R205</f>
        <v>29</v>
      </c>
      <c r="S41" s="319">
        <f>R41+Drivers!S205</f>
        <v>364</v>
      </c>
      <c r="T41" s="319">
        <f>S41+Drivers!T205</f>
        <v>367</v>
      </c>
      <c r="U41" s="319">
        <f>T41+Drivers!U205</f>
        <v>509</v>
      </c>
      <c r="V41" s="319">
        <f>U41+Drivers!V205</f>
        <v>904</v>
      </c>
      <c r="W41" s="319">
        <f>V41+Drivers!W205</f>
        <v>1346</v>
      </c>
      <c r="X41" s="319">
        <f>W41+Drivers!X205</f>
        <v>1206</v>
      </c>
      <c r="Y41" s="319">
        <f>X41+Drivers!Y205</f>
        <v>1161</v>
      </c>
      <c r="Z41" s="319">
        <f>Y41+Drivers!Z205</f>
        <v>2060</v>
      </c>
      <c r="AA41" s="319">
        <f>Z41+Drivers!AA205</f>
        <v>2500</v>
      </c>
      <c r="AB41" s="319">
        <f>AA41+Drivers!AB205</f>
        <v>2462</v>
      </c>
      <c r="AC41" s="319">
        <f>AB41+Drivers!AC205</f>
        <v>2461</v>
      </c>
      <c r="AD41" s="319">
        <f>AC41+Drivers!AD205</f>
        <v>3027</v>
      </c>
      <c r="AE41" s="322">
        <v>3663</v>
      </c>
      <c r="AF41" s="322">
        <v>3641</v>
      </c>
      <c r="AG41" s="322">
        <v>3455</v>
      </c>
      <c r="AH41" s="322">
        <v>4062</v>
      </c>
      <c r="AI41" s="322">
        <v>4944</v>
      </c>
      <c r="AJ41" s="322">
        <v>5199</v>
      </c>
      <c r="AK41" s="322">
        <v>5358</v>
      </c>
      <c r="AL41" s="322">
        <v>5358</v>
      </c>
      <c r="AM41" s="322">
        <v>6499</v>
      </c>
      <c r="AN41" s="322">
        <v>7165</v>
      </c>
      <c r="AO41" s="322">
        <v>7267</v>
      </c>
      <c r="AP41" s="322">
        <v>7508</v>
      </c>
      <c r="AQ41" s="322">
        <v>7831</v>
      </c>
      <c r="AR41" s="322">
        <v>8016</v>
      </c>
      <c r="AS41" s="322">
        <v>8054</v>
      </c>
      <c r="AT41" s="322">
        <v>7887</v>
      </c>
      <c r="AU41" s="322">
        <v>7760</v>
      </c>
      <c r="AV41" s="322">
        <v>7855</v>
      </c>
      <c r="AW41" s="319">
        <f>AV41+CF!AW6+CF!AW38+CF!AW39</f>
        <v>7449.8558713117563</v>
      </c>
      <c r="AX41" s="319">
        <f>AW41+CF!AX6+CF!AX38+CF!AX39</f>
        <v>7147.1386828754576</v>
      </c>
      <c r="AY41" s="319">
        <f>AX41+CF!AY6+CF!AY38+CF!AY39</f>
        <v>7322.7135231616394</v>
      </c>
      <c r="AZ41" s="319">
        <f>AY41+CF!AZ6+CF!AZ38+CF!AZ39</f>
        <v>7324.8111610693959</v>
      </c>
      <c r="BA41" s="319">
        <f>AZ41+CF!BA6+CF!BA38+CF!BA39</f>
        <v>6921.6442889763284</v>
      </c>
      <c r="BB41" s="319">
        <f>BA41+CF!BB6+CF!BB38+CF!BB39</f>
        <v>7231.7005436857444</v>
      </c>
      <c r="BC41" s="319">
        <f>BB41+CF!BC6+CF!BC38+CF!BC39</f>
        <v>7857.7893016053595</v>
      </c>
      <c r="BD41" s="319">
        <f>BC41+CF!BD6+CF!BD38+CF!BD39</f>
        <v>8282.6239924333786</v>
      </c>
      <c r="BE41" s="319">
        <f>BD41+CF!BE6+CF!BE38+CF!BE39</f>
        <v>8362.3565554350298</v>
      </c>
      <c r="BF41" s="319">
        <f>BE41+CF!BF6+CF!BF38+CF!BF39</f>
        <v>8718.3445108742217</v>
      </c>
      <c r="BG41" s="319">
        <f>BF41+CF!BG6+CF!BG38+CF!BG39</f>
        <v>9386.1984390335419</v>
      </c>
      <c r="BH41" s="319">
        <f>BG41+CF!BH6+CF!BH38+CF!BH39</f>
        <v>9802.1160303814504</v>
      </c>
      <c r="BI41" s="319">
        <f>BH41+CF!BI6+CF!BI38+CF!BI39</f>
        <v>9962.9094715812844</v>
      </c>
      <c r="BJ41" s="319">
        <f>BI41+CF!BJ6+CF!BJ38+CF!BJ39</f>
        <v>10404.562229657491</v>
      </c>
      <c r="BK41" s="319">
        <f>BJ41+CF!BK6+CF!BK38+CF!BK39</f>
        <v>11155.00349406743</v>
      </c>
      <c r="BL41" s="319">
        <f>BK41+CF!BL6+CF!BL38+CF!BL39</f>
        <v>11669.217013027224</v>
      </c>
      <c r="BM41" s="319">
        <f>BL41+CF!BM6+CF!BM38+CF!BM39</f>
        <v>11834.991269936207</v>
      </c>
      <c r="BN41" s="319">
        <f>BM41+CF!BN6+CF!BN38+CF!BN39</f>
        <v>12292.655320132408</v>
      </c>
      <c r="BO41" s="319"/>
      <c r="BP41" s="320">
        <v>123</v>
      </c>
      <c r="BQ41" s="320">
        <f>F41</f>
        <v>-153</v>
      </c>
      <c r="BR41" s="320">
        <f>J41</f>
        <v>-77</v>
      </c>
      <c r="BS41" s="320">
        <f>N41</f>
        <v>21</v>
      </c>
      <c r="BT41" s="320">
        <f>R41</f>
        <v>29</v>
      </c>
      <c r="BU41" s="320">
        <f>V41</f>
        <v>904</v>
      </c>
      <c r="BV41" s="320">
        <f>Z41</f>
        <v>2060</v>
      </c>
      <c r="BW41" s="320">
        <f>AD41</f>
        <v>3027</v>
      </c>
      <c r="BX41" s="320">
        <f>AH41</f>
        <v>4062</v>
      </c>
      <c r="BY41" s="320">
        <f>AL41</f>
        <v>5358</v>
      </c>
      <c r="BZ41" s="320">
        <f>AP41</f>
        <v>7508</v>
      </c>
      <c r="CA41" s="320">
        <f>AT41</f>
        <v>7887</v>
      </c>
      <c r="CB41" s="320">
        <f>AX41</f>
        <v>7147.1386828754576</v>
      </c>
      <c r="CC41" s="320">
        <f>BB41</f>
        <v>7231.7005436857444</v>
      </c>
      <c r="CD41" s="320">
        <f>BF41</f>
        <v>8718.3445108742217</v>
      </c>
      <c r="CE41" s="320">
        <f>BJ41</f>
        <v>10404.562229657491</v>
      </c>
      <c r="CF41" s="320">
        <f>BN41</f>
        <v>12292.655320132408</v>
      </c>
    </row>
    <row r="42" spans="1:84" s="334" customFormat="1" ht="13" customHeight="1">
      <c r="A42" s="323"/>
      <c r="B42" s="322"/>
      <c r="C42" s="322"/>
      <c r="D42" s="322"/>
      <c r="E42" s="322"/>
      <c r="F42" s="322"/>
      <c r="G42" s="322"/>
      <c r="H42" s="322"/>
      <c r="I42" s="322"/>
      <c r="J42" s="322"/>
      <c r="K42" s="322"/>
      <c r="L42" s="322"/>
      <c r="M42" s="322"/>
      <c r="N42" s="322"/>
      <c r="O42" s="322"/>
      <c r="P42" s="322"/>
      <c r="Q42" s="322"/>
      <c r="R42" s="322"/>
      <c r="S42" s="322"/>
      <c r="T42" s="322"/>
      <c r="U42" s="322"/>
      <c r="V42" s="322"/>
      <c r="W42" s="322"/>
      <c r="X42" s="322"/>
      <c r="Y42" s="322"/>
      <c r="Z42" s="322"/>
      <c r="AA42" s="322"/>
      <c r="AB42" s="322"/>
      <c r="AC42" s="322"/>
      <c r="AD42" s="322"/>
      <c r="AE42" s="322"/>
      <c r="AF42" s="322"/>
      <c r="AG42" s="322"/>
      <c r="AH42" s="322"/>
      <c r="AI42" s="322"/>
      <c r="AJ42" s="322"/>
      <c r="AK42" s="322"/>
      <c r="AL42" s="322"/>
      <c r="AM42" s="322"/>
      <c r="AN42" s="322"/>
      <c r="AO42" s="322"/>
      <c r="AP42" s="322"/>
      <c r="AQ42" s="322"/>
      <c r="AR42" s="322"/>
      <c r="AS42" s="322"/>
      <c r="AT42" s="322"/>
      <c r="AU42" s="322"/>
      <c r="AV42" s="322"/>
      <c r="AW42" s="322"/>
      <c r="AX42" s="322"/>
      <c r="AY42" s="322"/>
      <c r="AZ42" s="322"/>
      <c r="BA42" s="322"/>
      <c r="BB42" s="322"/>
      <c r="BC42" s="322"/>
      <c r="BD42" s="322"/>
      <c r="BE42" s="322"/>
      <c r="BF42" s="322"/>
      <c r="BG42" s="322"/>
      <c r="BH42" s="322"/>
      <c r="BI42" s="322"/>
      <c r="BJ42" s="322"/>
      <c r="BK42" s="322"/>
      <c r="BL42" s="322"/>
      <c r="BM42" s="322"/>
      <c r="BN42" s="322"/>
      <c r="BO42" s="322"/>
      <c r="BP42" s="320"/>
      <c r="BQ42" s="320"/>
      <c r="BR42" s="320"/>
      <c r="BS42" s="320"/>
      <c r="BT42" s="320"/>
      <c r="BU42" s="320"/>
      <c r="BV42" s="320"/>
      <c r="BW42" s="320"/>
      <c r="BX42" s="320"/>
      <c r="BY42" s="320"/>
      <c r="BZ42" s="320"/>
      <c r="CA42" s="320"/>
      <c r="CB42" s="320"/>
      <c r="CC42" s="320"/>
      <c r="CD42" s="320"/>
      <c r="CE42" s="320"/>
      <c r="CF42" s="320"/>
    </row>
    <row r="43" spans="1:84" s="334" customFormat="1" ht="13" customHeight="1">
      <c r="A43" s="323" t="s">
        <v>173</v>
      </c>
      <c r="B43" s="324">
        <f t="shared" ref="B43:AG43" si="113">SUM(B38:B41)+B36</f>
        <v>2729</v>
      </c>
      <c r="C43" s="324">
        <f t="shared" si="113"/>
        <v>2752</v>
      </c>
      <c r="D43" s="324">
        <f t="shared" si="113"/>
        <v>2638</v>
      </c>
      <c r="E43" s="324">
        <f t="shared" si="113"/>
        <v>2358</v>
      </c>
      <c r="F43" s="324">
        <f t="shared" si="113"/>
        <v>2564</v>
      </c>
      <c r="G43" s="324">
        <f t="shared" si="113"/>
        <v>2750</v>
      </c>
      <c r="H43" s="324">
        <f t="shared" si="113"/>
        <v>2540</v>
      </c>
      <c r="I43" s="324">
        <f t="shared" si="113"/>
        <v>2265</v>
      </c>
      <c r="J43" s="324">
        <f t="shared" si="113"/>
        <v>2458</v>
      </c>
      <c r="K43" s="324">
        <f t="shared" si="113"/>
        <v>2552</v>
      </c>
      <c r="L43" s="324">
        <f t="shared" si="113"/>
        <v>2154</v>
      </c>
      <c r="M43" s="324">
        <f t="shared" si="113"/>
        <v>1958</v>
      </c>
      <c r="N43" s="324">
        <f t="shared" si="113"/>
        <v>2267</v>
      </c>
      <c r="O43" s="324">
        <f t="shared" si="113"/>
        <v>2492</v>
      </c>
      <c r="P43" s="324">
        <f t="shared" si="113"/>
        <v>2286</v>
      </c>
      <c r="Q43" s="324">
        <f t="shared" si="113"/>
        <v>2004</v>
      </c>
      <c r="R43" s="324">
        <f t="shared" si="113"/>
        <v>2422</v>
      </c>
      <c r="S43" s="324">
        <f t="shared" si="113"/>
        <v>2713</v>
      </c>
      <c r="T43" s="324">
        <f t="shared" si="113"/>
        <v>2670</v>
      </c>
      <c r="U43" s="324">
        <f t="shared" si="113"/>
        <v>2724</v>
      </c>
      <c r="V43" s="324">
        <f t="shared" si="113"/>
        <v>3067</v>
      </c>
      <c r="W43" s="324">
        <f t="shared" si="113"/>
        <v>3361</v>
      </c>
      <c r="X43" s="324">
        <f t="shared" si="113"/>
        <v>3159</v>
      </c>
      <c r="Y43" s="324">
        <f t="shared" si="113"/>
        <v>3019</v>
      </c>
      <c r="Z43" s="324">
        <f t="shared" si="113"/>
        <v>3398</v>
      </c>
      <c r="AA43" s="324">
        <f t="shared" si="113"/>
        <v>3716</v>
      </c>
      <c r="AB43" s="324">
        <f t="shared" si="113"/>
        <v>3608</v>
      </c>
      <c r="AC43" s="324">
        <f t="shared" si="113"/>
        <v>3549</v>
      </c>
      <c r="AD43" s="324">
        <f t="shared" si="113"/>
        <v>4060</v>
      </c>
      <c r="AE43" s="324">
        <f t="shared" si="113"/>
        <v>4486</v>
      </c>
      <c r="AF43" s="324">
        <f t="shared" si="113"/>
        <v>4388</v>
      </c>
      <c r="AG43" s="324">
        <f t="shared" si="113"/>
        <v>4086</v>
      </c>
      <c r="AH43" s="324">
        <f t="shared" ref="AH43:BN43" si="114">SUM(AH38:AH41)+AH36</f>
        <v>4595</v>
      </c>
      <c r="AI43" s="324">
        <f t="shared" si="114"/>
        <v>5260</v>
      </c>
      <c r="AJ43" s="324">
        <f t="shared" si="114"/>
        <v>5317</v>
      </c>
      <c r="AK43" s="324">
        <f t="shared" si="114"/>
        <v>5344</v>
      </c>
      <c r="AL43" s="324">
        <f t="shared" si="114"/>
        <v>5331</v>
      </c>
      <c r="AM43" s="324">
        <f t="shared" si="114"/>
        <v>6485</v>
      </c>
      <c r="AN43" s="324">
        <f t="shared" si="114"/>
        <v>7158</v>
      </c>
      <c r="AO43" s="324">
        <f t="shared" si="114"/>
        <v>7237</v>
      </c>
      <c r="AP43" s="324">
        <f t="shared" si="114"/>
        <v>7461</v>
      </c>
      <c r="AQ43" s="324">
        <f t="shared" si="114"/>
        <v>7782</v>
      </c>
      <c r="AR43" s="324">
        <f t="shared" si="114"/>
        <v>8075</v>
      </c>
      <c r="AS43" s="324">
        <f t="shared" si="114"/>
        <v>7963</v>
      </c>
      <c r="AT43" s="324">
        <f t="shared" si="114"/>
        <v>7840</v>
      </c>
      <c r="AU43" s="324">
        <f t="shared" si="114"/>
        <v>7728</v>
      </c>
      <c r="AV43" s="324">
        <f t="shared" si="114"/>
        <v>7856</v>
      </c>
      <c r="AW43" s="324">
        <f t="shared" si="114"/>
        <v>7547.0201936856201</v>
      </c>
      <c r="AX43" s="324">
        <f t="shared" si="114"/>
        <v>7398.9487062057615</v>
      </c>
      <c r="AY43" s="324">
        <f t="shared" si="114"/>
        <v>7651.1816999601733</v>
      </c>
      <c r="AZ43" s="324">
        <f t="shared" si="114"/>
        <v>7810.5260461951739</v>
      </c>
      <c r="BA43" s="324">
        <f t="shared" si="114"/>
        <v>7521.7662058809774</v>
      </c>
      <c r="BB43" s="324">
        <f t="shared" si="114"/>
        <v>7980.3145276854366</v>
      </c>
      <c r="BC43" s="324">
        <f t="shared" si="114"/>
        <v>8688.2595444672879</v>
      </c>
      <c r="BD43" s="324">
        <f t="shared" si="114"/>
        <v>9269.4438152675575</v>
      </c>
      <c r="BE43" s="324">
        <f t="shared" si="114"/>
        <v>9465.1384419787937</v>
      </c>
      <c r="BF43" s="324">
        <f t="shared" si="114"/>
        <v>9973.1440629787285</v>
      </c>
      <c r="BG43" s="324">
        <f t="shared" si="114"/>
        <v>10725.694155541209</v>
      </c>
      <c r="BH43" s="324">
        <f t="shared" si="114"/>
        <v>11328.789962683804</v>
      </c>
      <c r="BI43" s="324">
        <f t="shared" si="114"/>
        <v>11613.985087293458</v>
      </c>
      <c r="BJ43" s="324">
        <f t="shared" si="114"/>
        <v>12216.16772906438</v>
      </c>
      <c r="BK43" s="324">
        <f t="shared" si="114"/>
        <v>13055.099120117455</v>
      </c>
      <c r="BL43" s="324">
        <f t="shared" si="114"/>
        <v>13737.19627658147</v>
      </c>
      <c r="BM43" s="324">
        <f t="shared" si="114"/>
        <v>14030.03921152859</v>
      </c>
      <c r="BN43" s="324">
        <f t="shared" si="114"/>
        <v>14653.870195402467</v>
      </c>
      <c r="BO43" s="324"/>
      <c r="BP43" s="325">
        <v>2729</v>
      </c>
      <c r="BQ43" s="325">
        <f>F43</f>
        <v>2564</v>
      </c>
      <c r="BR43" s="325">
        <f>J43</f>
        <v>2458</v>
      </c>
      <c r="BS43" s="325">
        <f>N43</f>
        <v>2267</v>
      </c>
      <c r="BT43" s="325">
        <f>R43</f>
        <v>2422</v>
      </c>
      <c r="BU43" s="325">
        <f>V43</f>
        <v>3067</v>
      </c>
      <c r="BV43" s="325">
        <f>Z43</f>
        <v>3398</v>
      </c>
      <c r="BW43" s="325">
        <f>AD43</f>
        <v>4060</v>
      </c>
      <c r="BX43" s="325">
        <f>AH43</f>
        <v>4595</v>
      </c>
      <c r="BY43" s="325">
        <f>AL43</f>
        <v>5331</v>
      </c>
      <c r="BZ43" s="325">
        <f>AP43</f>
        <v>7461</v>
      </c>
      <c r="CA43" s="325">
        <f>AT43</f>
        <v>7840</v>
      </c>
      <c r="CB43" s="325">
        <f>AX43</f>
        <v>7398.9487062057615</v>
      </c>
      <c r="CC43" s="325">
        <f>BB43</f>
        <v>7980.3145276854366</v>
      </c>
      <c r="CD43" s="325">
        <f>BF43</f>
        <v>9973.1440629787285</v>
      </c>
      <c r="CE43" s="325">
        <f>BJ43</f>
        <v>12216.16772906438</v>
      </c>
      <c r="CF43" s="325">
        <f>BN43</f>
        <v>14653.870195402467</v>
      </c>
    </row>
    <row r="44" spans="1:84" s="321" customFormat="1" ht="13" customHeight="1">
      <c r="A44" s="318"/>
      <c r="B44" s="318"/>
      <c r="C44" s="318"/>
      <c r="D44" s="318"/>
      <c r="E44" s="318"/>
      <c r="F44" s="318"/>
      <c r="G44" s="318"/>
      <c r="H44" s="318"/>
      <c r="I44" s="318"/>
      <c r="J44" s="318"/>
      <c r="K44" s="318"/>
      <c r="L44" s="318"/>
      <c r="M44" s="318"/>
      <c r="N44" s="318"/>
      <c r="O44" s="318"/>
      <c r="P44" s="318"/>
      <c r="Q44" s="318"/>
      <c r="R44" s="318"/>
      <c r="S44" s="318"/>
      <c r="T44" s="318"/>
      <c r="U44" s="318"/>
      <c r="V44" s="318"/>
      <c r="W44" s="318"/>
      <c r="X44" s="318"/>
      <c r="Y44" s="318"/>
      <c r="Z44" s="318"/>
      <c r="AA44" s="318"/>
      <c r="AB44" s="318"/>
      <c r="AC44" s="318"/>
      <c r="AD44" s="318"/>
      <c r="AE44" s="318"/>
      <c r="AF44" s="318"/>
      <c r="AG44" s="318"/>
      <c r="AH44" s="318"/>
      <c r="AI44" s="318"/>
      <c r="AJ44" s="318"/>
      <c r="AK44" s="318"/>
      <c r="AL44" s="318"/>
      <c r="AM44" s="318"/>
      <c r="AN44" s="318"/>
      <c r="AO44" s="318"/>
      <c r="AP44" s="318"/>
      <c r="AQ44" s="318"/>
      <c r="AR44" s="318"/>
      <c r="AS44" s="318"/>
      <c r="AT44" s="318"/>
      <c r="AU44" s="318"/>
      <c r="AV44" s="318"/>
      <c r="AW44" s="318"/>
      <c r="AX44" s="318"/>
      <c r="AY44" s="318"/>
      <c r="AZ44" s="318"/>
      <c r="BA44" s="318"/>
      <c r="BB44" s="318"/>
      <c r="BC44" s="318"/>
      <c r="BD44" s="318"/>
      <c r="BE44" s="318"/>
      <c r="BF44" s="318"/>
      <c r="BG44" s="318"/>
      <c r="BH44" s="318"/>
      <c r="BI44" s="318"/>
      <c r="BJ44" s="318"/>
      <c r="BK44" s="318"/>
      <c r="BL44" s="318"/>
      <c r="BM44" s="318"/>
      <c r="BN44" s="318"/>
      <c r="BO44" s="318"/>
      <c r="BP44" s="318"/>
      <c r="BQ44" s="318"/>
      <c r="BR44" s="318"/>
      <c r="BS44" s="318"/>
      <c r="BT44" s="318"/>
      <c r="BU44" s="318"/>
      <c r="BV44" s="318"/>
      <c r="BW44" s="318"/>
      <c r="BX44" s="318"/>
      <c r="BY44" s="318"/>
      <c r="BZ44" s="318"/>
      <c r="CA44" s="318"/>
      <c r="CB44" s="318"/>
      <c r="CC44" s="318"/>
      <c r="CD44" s="318"/>
      <c r="CE44" s="318"/>
      <c r="CF44" s="318"/>
    </row>
    <row r="45" spans="1:84" s="321" customFormat="1" ht="13" customHeight="1">
      <c r="A45" s="323" t="s">
        <v>15</v>
      </c>
      <c r="B45" s="323">
        <f t="shared" ref="B45:AG45" si="115">B43+B34</f>
        <v>4646</v>
      </c>
      <c r="C45" s="323">
        <f t="shared" si="115"/>
        <v>4245</v>
      </c>
      <c r="D45" s="323">
        <f t="shared" si="115"/>
        <v>4494</v>
      </c>
      <c r="E45" s="323">
        <f t="shared" si="115"/>
        <v>4727</v>
      </c>
      <c r="F45" s="323">
        <f t="shared" si="115"/>
        <v>4928</v>
      </c>
      <c r="G45" s="323">
        <f t="shared" si="115"/>
        <v>4355</v>
      </c>
      <c r="H45" s="323">
        <f t="shared" si="115"/>
        <v>5435</v>
      </c>
      <c r="I45" s="323">
        <f t="shared" si="115"/>
        <v>5696</v>
      </c>
      <c r="J45" s="323">
        <f t="shared" si="115"/>
        <v>5491</v>
      </c>
      <c r="K45" s="323">
        <f t="shared" si="115"/>
        <v>4825</v>
      </c>
      <c r="L45" s="323">
        <f t="shared" si="115"/>
        <v>5191</v>
      </c>
      <c r="M45" s="323">
        <f t="shared" si="115"/>
        <v>5039</v>
      </c>
      <c r="N45" s="323">
        <f t="shared" si="115"/>
        <v>5070</v>
      </c>
      <c r="O45" s="323">
        <f t="shared" si="115"/>
        <v>4605</v>
      </c>
      <c r="P45" s="323">
        <f t="shared" si="115"/>
        <v>5036</v>
      </c>
      <c r="Q45" s="323">
        <f t="shared" si="115"/>
        <v>5573</v>
      </c>
      <c r="R45" s="323">
        <f t="shared" si="115"/>
        <v>5716</v>
      </c>
      <c r="S45" s="323">
        <f t="shared" si="115"/>
        <v>5476</v>
      </c>
      <c r="T45" s="323">
        <f t="shared" si="115"/>
        <v>6031</v>
      </c>
      <c r="U45" s="323">
        <f t="shared" si="115"/>
        <v>6167</v>
      </c>
      <c r="V45" s="323">
        <f t="shared" si="115"/>
        <v>6147</v>
      </c>
      <c r="W45" s="323">
        <f t="shared" si="115"/>
        <v>5721</v>
      </c>
      <c r="X45" s="323">
        <f t="shared" si="115"/>
        <v>6000</v>
      </c>
      <c r="Y45" s="323">
        <f t="shared" si="115"/>
        <v>6470</v>
      </c>
      <c r="Z45" s="323">
        <f t="shared" si="115"/>
        <v>7050</v>
      </c>
      <c r="AA45" s="323">
        <f t="shared" si="115"/>
        <v>6605</v>
      </c>
      <c r="AB45" s="323">
        <f t="shared" si="115"/>
        <v>6892</v>
      </c>
      <c r="AC45" s="323">
        <f t="shared" si="115"/>
        <v>7719</v>
      </c>
      <c r="AD45" s="323">
        <f t="shared" si="115"/>
        <v>7718</v>
      </c>
      <c r="AE45" s="323">
        <f t="shared" si="115"/>
        <v>7375</v>
      </c>
      <c r="AF45" s="323">
        <f t="shared" si="115"/>
        <v>7922</v>
      </c>
      <c r="AG45" s="323">
        <f t="shared" si="115"/>
        <v>8642</v>
      </c>
      <c r="AH45" s="323">
        <f t="shared" ref="AH45:BN45" si="116">AH43+AH34</f>
        <v>8584</v>
      </c>
      <c r="AI45" s="323">
        <f t="shared" si="116"/>
        <v>8247</v>
      </c>
      <c r="AJ45" s="323">
        <f t="shared" si="116"/>
        <v>8450</v>
      </c>
      <c r="AK45" s="323">
        <f t="shared" si="116"/>
        <v>8857</v>
      </c>
      <c r="AL45" s="323">
        <f t="shared" si="116"/>
        <v>8957</v>
      </c>
      <c r="AM45" s="323">
        <f t="shared" si="116"/>
        <v>9749</v>
      </c>
      <c r="AN45" s="323">
        <f t="shared" si="116"/>
        <v>10593</v>
      </c>
      <c r="AO45" s="323">
        <f t="shared" si="116"/>
        <v>11161</v>
      </c>
      <c r="AP45" s="323">
        <f t="shared" si="116"/>
        <v>11112</v>
      </c>
      <c r="AQ45" s="323">
        <f t="shared" si="116"/>
        <v>11284</v>
      </c>
      <c r="AR45" s="323">
        <f t="shared" si="116"/>
        <v>11470</v>
      </c>
      <c r="AS45" s="323">
        <f t="shared" si="116"/>
        <v>12420</v>
      </c>
      <c r="AT45" s="323">
        <f t="shared" si="116"/>
        <v>13288</v>
      </c>
      <c r="AU45" s="323">
        <f t="shared" si="116"/>
        <v>12734</v>
      </c>
      <c r="AV45" s="323">
        <f t="shared" si="116"/>
        <v>13019</v>
      </c>
      <c r="AW45" s="323">
        <f t="shared" si="116"/>
        <v>14000.031416526166</v>
      </c>
      <c r="AX45" s="323">
        <f t="shared" si="116"/>
        <v>14105.160121115898</v>
      </c>
      <c r="AY45" s="323">
        <f t="shared" si="116"/>
        <v>13429.377427810592</v>
      </c>
      <c r="AZ45" s="323">
        <f t="shared" si="116"/>
        <v>13308.06641616872</v>
      </c>
      <c r="BA45" s="323">
        <f t="shared" si="116"/>
        <v>14328.412147623072</v>
      </c>
      <c r="BB45" s="323">
        <f t="shared" si="116"/>
        <v>14743.011011814222</v>
      </c>
      <c r="BC45" s="323">
        <f t="shared" si="116"/>
        <v>14434.454336710318</v>
      </c>
      <c r="BD45" s="323">
        <f t="shared" si="116"/>
        <v>14764.572645641125</v>
      </c>
      <c r="BE45" s="323">
        <f t="shared" si="116"/>
        <v>16312.597083333516</v>
      </c>
      <c r="BF45" s="323">
        <f t="shared" si="116"/>
        <v>16793.258078594219</v>
      </c>
      <c r="BG45" s="323">
        <f t="shared" si="116"/>
        <v>16498.264725281035</v>
      </c>
      <c r="BH45" s="323">
        <f t="shared" si="116"/>
        <v>17151.098143034767</v>
      </c>
      <c r="BI45" s="323">
        <f t="shared" si="116"/>
        <v>18781.821419399279</v>
      </c>
      <c r="BJ45" s="323">
        <f t="shared" si="116"/>
        <v>19284.942138502007</v>
      </c>
      <c r="BK45" s="323">
        <f t="shared" si="116"/>
        <v>18953.553405266633</v>
      </c>
      <c r="BL45" s="323">
        <f t="shared" si="116"/>
        <v>19360.473130903654</v>
      </c>
      <c r="BM45" s="323">
        <f t="shared" si="116"/>
        <v>21156.55981679009</v>
      </c>
      <c r="BN45" s="323">
        <f t="shared" si="116"/>
        <v>21739.909382121008</v>
      </c>
      <c r="BO45" s="323"/>
      <c r="BP45" s="323">
        <v>4646</v>
      </c>
      <c r="BQ45" s="323">
        <f>F45</f>
        <v>4928</v>
      </c>
      <c r="BR45" s="323">
        <f>J45</f>
        <v>5491</v>
      </c>
      <c r="BS45" s="323">
        <f>N45</f>
        <v>5070</v>
      </c>
      <c r="BT45" s="323">
        <f>R45</f>
        <v>5716</v>
      </c>
      <c r="BU45" s="323">
        <f>V45</f>
        <v>6147</v>
      </c>
      <c r="BV45" s="323">
        <f>Z45</f>
        <v>7050</v>
      </c>
      <c r="BW45" s="323">
        <f>AD45</f>
        <v>7718</v>
      </c>
      <c r="BX45" s="323">
        <f>AH45</f>
        <v>8584</v>
      </c>
      <c r="BY45" s="323">
        <f>AL45</f>
        <v>8957</v>
      </c>
      <c r="BZ45" s="323">
        <f>AP45</f>
        <v>11112</v>
      </c>
      <c r="CA45" s="323">
        <f>AT45</f>
        <v>13288</v>
      </c>
      <c r="CB45" s="323">
        <f>AX45</f>
        <v>14105.160121115898</v>
      </c>
      <c r="CC45" s="323">
        <f>BB45</f>
        <v>14743.011011814222</v>
      </c>
      <c r="CD45" s="323">
        <f>BF45</f>
        <v>16793.258078594219</v>
      </c>
      <c r="CE45" s="323">
        <f>BJ45</f>
        <v>19284.942138502007</v>
      </c>
      <c r="CF45" s="323">
        <f>BN45</f>
        <v>21739.909382121008</v>
      </c>
    </row>
    <row r="46" spans="1:84" s="337" customFormat="1" ht="12.75" customHeight="1">
      <c r="A46" s="335" t="s">
        <v>16</v>
      </c>
      <c r="B46" s="335">
        <f t="shared" ref="B46:AG46" si="117">B21-B45</f>
        <v>0</v>
      </c>
      <c r="C46" s="335">
        <f t="shared" si="117"/>
        <v>0</v>
      </c>
      <c r="D46" s="335">
        <f t="shared" si="117"/>
        <v>0</v>
      </c>
      <c r="E46" s="335">
        <f t="shared" si="117"/>
        <v>0</v>
      </c>
      <c r="F46" s="335">
        <f t="shared" si="117"/>
        <v>0</v>
      </c>
      <c r="G46" s="335">
        <f t="shared" si="117"/>
        <v>0</v>
      </c>
      <c r="H46" s="335">
        <f t="shared" si="117"/>
        <v>0</v>
      </c>
      <c r="I46" s="335">
        <f t="shared" si="117"/>
        <v>0</v>
      </c>
      <c r="J46" s="335">
        <f t="shared" si="117"/>
        <v>0</v>
      </c>
      <c r="K46" s="335">
        <f t="shared" si="117"/>
        <v>0</v>
      </c>
      <c r="L46" s="335">
        <f t="shared" si="117"/>
        <v>0</v>
      </c>
      <c r="M46" s="335">
        <f t="shared" si="117"/>
        <v>0</v>
      </c>
      <c r="N46" s="335">
        <f t="shared" si="117"/>
        <v>0</v>
      </c>
      <c r="O46" s="335">
        <f t="shared" si="117"/>
        <v>0</v>
      </c>
      <c r="P46" s="335">
        <f t="shared" si="117"/>
        <v>0</v>
      </c>
      <c r="Q46" s="335">
        <f t="shared" si="117"/>
        <v>0</v>
      </c>
      <c r="R46" s="335">
        <f t="shared" si="117"/>
        <v>0</v>
      </c>
      <c r="S46" s="335">
        <f t="shared" si="117"/>
        <v>0</v>
      </c>
      <c r="T46" s="335">
        <f t="shared" si="117"/>
        <v>0</v>
      </c>
      <c r="U46" s="335">
        <f t="shared" si="117"/>
        <v>0</v>
      </c>
      <c r="V46" s="335">
        <f t="shared" si="117"/>
        <v>0</v>
      </c>
      <c r="W46" s="335">
        <f t="shared" si="117"/>
        <v>0</v>
      </c>
      <c r="X46" s="335">
        <f t="shared" si="117"/>
        <v>0</v>
      </c>
      <c r="Y46" s="335">
        <f t="shared" si="117"/>
        <v>0</v>
      </c>
      <c r="Z46" s="335">
        <f t="shared" si="117"/>
        <v>0</v>
      </c>
      <c r="AA46" s="335">
        <f t="shared" si="117"/>
        <v>0</v>
      </c>
      <c r="AB46" s="335">
        <f t="shared" si="117"/>
        <v>0</v>
      </c>
      <c r="AC46" s="335">
        <f t="shared" si="117"/>
        <v>0</v>
      </c>
      <c r="AD46" s="335">
        <f t="shared" si="117"/>
        <v>0</v>
      </c>
      <c r="AE46" s="335">
        <f t="shared" si="117"/>
        <v>0</v>
      </c>
      <c r="AF46" s="335">
        <f t="shared" si="117"/>
        <v>0</v>
      </c>
      <c r="AG46" s="335">
        <f t="shared" si="117"/>
        <v>0</v>
      </c>
      <c r="AH46" s="335">
        <f t="shared" ref="AH46:BM46" si="118">AH21-AH45</f>
        <v>0</v>
      </c>
      <c r="AI46" s="335">
        <f t="shared" si="118"/>
        <v>0</v>
      </c>
      <c r="AJ46" s="335">
        <f t="shared" si="118"/>
        <v>0</v>
      </c>
      <c r="AK46" s="335">
        <f t="shared" si="118"/>
        <v>0</v>
      </c>
      <c r="AL46" s="335">
        <f t="shared" si="118"/>
        <v>0</v>
      </c>
      <c r="AM46" s="335">
        <f t="shared" si="118"/>
        <v>0</v>
      </c>
      <c r="AN46" s="335">
        <f t="shared" si="118"/>
        <v>0</v>
      </c>
      <c r="AO46" s="335">
        <f t="shared" si="118"/>
        <v>0</v>
      </c>
      <c r="AP46" s="335">
        <f t="shared" si="118"/>
        <v>0</v>
      </c>
      <c r="AQ46" s="335">
        <f t="shared" si="118"/>
        <v>0</v>
      </c>
      <c r="AR46" s="335">
        <f t="shared" si="118"/>
        <v>0</v>
      </c>
      <c r="AS46" s="335">
        <f t="shared" si="118"/>
        <v>0</v>
      </c>
      <c r="AT46" s="335">
        <f t="shared" si="118"/>
        <v>0</v>
      </c>
      <c r="AU46" s="335">
        <f t="shared" si="118"/>
        <v>0</v>
      </c>
      <c r="AV46" s="335">
        <f t="shared" si="118"/>
        <v>0</v>
      </c>
      <c r="AW46" s="335">
        <f t="shared" si="118"/>
        <v>0</v>
      </c>
      <c r="AX46" s="335">
        <f t="shared" si="118"/>
        <v>0</v>
      </c>
      <c r="AY46" s="335">
        <f t="shared" si="118"/>
        <v>0</v>
      </c>
      <c r="AZ46" s="335">
        <f t="shared" si="118"/>
        <v>0</v>
      </c>
      <c r="BA46" s="335">
        <f t="shared" si="118"/>
        <v>0</v>
      </c>
      <c r="BB46" s="335">
        <f t="shared" si="118"/>
        <v>0</v>
      </c>
      <c r="BC46" s="335">
        <f t="shared" si="118"/>
        <v>0</v>
      </c>
      <c r="BD46" s="335">
        <f t="shared" si="118"/>
        <v>0</v>
      </c>
      <c r="BE46" s="335">
        <f t="shared" si="118"/>
        <v>0</v>
      </c>
      <c r="BF46" s="335">
        <f t="shared" si="118"/>
        <v>0</v>
      </c>
      <c r="BG46" s="335">
        <f t="shared" si="118"/>
        <v>0</v>
      </c>
      <c r="BH46" s="335">
        <f t="shared" si="118"/>
        <v>0</v>
      </c>
      <c r="BI46" s="335">
        <f t="shared" si="118"/>
        <v>0</v>
      </c>
      <c r="BJ46" s="335">
        <f t="shared" si="118"/>
        <v>0</v>
      </c>
      <c r="BK46" s="336">
        <f t="shared" si="118"/>
        <v>0</v>
      </c>
      <c r="BL46" s="336">
        <f t="shared" si="118"/>
        <v>0</v>
      </c>
      <c r="BM46" s="336">
        <f t="shared" si="118"/>
        <v>0</v>
      </c>
      <c r="BN46" s="336">
        <f t="shared" ref="BN46" si="119">BN21-BN45</f>
        <v>0</v>
      </c>
      <c r="BO46" s="336"/>
      <c r="BP46" s="337">
        <f t="shared" ref="BP46:CF46" si="120">BP21-BP45</f>
        <v>0</v>
      </c>
      <c r="BQ46" s="337">
        <f t="shared" si="120"/>
        <v>0</v>
      </c>
      <c r="BR46" s="337">
        <f t="shared" si="120"/>
        <v>0</v>
      </c>
      <c r="BS46" s="337">
        <f t="shared" si="120"/>
        <v>0</v>
      </c>
      <c r="BT46" s="337">
        <f t="shared" si="120"/>
        <v>0</v>
      </c>
      <c r="BU46" s="337">
        <f t="shared" si="120"/>
        <v>0</v>
      </c>
      <c r="BV46" s="337">
        <f t="shared" si="120"/>
        <v>0</v>
      </c>
      <c r="BW46" s="337">
        <f t="shared" si="120"/>
        <v>0</v>
      </c>
      <c r="BX46" s="337">
        <f t="shared" si="120"/>
        <v>0</v>
      </c>
      <c r="BY46" s="337">
        <f t="shared" si="120"/>
        <v>0</v>
      </c>
      <c r="BZ46" s="337">
        <f t="shared" si="120"/>
        <v>0</v>
      </c>
      <c r="CA46" s="337">
        <f t="shared" si="120"/>
        <v>0</v>
      </c>
      <c r="CB46" s="337">
        <f t="shared" si="120"/>
        <v>0</v>
      </c>
      <c r="CC46" s="337">
        <f t="shared" si="120"/>
        <v>0</v>
      </c>
      <c r="CD46" s="337">
        <f t="shared" si="120"/>
        <v>0</v>
      </c>
      <c r="CE46" s="337">
        <f t="shared" si="120"/>
        <v>0</v>
      </c>
      <c r="CF46" s="337">
        <f t="shared" si="120"/>
        <v>0</v>
      </c>
    </row>
    <row r="47" spans="1:84" s="328" customFormat="1" ht="13" customHeight="1">
      <c r="A47" s="326"/>
      <c r="B47" s="326"/>
      <c r="C47" s="326"/>
      <c r="D47" s="326"/>
      <c r="E47" s="326"/>
      <c r="F47" s="326"/>
      <c r="G47" s="326"/>
      <c r="H47" s="326"/>
      <c r="I47" s="326"/>
      <c r="J47" s="326"/>
      <c r="K47" s="326"/>
      <c r="L47" s="326"/>
      <c r="M47" s="326"/>
      <c r="N47" s="326"/>
      <c r="O47" s="326"/>
      <c r="P47" s="326"/>
      <c r="Q47" s="326"/>
      <c r="R47" s="326"/>
      <c r="S47" s="326"/>
      <c r="T47" s="326"/>
      <c r="U47" s="326"/>
      <c r="V47" s="326"/>
      <c r="W47" s="326"/>
      <c r="X47" s="326"/>
      <c r="Y47" s="326"/>
      <c r="Z47" s="326"/>
      <c r="AA47" s="326"/>
      <c r="AB47" s="326"/>
      <c r="AC47" s="326"/>
      <c r="AD47" s="326"/>
      <c r="AE47" s="326"/>
      <c r="AF47" s="326"/>
      <c r="AG47" s="326"/>
      <c r="AH47" s="326"/>
      <c r="AI47" s="326"/>
      <c r="AJ47" s="326"/>
      <c r="AK47" s="326"/>
      <c r="AL47" s="326"/>
      <c r="AM47" s="326"/>
      <c r="AN47" s="326"/>
      <c r="AO47" s="326"/>
      <c r="AP47" s="326"/>
      <c r="AQ47" s="326"/>
      <c r="AR47" s="326"/>
      <c r="AS47" s="326"/>
      <c r="AT47" s="326"/>
      <c r="AU47" s="326"/>
      <c r="AV47" s="326"/>
      <c r="AW47" s="326"/>
      <c r="AX47" s="326"/>
      <c r="AY47" s="326"/>
      <c r="AZ47" s="326"/>
      <c r="BA47" s="326"/>
      <c r="BB47" s="326"/>
      <c r="BC47" s="326"/>
      <c r="BD47" s="326"/>
      <c r="BE47" s="326"/>
      <c r="BF47" s="326"/>
      <c r="BG47" s="326"/>
      <c r="BH47" s="326"/>
      <c r="BI47" s="326"/>
      <c r="BJ47" s="326"/>
      <c r="BK47" s="326"/>
      <c r="BL47" s="326"/>
      <c r="BM47" s="326"/>
      <c r="BN47" s="326"/>
      <c r="BO47" s="326"/>
      <c r="BP47" s="338"/>
      <c r="BQ47" s="338"/>
      <c r="BR47" s="338"/>
      <c r="BS47" s="338"/>
      <c r="BT47" s="338"/>
      <c r="BU47" s="338"/>
      <c r="BV47" s="338"/>
      <c r="BW47" s="338"/>
      <c r="BX47" s="338"/>
      <c r="BY47" s="338"/>
      <c r="BZ47" s="338"/>
      <c r="CA47" s="338"/>
      <c r="CB47" s="338"/>
      <c r="CC47" s="338"/>
      <c r="CD47" s="338"/>
      <c r="CE47" s="338"/>
      <c r="CF47" s="338"/>
    </row>
    <row r="48" spans="1:84" s="321" customFormat="1" ht="13" customHeight="1">
      <c r="A48" s="318" t="s">
        <v>47</v>
      </c>
      <c r="B48" s="318">
        <f>B26+B29+B36+B30-BS!B7-BS!B8</f>
        <v>-1705</v>
      </c>
      <c r="C48" s="318">
        <f>C26+C29+C36+C30-BS!C7-BS!C8</f>
        <v>-1537</v>
      </c>
      <c r="D48" s="318">
        <f>D26+D29+D36+D30-BS!D7-BS!D8</f>
        <v>-1551</v>
      </c>
      <c r="E48" s="318">
        <f>E26+E29+E36+E30-BS!E7-BS!E8</f>
        <v>-1864</v>
      </c>
      <c r="F48" s="318">
        <f>F26+F29+F36+F30-BS!F7-BS!F8</f>
        <v>-2076</v>
      </c>
      <c r="G48" s="318">
        <f>G26+G29+G36+G30-BS!G7-BS!G8</f>
        <v>-1676</v>
      </c>
      <c r="H48" s="318">
        <f>H26+H29+H36+H30-BS!H7-BS!H8</f>
        <v>-756</v>
      </c>
      <c r="I48" s="318">
        <f>I26+I29+I36+I30-BS!I7-BS!I8</f>
        <v>-1114</v>
      </c>
      <c r="J48" s="318">
        <f>J26+J29+J36+J30-BS!J7-BS!J8</f>
        <v>-1191</v>
      </c>
      <c r="K48" s="318">
        <f>K26+K29+K36+K30-BS!K7-BS!K8</f>
        <v>-819</v>
      </c>
      <c r="L48" s="318">
        <f>L26+L29+L36+L30-BS!L7-BS!L8</f>
        <v>-673</v>
      </c>
      <c r="M48" s="318">
        <f>M26+M29+M36+M30-BS!M7-BS!M8</f>
        <v>-879</v>
      </c>
      <c r="N48" s="318">
        <f>N26+N29+N36+N30-BS!N7-BS!N8</f>
        <v>-1121</v>
      </c>
      <c r="O48" s="318">
        <f>O26+O29+O36+O30-BS!O7-BS!O8</f>
        <v>-847</v>
      </c>
      <c r="P48" s="318">
        <f>P26+P29+P36+P30-BS!P7-BS!P8</f>
        <v>-848</v>
      </c>
      <c r="Q48" s="318">
        <f>Q26+Q29+Q36+Q30-BS!Q7-BS!Q8</f>
        <v>-1495</v>
      </c>
      <c r="R48" s="318">
        <f>R26+R29+R36+R30-BS!R7-BS!R8</f>
        <v>-1785</v>
      </c>
      <c r="S48" s="318">
        <f>S26+S29+S36+S30-BS!S7-BS!S8</f>
        <v>-1730</v>
      </c>
      <c r="T48" s="318">
        <f>T26+T29+T36+T30-BS!T7-BS!T8</f>
        <v>-1797</v>
      </c>
      <c r="U48" s="318">
        <f>U26+U29+U36+U30-BS!U7-BS!U8</f>
        <v>-2307</v>
      </c>
      <c r="V48" s="318">
        <f>V26+V29+V36+V30-BS!V7-BS!V8</f>
        <v>-2388</v>
      </c>
      <c r="W48" s="318">
        <f>W26+W29+W36+W30-BS!W7-BS!W8</f>
        <v>-2246</v>
      </c>
      <c r="X48" s="318">
        <f>X26+X29+X36+X30-BS!X7-BS!X8</f>
        <v>-2153</v>
      </c>
      <c r="Y48" s="318">
        <f>Y26+Y29+Y36+Y30-BS!Y7-BS!Y8</f>
        <v>-2889</v>
      </c>
      <c r="Z48" s="318">
        <f>Z26+Z29+Z36+Z30-BS!Z7-BS!Z8</f>
        <v>-2682</v>
      </c>
      <c r="AA48" s="318">
        <f>AA26+AA29+AA36+AA30-BS!AA7-BS!AA8</f>
        <v>-2302</v>
      </c>
      <c r="AB48" s="318">
        <f>AB26+AB29+AB36+AB30-BS!AB7-BS!AB8</f>
        <v>-2276</v>
      </c>
      <c r="AC48" s="318">
        <f>AC26+AC29+AC36+AC30-BS!AC7-BS!AC8</f>
        <v>-3229</v>
      </c>
      <c r="AD48" s="318">
        <f>AD26+AD29+AD36+AD30-BS!AD7-BS!AD8</f>
        <v>-3542</v>
      </c>
      <c r="AE48" s="318">
        <f>AE26+AE29+AE36+AE30-BS!AE7-BS!AE8</f>
        <v>-3479</v>
      </c>
      <c r="AF48" s="318">
        <f>AF26+AF29+AF36+AF30-BS!AF7-BS!AF8</f>
        <v>-3364</v>
      </c>
      <c r="AG48" s="318">
        <f>AG26+AG29+AG36+AG30-BS!AG7-BS!AG8</f>
        <v>-3892</v>
      </c>
      <c r="AH48" s="318">
        <f>AH26+AH29+AH36+AH30-BS!AH7-BS!AH8</f>
        <v>-4339</v>
      </c>
      <c r="AI48" s="318">
        <f>AI26+AI29+AI36+AI30-BS!AI7-BS!AI8</f>
        <v>-3978</v>
      </c>
      <c r="AJ48" s="318">
        <f>AJ26+AJ29+AJ36+AJ30-BS!AJ7-BS!AJ8</f>
        <v>-3552</v>
      </c>
      <c r="AK48" s="318">
        <f>AK26+AK29+AK36+AK30-BS!AK7-BS!AK8</f>
        <v>-4167</v>
      </c>
      <c r="AL48" s="318">
        <f>AL26+AL29+AL36+AL30-BS!AL7-BS!AL8</f>
        <v>-4451</v>
      </c>
      <c r="AM48" s="318">
        <f>AM26+AM29+AM36+AM30-BS!AM7-BS!AM8</f>
        <v>-4192</v>
      </c>
      <c r="AN48" s="318">
        <f>AN26+AN29+AN36+AN30-BS!AN7-BS!AN8</f>
        <v>-3888</v>
      </c>
      <c r="AO48" s="318">
        <f>AO26+AO29+AO36+AO30-BS!AO7-BS!AO8</f>
        <v>-4607</v>
      </c>
      <c r="AP48" s="318">
        <f>AP26+AP29+AP36+AP30-BS!AP7-BS!AP8</f>
        <v>-4739</v>
      </c>
      <c r="AQ48" s="318">
        <f>AQ26+AQ29+AQ36+AQ30-BS!AQ7-BS!AQ8</f>
        <v>-4964</v>
      </c>
      <c r="AR48" s="318">
        <f>AR26+AR29+AR36+AR30-BS!AR7-BS!AR8</f>
        <v>-5035</v>
      </c>
      <c r="AS48" s="318">
        <f>AS26+AS29+AS36+AS30-BS!AS7-BS!AS8</f>
        <v>-5713</v>
      </c>
      <c r="AT48" s="318">
        <f>AT26+AT29+AT36+AT30-BS!AT7-BS!AT8</f>
        <v>-4490</v>
      </c>
      <c r="AU48" s="318">
        <f>AU26+AU29+AU36+AU30-BS!AU7-BS!AU8</f>
        <v>-1842</v>
      </c>
      <c r="AV48" s="318">
        <f>AV26+AV29+AV36+AV30-BS!AV7-BS!AV8</f>
        <v>-95</v>
      </c>
      <c r="AW48" s="318">
        <f>AW26+AW29+AW36+AW30-BS!AW7-BS!AW8</f>
        <v>-1184.4817392107802</v>
      </c>
      <c r="AX48" s="318">
        <f>AX26+AX29+AX36+AX30-BS!AX7-BS!AX8</f>
        <v>-1132.858305414115</v>
      </c>
      <c r="AY48" s="318">
        <f>AY26+AY29+AY36+AY30-BS!AY7-BS!AY8</f>
        <v>-845.62551832547035</v>
      </c>
      <c r="AZ48" s="318">
        <f>AZ26+AZ29+AZ36+AZ30-BS!AZ7-BS!AZ8</f>
        <v>-410.28089323724589</v>
      </c>
      <c r="BA48" s="318">
        <f>BA26+BA29+BA36+BA30-BS!BA7-BS!BA8</f>
        <v>-1606.6550318000914</v>
      </c>
      <c r="BB48" s="318">
        <f>BB26+BB29+BB36+BB30-BS!BB7-BS!BB8</f>
        <v>-2098.7112974955444</v>
      </c>
      <c r="BC48" s="318">
        <f>BC26+BC29+BC36+BC30-BS!BC7-BS!BC8</f>
        <v>-2106.3704941783335</v>
      </c>
      <c r="BD48" s="318">
        <f>BD26+BD29+BD36+BD30-BS!BD7-BS!BD8</f>
        <v>-2083.3368399512074</v>
      </c>
      <c r="BE48" s="318">
        <f>BE26+BE29+BE36+BE30-BS!BE7-BS!BE8</f>
        <v>-3767.883318881291</v>
      </c>
      <c r="BF48" s="318">
        <f>BF26+BF29+BF36+BF30-BS!BF7-BS!BF8</f>
        <v>-4265.4843352984817</v>
      </c>
      <c r="BG48" s="318">
        <f>BG26+BG29+BG36+BG30-BS!BG7-BS!BG8</f>
        <v>-4347.7940233732761</v>
      </c>
      <c r="BH48" s="318">
        <f>BH26+BH29+BH36+BH30-BS!BH7-BS!BH8</f>
        <v>-4402.9589353523606</v>
      </c>
      <c r="BI48" s="318">
        <f>BI26+BI29+BI36+BI30-BS!BI7-BS!BI8</f>
        <v>-6229.1519605871272</v>
      </c>
      <c r="BJ48" s="318">
        <f>BJ26+BJ29+BJ36+BJ30-BS!BJ7-BS!BJ8</f>
        <v>-6775.9343887907216</v>
      </c>
      <c r="BK48" s="318">
        <f>BK26+BK29+BK36+BK30-BS!BK7-BS!BK8</f>
        <v>-6881.9400907194349</v>
      </c>
      <c r="BL48" s="318">
        <f>BL26+BL29+BL36+BL30-BS!BL7-BS!BL8</f>
        <v>-6882.7237178862933</v>
      </c>
      <c r="BM48" s="318">
        <f>BM26+BM29+BM36+BM30-BS!BM7-BS!BM8</f>
        <v>-8748.5835102438905</v>
      </c>
      <c r="BN48" s="318">
        <f>BN26+BN29+BN36+BN30-BS!BN7-BS!BN8</f>
        <v>-9345.0497648664623</v>
      </c>
      <c r="BO48" s="318"/>
      <c r="BP48" s="320">
        <f>B48</f>
        <v>-1705</v>
      </c>
      <c r="BQ48" s="320">
        <f>F48</f>
        <v>-2076</v>
      </c>
      <c r="BR48" s="320">
        <f>J48</f>
        <v>-1191</v>
      </c>
      <c r="BS48" s="320">
        <f>N48</f>
        <v>-1121</v>
      </c>
      <c r="BT48" s="320">
        <f>R48</f>
        <v>-1785</v>
      </c>
      <c r="BU48" s="320">
        <f>V48</f>
        <v>-2388</v>
      </c>
      <c r="BV48" s="320">
        <f>Z48</f>
        <v>-2682</v>
      </c>
      <c r="BW48" s="320">
        <f>AD48</f>
        <v>-3542</v>
      </c>
      <c r="BX48" s="320">
        <f>AH48</f>
        <v>-4339</v>
      </c>
      <c r="BY48" s="320">
        <f>AL48</f>
        <v>-4451</v>
      </c>
      <c r="BZ48" s="320">
        <f>AP48</f>
        <v>-4739</v>
      </c>
      <c r="CA48" s="320">
        <f>AT48</f>
        <v>-4490</v>
      </c>
      <c r="CB48" s="320">
        <f>AX48</f>
        <v>-1132.858305414115</v>
      </c>
      <c r="CC48" s="320">
        <f>BB48</f>
        <v>-2098.7112974955444</v>
      </c>
      <c r="CD48" s="320">
        <f>BF48</f>
        <v>-4265.4843352984817</v>
      </c>
      <c r="CE48" s="320">
        <f>BJ48</f>
        <v>-6775.9343887907216</v>
      </c>
      <c r="CF48" s="320">
        <f>BN48</f>
        <v>-9345.0497648664623</v>
      </c>
    </row>
    <row r="49" spans="1:84" s="328" customFormat="1" ht="13" customHeight="1">
      <c r="A49" s="326"/>
      <c r="B49" s="327"/>
      <c r="C49" s="327"/>
      <c r="D49" s="327"/>
      <c r="E49" s="327"/>
      <c r="F49" s="327"/>
      <c r="G49" s="327"/>
      <c r="H49" s="327"/>
      <c r="I49" s="327"/>
      <c r="J49" s="327"/>
      <c r="K49" s="327"/>
      <c r="L49" s="327"/>
      <c r="M49" s="327"/>
      <c r="N49" s="327"/>
      <c r="O49" s="327"/>
      <c r="P49" s="327"/>
      <c r="Q49" s="327"/>
      <c r="R49" s="327"/>
      <c r="S49" s="327"/>
      <c r="T49" s="327"/>
      <c r="U49" s="326"/>
      <c r="V49" s="326"/>
      <c r="W49" s="326"/>
      <c r="X49" s="326"/>
      <c r="Y49" s="326"/>
      <c r="Z49" s="326"/>
      <c r="AA49" s="326"/>
      <c r="AB49" s="326"/>
      <c r="AC49" s="326"/>
      <c r="AD49" s="326"/>
      <c r="AE49" s="326"/>
      <c r="AF49" s="326"/>
      <c r="AG49" s="326"/>
      <c r="AH49" s="326"/>
      <c r="AI49" s="326"/>
      <c r="AJ49" s="326"/>
      <c r="AK49" s="326"/>
      <c r="AL49" s="326"/>
      <c r="AM49" s="326"/>
      <c r="AN49" s="326"/>
      <c r="AO49" s="326"/>
      <c r="AP49" s="326"/>
      <c r="AQ49" s="326"/>
      <c r="AR49" s="326"/>
      <c r="AS49" s="326"/>
      <c r="AT49" s="326"/>
      <c r="AU49" s="326"/>
      <c r="AV49" s="318"/>
      <c r="AW49" s="318"/>
      <c r="AX49" s="326"/>
      <c r="AY49" s="326"/>
      <c r="AZ49" s="326"/>
      <c r="BA49" s="326"/>
      <c r="BB49" s="326"/>
      <c r="BC49" s="326"/>
      <c r="BD49" s="326"/>
      <c r="BE49" s="326"/>
      <c r="BF49" s="326"/>
      <c r="BG49" s="326"/>
      <c r="BH49" s="326"/>
      <c r="BI49" s="326"/>
      <c r="BJ49" s="326"/>
      <c r="BK49" s="326"/>
      <c r="BL49" s="326"/>
      <c r="BM49" s="326"/>
      <c r="BN49" s="326"/>
      <c r="BO49" s="326"/>
      <c r="BP49" s="326"/>
      <c r="BQ49" s="326"/>
      <c r="BR49" s="326"/>
      <c r="BS49" s="326"/>
      <c r="BT49" s="326"/>
      <c r="BU49" s="326"/>
      <c r="BV49" s="326"/>
      <c r="BW49" s="326"/>
      <c r="BX49" s="326"/>
      <c r="BY49" s="326"/>
      <c r="BZ49" s="326"/>
      <c r="CA49" s="326"/>
      <c r="CB49" s="326"/>
      <c r="CC49" s="326"/>
      <c r="CD49" s="326"/>
      <c r="CE49" s="326"/>
      <c r="CF49" s="326"/>
    </row>
    <row r="50" spans="1:84" s="337" customFormat="1" ht="12.75" customHeight="1">
      <c r="A50" s="339" t="s">
        <v>293</v>
      </c>
      <c r="B50" s="339"/>
      <c r="C50" s="339"/>
      <c r="D50" s="339"/>
      <c r="E50" s="339"/>
      <c r="F50" s="339"/>
      <c r="G50" s="339"/>
      <c r="H50" s="339"/>
      <c r="I50" s="339"/>
      <c r="J50" s="339"/>
      <c r="K50" s="339"/>
      <c r="L50" s="339"/>
      <c r="M50" s="339"/>
      <c r="N50" s="339"/>
      <c r="O50" s="339"/>
      <c r="P50" s="339"/>
      <c r="Q50" s="339"/>
      <c r="R50" s="339"/>
      <c r="S50" s="339"/>
      <c r="T50" s="339"/>
      <c r="U50" s="339"/>
      <c r="V50" s="339"/>
      <c r="W50" s="339"/>
      <c r="X50" s="339"/>
      <c r="Y50" s="339"/>
      <c r="Z50" s="339"/>
      <c r="AA50" s="339"/>
      <c r="AB50" s="339"/>
      <c r="AC50" s="339"/>
      <c r="AD50" s="339"/>
      <c r="AE50" s="339"/>
      <c r="AF50" s="339"/>
      <c r="AG50" s="339"/>
      <c r="AH50" s="339"/>
      <c r="AI50" s="339"/>
      <c r="AJ50" s="339"/>
      <c r="AK50" s="339"/>
      <c r="AL50" s="339"/>
      <c r="AM50" s="339"/>
      <c r="AN50" s="339"/>
      <c r="AO50" s="339"/>
      <c r="AP50" s="339"/>
      <c r="AQ50" s="339"/>
      <c r="AR50" s="339"/>
      <c r="AS50" s="339"/>
      <c r="AT50" s="339"/>
      <c r="AU50" s="339"/>
      <c r="AV50" s="339"/>
      <c r="AW50" s="339"/>
      <c r="AX50" s="339"/>
      <c r="AY50" s="339"/>
      <c r="AZ50" s="339"/>
      <c r="BA50" s="339"/>
      <c r="BB50" s="339"/>
      <c r="BC50" s="339"/>
      <c r="BD50" s="339"/>
      <c r="BE50" s="339"/>
      <c r="BF50" s="339"/>
      <c r="BG50" s="339"/>
      <c r="BH50" s="339"/>
      <c r="BI50" s="339"/>
      <c r="BJ50" s="339"/>
      <c r="BK50" s="339"/>
      <c r="BL50" s="339"/>
      <c r="BM50" s="339"/>
      <c r="BN50" s="339"/>
      <c r="BO50" s="339"/>
      <c r="BP50" s="339"/>
      <c r="BQ50" s="339"/>
      <c r="BR50" s="339"/>
      <c r="BS50" s="339"/>
      <c r="BT50" s="339"/>
      <c r="BU50" s="339"/>
      <c r="BV50" s="339"/>
      <c r="BW50" s="339"/>
      <c r="BX50" s="339"/>
      <c r="BY50" s="339"/>
      <c r="BZ50" s="339"/>
      <c r="CA50" s="339"/>
      <c r="CB50" s="339"/>
      <c r="CC50" s="339"/>
      <c r="CD50" s="339"/>
      <c r="CE50" s="339"/>
      <c r="CF50" s="339"/>
    </row>
    <row r="51" spans="1:84" s="328" customFormat="1" ht="13" customHeight="1">
      <c r="A51" s="338" t="s">
        <v>73</v>
      </c>
      <c r="B51" s="326"/>
      <c r="C51" s="326"/>
      <c r="D51" s="326"/>
      <c r="E51" s="326"/>
      <c r="F51" s="326"/>
      <c r="G51" s="326"/>
      <c r="H51" s="326"/>
      <c r="I51" s="326"/>
      <c r="J51" s="326"/>
      <c r="K51" s="326"/>
      <c r="L51" s="326"/>
      <c r="M51" s="326"/>
      <c r="N51" s="326"/>
      <c r="O51" s="326"/>
      <c r="P51" s="326"/>
      <c r="Q51" s="326"/>
      <c r="R51" s="326"/>
      <c r="S51" s="326"/>
      <c r="T51" s="326"/>
      <c r="U51" s="326"/>
      <c r="V51" s="326"/>
      <c r="W51" s="326"/>
      <c r="X51" s="326"/>
      <c r="Y51" s="326"/>
      <c r="Z51" s="326"/>
      <c r="AA51" s="326"/>
      <c r="AB51" s="326"/>
      <c r="AC51" s="326"/>
      <c r="AD51" s="326"/>
      <c r="AE51" s="326"/>
      <c r="AF51" s="326"/>
      <c r="AG51" s="326"/>
      <c r="AH51" s="326"/>
      <c r="AI51" s="340">
        <f t="shared" ref="AI51:AU51" si="121">AI20</f>
        <v>98</v>
      </c>
      <c r="AJ51" s="340">
        <f t="shared" si="121"/>
        <v>101</v>
      </c>
      <c r="AK51" s="340">
        <f t="shared" si="121"/>
        <v>94</v>
      </c>
      <c r="AL51" s="340">
        <f t="shared" si="121"/>
        <v>114</v>
      </c>
      <c r="AM51" s="340">
        <f t="shared" si="121"/>
        <v>323</v>
      </c>
      <c r="AN51" s="340">
        <f t="shared" si="121"/>
        <v>314</v>
      </c>
      <c r="AO51" s="340">
        <f t="shared" si="121"/>
        <v>311</v>
      </c>
      <c r="AP51" s="340">
        <f t="shared" si="121"/>
        <v>305</v>
      </c>
      <c r="AQ51" s="340">
        <f t="shared" si="121"/>
        <v>313</v>
      </c>
      <c r="AR51" s="340">
        <f t="shared" si="121"/>
        <v>312</v>
      </c>
      <c r="AS51" s="340">
        <f t="shared" si="121"/>
        <v>375</v>
      </c>
      <c r="AT51" s="340">
        <f t="shared" si="121"/>
        <v>362</v>
      </c>
      <c r="AU51" s="340">
        <f t="shared" si="121"/>
        <v>422</v>
      </c>
      <c r="AV51" s="340">
        <f t="shared" ref="AV51" si="122">AV20</f>
        <v>435</v>
      </c>
      <c r="AW51" s="318">
        <f>AW52*Drivers!AW128</f>
        <v>408.99917000677709</v>
      </c>
      <c r="AX51" s="318">
        <f>AX52*Drivers!AX128</f>
        <v>361.13618250000007</v>
      </c>
      <c r="AY51" s="318">
        <f>AY52*Drivers!AY128</f>
        <v>407.30152371607949</v>
      </c>
      <c r="AZ51" s="318">
        <f>AZ52*Drivers!AZ128</f>
        <v>412.11768903859041</v>
      </c>
      <c r="BA51" s="318">
        <f>BA52*Drivers!BA128</f>
        <v>373.77449667514327</v>
      </c>
      <c r="BB51" s="318">
        <f>BB52*Drivers!BB128</f>
        <v>352.5981223721252</v>
      </c>
      <c r="BC51" s="318">
        <f>BC52*Drivers!BC128</f>
        <v>386.87679906146406</v>
      </c>
      <c r="BD51" s="318">
        <f>BD52*Drivers!BD128</f>
        <v>394.17313777259034</v>
      </c>
      <c r="BE51" s="318">
        <f>BE52*Drivers!BE128</f>
        <v>361.87821547089163</v>
      </c>
      <c r="BF51" s="318">
        <f>BF52*Drivers!BF128</f>
        <v>341.14769658322882</v>
      </c>
      <c r="BG51" s="318">
        <f>BG52*Drivers!BG128</f>
        <v>371.49998465158308</v>
      </c>
      <c r="BH51" s="318">
        <f>BH52*Drivers!BH128</f>
        <v>415.45068978029633</v>
      </c>
      <c r="BI51" s="318">
        <f>BI52*Drivers!BI128</f>
        <v>370.52654928838939</v>
      </c>
      <c r="BJ51" s="318">
        <f>BJ52*Drivers!BJ128</f>
        <v>342.24340212219522</v>
      </c>
      <c r="BK51" s="318">
        <f>BK52*Drivers!BK128</f>
        <v>365.08877148260837</v>
      </c>
      <c r="BL51" s="318">
        <f>BL52*Drivers!BL128</f>
        <v>369.25025172376763</v>
      </c>
      <c r="BM51" s="318">
        <f>BM52*Drivers!BM128</f>
        <v>346.1526309053009</v>
      </c>
      <c r="BN51" s="318">
        <f>BN52*Drivers!BN128</f>
        <v>322.36896829466286</v>
      </c>
      <c r="BO51" s="326"/>
      <c r="BP51" s="326"/>
      <c r="BQ51" s="326"/>
      <c r="BR51" s="326"/>
      <c r="BS51" s="326"/>
      <c r="BT51" s="326"/>
      <c r="BU51" s="326"/>
      <c r="BV51" s="326"/>
      <c r="BW51" s="326"/>
      <c r="BX51" s="326"/>
      <c r="BY51" s="326"/>
      <c r="BZ51" s="326"/>
      <c r="CA51" s="326"/>
      <c r="CB51" s="326"/>
      <c r="CC51" s="326"/>
      <c r="CD51" s="326"/>
      <c r="CE51" s="326"/>
      <c r="CF51" s="326"/>
    </row>
    <row r="52" spans="1:84" ht="12.75" customHeight="1">
      <c r="A52" s="341" t="s">
        <v>162</v>
      </c>
      <c r="B52" s="342">
        <f>B20/Drivers!B128</f>
        <v>0.17875383043922369</v>
      </c>
      <c r="C52" s="342">
        <f>C20/Drivers!C128</f>
        <v>0.21717791411042944</v>
      </c>
      <c r="D52" s="342">
        <f>D20/Drivers!D128</f>
        <v>0.29952456418383516</v>
      </c>
      <c r="E52" s="342">
        <f>E20/Drivers!E128</f>
        <v>0.18993352326685661</v>
      </c>
      <c r="F52" s="342">
        <f>F20/Drivers!F128</f>
        <v>7.3394495412844041E-2</v>
      </c>
      <c r="G52" s="342">
        <f>G20/Drivers!G128</f>
        <v>0.17017017017017017</v>
      </c>
      <c r="H52" s="342">
        <f>H20/Drivers!H128</f>
        <v>0.24335664335664337</v>
      </c>
      <c r="I52" s="342">
        <f>I20/Drivers!I128</f>
        <v>0.17059377945334589</v>
      </c>
      <c r="J52" s="342">
        <f>J20/Drivers!J128</f>
        <v>0.13523391812865498</v>
      </c>
      <c r="K52" s="342">
        <f>K20/Drivers!K128</f>
        <v>0.218848167539267</v>
      </c>
      <c r="L52" s="342">
        <f>L20/Drivers!L128</f>
        <v>0.27004219409282698</v>
      </c>
      <c r="M52" s="342">
        <f>M20/Drivers!M128</f>
        <v>0.20065075921908893</v>
      </c>
      <c r="N52" s="342">
        <f>N20/Drivers!N128</f>
        <v>0.14061207609594706</v>
      </c>
      <c r="O52" s="342">
        <f>O20/Drivers!O128</f>
        <v>0.18756585879873552</v>
      </c>
      <c r="P52" s="342">
        <f>P20/Drivers!P128</f>
        <v>0.2503597122302158</v>
      </c>
      <c r="Q52" s="342">
        <f>Q20/Drivers!Q128</f>
        <v>0.20668316831683167</v>
      </c>
      <c r="R52" s="342">
        <f>R20/Drivers!R128</f>
        <v>0.1246660730186999</v>
      </c>
      <c r="S52" s="342">
        <f>S20/Drivers!S128</f>
        <v>0.11696869851729819</v>
      </c>
      <c r="T52" s="342">
        <f>T20/Drivers!T128</f>
        <v>0.14242424242424243</v>
      </c>
      <c r="U52" s="342">
        <f>U20/Drivers!U128</f>
        <v>8.9698046181172289E-2</v>
      </c>
      <c r="V52" s="342">
        <f>V20/Drivers!V128</f>
        <v>0.11054852320675106</v>
      </c>
      <c r="W52" s="342">
        <f>W20/Drivers!W128</f>
        <v>0.10473815461346633</v>
      </c>
      <c r="X52" s="342">
        <f>X20/Drivers!X128</f>
        <v>0.14355828220858896</v>
      </c>
      <c r="Y52" s="342">
        <f>Y20/Drivers!Y128</f>
        <v>0.10841121495327102</v>
      </c>
      <c r="Z52" s="342">
        <f>Z20/Drivers!Z128</f>
        <v>7.8746177370030576E-2</v>
      </c>
      <c r="AA52" s="342">
        <f>AA20/Drivers!AA128</f>
        <v>8.2612116443745082E-2</v>
      </c>
      <c r="AB52" s="342">
        <f>AB20/Drivers!AB128</f>
        <v>0.10913140311804009</v>
      </c>
      <c r="AC52" s="342">
        <f>AC20/Drivers!AC128</f>
        <v>8.2680591818973026E-2</v>
      </c>
      <c r="AD52" s="342">
        <f>AD20/Drivers!AD128</f>
        <v>5.50098231827112E-2</v>
      </c>
      <c r="AE52" s="342">
        <f>AE20/Drivers!AE128</f>
        <v>6.2111801242236024E-2</v>
      </c>
      <c r="AF52" s="342">
        <f>AF20/Drivers!AF128</f>
        <v>0.10323253388946819</v>
      </c>
      <c r="AG52" s="342">
        <f>AG20/Drivers!AG128</f>
        <v>9.4827586206896547E-2</v>
      </c>
      <c r="AH52" s="342">
        <f>AH20/Drivers!AH128</f>
        <v>5.6257901390644752E-2</v>
      </c>
      <c r="AI52" s="342">
        <f>AI51/Drivers!AI128</f>
        <v>8.6191732629727347E-2</v>
      </c>
      <c r="AJ52" s="342">
        <f>AJ51/Drivers!AJ128</f>
        <v>7.8538102643856925E-2</v>
      </c>
      <c r="AK52" s="342">
        <f>AK51/Drivers!AK128</f>
        <v>7.2924747866563222E-2</v>
      </c>
      <c r="AL52" s="342">
        <f>AL51/Drivers!AL128</f>
        <v>9.2084006462035545E-2</v>
      </c>
      <c r="AM52" s="342">
        <f>AM51/Drivers!AM128</f>
        <v>0.26716294458229944</v>
      </c>
      <c r="AN52" s="342">
        <f>AN51/Drivers!AN128</f>
        <v>0.23293768545994065</v>
      </c>
      <c r="AO52" s="342">
        <f>AO51/Drivers!AO128</f>
        <v>0.19522912743251727</v>
      </c>
      <c r="AP52" s="342">
        <f>AP51/Drivers!AP128</f>
        <v>0.2198990627253064</v>
      </c>
      <c r="AQ52" s="342">
        <f>AQ51/Drivers!AQ128</f>
        <v>0.21453050034270049</v>
      </c>
      <c r="AR52" s="342">
        <f>AR51/Drivers!AR128</f>
        <v>0.27106863596872283</v>
      </c>
      <c r="AS52" s="342">
        <f>AS51/Drivers!AS128</f>
        <v>0.22414823670053796</v>
      </c>
      <c r="AT52" s="342">
        <f>AT51/Drivers!AT128</f>
        <v>0.2689450222882615</v>
      </c>
      <c r="AU52" s="342">
        <f>AU51/Drivers!AU128</f>
        <v>0.27208252740167632</v>
      </c>
      <c r="AV52" s="342">
        <f>AV51/Drivers!AV128</f>
        <v>0.23822562979189485</v>
      </c>
      <c r="AW52" s="343">
        <f t="shared" ref="AW52:BN52" si="123">AV52-0.35%</f>
        <v>0.23472562979189485</v>
      </c>
      <c r="AX52" s="343">
        <v>0.2</v>
      </c>
      <c r="AY52" s="343">
        <f t="shared" si="123"/>
        <v>0.19650000000000001</v>
      </c>
      <c r="AZ52" s="343">
        <f t="shared" si="123"/>
        <v>0.193</v>
      </c>
      <c r="BA52" s="343">
        <f t="shared" si="123"/>
        <v>0.1895</v>
      </c>
      <c r="BB52" s="343">
        <f t="shared" si="123"/>
        <v>0.186</v>
      </c>
      <c r="BC52" s="343">
        <f t="shared" si="123"/>
        <v>0.1825</v>
      </c>
      <c r="BD52" s="343">
        <f t="shared" si="123"/>
        <v>0.17899999999999999</v>
      </c>
      <c r="BE52" s="343">
        <f t="shared" si="123"/>
        <v>0.17549999999999999</v>
      </c>
      <c r="BF52" s="343">
        <f t="shared" si="123"/>
        <v>0.17199999999999999</v>
      </c>
      <c r="BG52" s="343">
        <f t="shared" si="123"/>
        <v>0.16849999999999998</v>
      </c>
      <c r="BH52" s="343">
        <f t="shared" si="123"/>
        <v>0.16499999999999998</v>
      </c>
      <c r="BI52" s="343">
        <f t="shared" si="123"/>
        <v>0.16149999999999998</v>
      </c>
      <c r="BJ52" s="343">
        <f t="shared" si="123"/>
        <v>0.15799999999999997</v>
      </c>
      <c r="BK52" s="343">
        <f t="shared" si="123"/>
        <v>0.15449999999999997</v>
      </c>
      <c r="BL52" s="343">
        <f t="shared" si="123"/>
        <v>0.15099999999999997</v>
      </c>
      <c r="BM52" s="343">
        <f t="shared" si="123"/>
        <v>0.14749999999999996</v>
      </c>
      <c r="BN52" s="343">
        <f t="shared" si="123"/>
        <v>0.14399999999999996</v>
      </c>
      <c r="BO52" s="343"/>
      <c r="BP52" s="341"/>
      <c r="BQ52" s="341"/>
      <c r="BR52" s="341"/>
      <c r="BS52" s="341"/>
      <c r="BT52" s="341"/>
      <c r="BU52" s="341"/>
      <c r="BV52" s="341"/>
      <c r="BW52" s="341"/>
      <c r="BX52" s="341"/>
      <c r="BY52" s="343"/>
      <c r="BZ52" s="341"/>
      <c r="CA52" s="341"/>
      <c r="CB52" s="341"/>
      <c r="CC52" s="341"/>
      <c r="CD52" s="341"/>
      <c r="CE52" s="341"/>
      <c r="CF52" s="341"/>
    </row>
    <row r="53" spans="1:84" ht="12.75" customHeight="1">
      <c r="A53" s="341"/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42"/>
      <c r="N53" s="342"/>
      <c r="O53" s="342"/>
      <c r="P53" s="342"/>
      <c r="Q53" s="342"/>
      <c r="R53" s="342"/>
      <c r="S53" s="342"/>
      <c r="T53" s="342"/>
      <c r="U53" s="342"/>
      <c r="V53" s="342"/>
      <c r="W53" s="342"/>
      <c r="X53" s="342"/>
      <c r="Y53" s="342"/>
      <c r="Z53" s="342"/>
      <c r="AA53" s="342"/>
      <c r="AB53" s="342"/>
      <c r="AC53" s="342"/>
      <c r="AD53" s="342"/>
      <c r="AE53" s="342"/>
      <c r="AF53" s="342"/>
      <c r="AG53" s="342"/>
      <c r="AH53" s="342"/>
      <c r="AI53" s="342"/>
      <c r="AJ53" s="342"/>
      <c r="AK53" s="342"/>
      <c r="AL53" s="342"/>
      <c r="AM53" s="342"/>
      <c r="AN53" s="342"/>
      <c r="AO53" s="342"/>
      <c r="AP53" s="342"/>
      <c r="AQ53" s="342"/>
      <c r="AR53" s="342"/>
      <c r="AS53" s="342"/>
      <c r="AT53" s="342"/>
      <c r="AU53" s="342"/>
      <c r="AV53" s="343"/>
      <c r="AW53" s="343"/>
      <c r="AX53" s="343"/>
      <c r="AY53" s="343"/>
      <c r="AZ53" s="343"/>
      <c r="BA53" s="343"/>
      <c r="BB53" s="343"/>
      <c r="BC53" s="343"/>
      <c r="BD53" s="343"/>
      <c r="BE53" s="343"/>
      <c r="BF53" s="343"/>
      <c r="BG53" s="343"/>
      <c r="BH53" s="343"/>
      <c r="BI53" s="343"/>
      <c r="BJ53" s="343"/>
      <c r="BK53" s="343"/>
      <c r="BL53" s="343"/>
      <c r="BM53" s="343"/>
      <c r="BN53" s="343"/>
      <c r="BO53" s="343"/>
      <c r="BP53" s="341"/>
      <c r="BQ53" s="341"/>
      <c r="BR53" s="341"/>
      <c r="BS53" s="341"/>
      <c r="BT53" s="341"/>
      <c r="BU53" s="341"/>
      <c r="BV53" s="341"/>
      <c r="BW53" s="341"/>
      <c r="BX53" s="341"/>
      <c r="BY53" s="341"/>
      <c r="BZ53" s="341"/>
      <c r="CA53" s="341"/>
      <c r="CB53" s="341"/>
      <c r="CC53" s="341"/>
      <c r="CD53" s="341"/>
      <c r="CE53" s="341"/>
      <c r="CF53" s="341"/>
    </row>
    <row r="54" spans="1:84" ht="12.75" customHeight="1">
      <c r="A54" s="338" t="s">
        <v>134</v>
      </c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42"/>
      <c r="N54" s="342"/>
      <c r="O54" s="342"/>
      <c r="P54" s="342"/>
      <c r="Q54" s="342"/>
      <c r="R54" s="342"/>
      <c r="S54" s="342"/>
      <c r="T54" s="342"/>
      <c r="U54" s="342"/>
      <c r="V54" s="342"/>
      <c r="W54" s="342"/>
      <c r="X54" s="342"/>
      <c r="Y54" s="342"/>
      <c r="Z54" s="342"/>
      <c r="AA54" s="342"/>
      <c r="AB54" s="342"/>
      <c r="AC54" s="342"/>
      <c r="AD54" s="342"/>
      <c r="AE54" s="342"/>
      <c r="AF54" s="342"/>
      <c r="AG54" s="342"/>
      <c r="AH54" s="342"/>
      <c r="AI54" s="340">
        <f t="shared" ref="AI54:AU54" si="124">AI31</f>
        <v>276</v>
      </c>
      <c r="AJ54" s="340">
        <f t="shared" si="124"/>
        <v>273</v>
      </c>
      <c r="AK54" s="340">
        <f t="shared" si="124"/>
        <v>264</v>
      </c>
      <c r="AL54" s="340">
        <f t="shared" si="124"/>
        <v>233</v>
      </c>
      <c r="AM54" s="340">
        <f t="shared" si="124"/>
        <v>345</v>
      </c>
      <c r="AN54" s="340">
        <f t="shared" si="124"/>
        <v>361</v>
      </c>
      <c r="AO54" s="340">
        <f t="shared" si="124"/>
        <v>352</v>
      </c>
      <c r="AP54" s="340">
        <f t="shared" si="124"/>
        <v>373</v>
      </c>
      <c r="AQ54" s="340">
        <f t="shared" si="124"/>
        <v>312</v>
      </c>
      <c r="AR54" s="340">
        <f t="shared" si="124"/>
        <v>301</v>
      </c>
      <c r="AS54" s="340">
        <f t="shared" si="124"/>
        <v>296</v>
      </c>
      <c r="AT54" s="340">
        <f t="shared" si="124"/>
        <v>315</v>
      </c>
      <c r="AU54" s="340">
        <f t="shared" si="124"/>
        <v>321</v>
      </c>
      <c r="AV54" s="340">
        <f t="shared" ref="AV54" si="125">AV31</f>
        <v>318</v>
      </c>
      <c r="AW54" s="318">
        <f t="shared" ref="AW54:BN54" si="126">AW55*AW25</f>
        <v>510.06450250000012</v>
      </c>
      <c r="AX54" s="318">
        <f t="shared" si="126"/>
        <v>507.59696762499999</v>
      </c>
      <c r="AY54" s="318">
        <f t="shared" si="126"/>
        <v>379.56698389145521</v>
      </c>
      <c r="AZ54" s="318">
        <f t="shared" si="126"/>
        <v>336.2689190781598</v>
      </c>
      <c r="BA54" s="318">
        <f t="shared" si="126"/>
        <v>543.39219064895133</v>
      </c>
      <c r="BB54" s="318">
        <f t="shared" si="126"/>
        <v>501.64410865868888</v>
      </c>
      <c r="BC54" s="318">
        <f t="shared" si="126"/>
        <v>365.21414701590516</v>
      </c>
      <c r="BD54" s="318">
        <f t="shared" si="126"/>
        <v>325.75139800709661</v>
      </c>
      <c r="BE54" s="318">
        <f t="shared" si="126"/>
        <v>534.79971468632709</v>
      </c>
      <c r="BF54" s="318">
        <f t="shared" si="126"/>
        <v>494.20136278287509</v>
      </c>
      <c r="BG54" s="318">
        <f t="shared" si="126"/>
        <v>357.16214232276639</v>
      </c>
      <c r="BH54" s="318">
        <f t="shared" si="126"/>
        <v>349.57711812609449</v>
      </c>
      <c r="BI54" s="318">
        <f t="shared" si="126"/>
        <v>560.32517012811229</v>
      </c>
      <c r="BJ54" s="318">
        <f t="shared" si="126"/>
        <v>508.2671161807055</v>
      </c>
      <c r="BK54" s="318">
        <f t="shared" si="126"/>
        <v>359.71343740527215</v>
      </c>
      <c r="BL54" s="318">
        <f t="shared" si="126"/>
        <v>318.32273056510644</v>
      </c>
      <c r="BM54" s="318">
        <f t="shared" si="126"/>
        <v>539.76342446250328</v>
      </c>
      <c r="BN54" s="318">
        <f t="shared" si="126"/>
        <v>494.70292383998509</v>
      </c>
      <c r="BO54" s="343"/>
      <c r="BP54" s="341"/>
      <c r="BQ54" s="341"/>
      <c r="BR54" s="341"/>
      <c r="BS54" s="341"/>
      <c r="BT54" s="341"/>
      <c r="BU54" s="341"/>
      <c r="BV54" s="341"/>
      <c r="BW54" s="341"/>
      <c r="BX54" s="341"/>
      <c r="BY54" s="341"/>
      <c r="BZ54" s="341"/>
      <c r="CA54" s="341"/>
      <c r="CB54" s="341"/>
      <c r="CC54" s="341"/>
      <c r="CD54" s="341"/>
      <c r="CE54" s="341"/>
      <c r="CF54" s="341"/>
    </row>
    <row r="55" spans="1:84" ht="12.75" customHeight="1">
      <c r="A55" s="341" t="s">
        <v>164</v>
      </c>
      <c r="B55" s="342">
        <f t="shared" ref="B55:AU55" si="127">B31/B25</f>
        <v>0.31592689295039167</v>
      </c>
      <c r="C55" s="342">
        <f t="shared" si="127"/>
        <v>0.4673469387755102</v>
      </c>
      <c r="D55" s="342">
        <f t="shared" si="127"/>
        <v>0.24091520861372812</v>
      </c>
      <c r="E55" s="342">
        <f t="shared" si="127"/>
        <v>0.16727272727272727</v>
      </c>
      <c r="F55" s="342">
        <f t="shared" si="127"/>
        <v>0.19104477611940299</v>
      </c>
      <c r="G55" s="342">
        <f t="shared" si="127"/>
        <v>0.3622641509433962</v>
      </c>
      <c r="H55" s="342">
        <f t="shared" si="127"/>
        <v>0.22025912838633688</v>
      </c>
      <c r="I55" s="342">
        <f t="shared" si="127"/>
        <v>0.1271716469770674</v>
      </c>
      <c r="J55" s="342">
        <f t="shared" si="127"/>
        <v>0.18034351145038169</v>
      </c>
      <c r="K55" s="342">
        <f t="shared" si="127"/>
        <v>0.33904109589041098</v>
      </c>
      <c r="L55" s="342">
        <f t="shared" si="127"/>
        <v>0.21930745015739769</v>
      </c>
      <c r="M55" s="342">
        <f t="shared" si="127"/>
        <v>0.17394888705688377</v>
      </c>
      <c r="N55" s="342">
        <f t="shared" si="127"/>
        <v>0.19636015325670497</v>
      </c>
      <c r="O55" s="342">
        <f t="shared" si="127"/>
        <v>0.34067796610169493</v>
      </c>
      <c r="P55" s="342">
        <f t="shared" si="127"/>
        <v>0.22139037433155082</v>
      </c>
      <c r="Q55" s="342">
        <f t="shared" si="127"/>
        <v>0.12360211889346674</v>
      </c>
      <c r="R55" s="342">
        <f t="shared" si="127"/>
        <v>0.12684563758389261</v>
      </c>
      <c r="S55" s="342">
        <f t="shared" si="127"/>
        <v>8.5632730732635581E-2</v>
      </c>
      <c r="T55" s="342">
        <f t="shared" si="127"/>
        <v>6.9476971116315372E-2</v>
      </c>
      <c r="U55" s="342">
        <f t="shared" si="127"/>
        <v>5.5590650663297533E-2</v>
      </c>
      <c r="V55" s="342">
        <f t="shared" si="127"/>
        <v>5.4559625876851127E-2</v>
      </c>
      <c r="W55" s="342">
        <f t="shared" si="127"/>
        <v>9.1612903225806452E-2</v>
      </c>
      <c r="X55" s="342">
        <f t="shared" si="127"/>
        <v>5.9299191374663072E-2</v>
      </c>
      <c r="Y55" s="342">
        <f t="shared" si="127"/>
        <v>3.4164859002169194E-2</v>
      </c>
      <c r="Z55" s="342">
        <f t="shared" si="127"/>
        <v>5.4869684499314127E-2</v>
      </c>
      <c r="AA55" s="342">
        <f t="shared" si="127"/>
        <v>0.10080183276059565</v>
      </c>
      <c r="AB55" s="342">
        <f t="shared" si="127"/>
        <v>8.0599812558575443E-2</v>
      </c>
      <c r="AC55" s="342">
        <f t="shared" si="127"/>
        <v>4.4140030441400302E-2</v>
      </c>
      <c r="AD55" s="342">
        <f t="shared" si="127"/>
        <v>6.757634827810266E-2</v>
      </c>
      <c r="AE55" s="342">
        <f t="shared" si="127"/>
        <v>0.12925170068027211</v>
      </c>
      <c r="AF55" s="342">
        <f t="shared" si="127"/>
        <v>0.10931899641577061</v>
      </c>
      <c r="AG55" s="342">
        <f t="shared" si="127"/>
        <v>9.9691675231243573E-2</v>
      </c>
      <c r="AH55" s="342">
        <f t="shared" si="127"/>
        <v>0.15413070283600494</v>
      </c>
      <c r="AI55" s="342">
        <f t="shared" si="127"/>
        <v>0.42331288343558282</v>
      </c>
      <c r="AJ55" s="342">
        <f t="shared" si="127"/>
        <v>0.47560975609756095</v>
      </c>
      <c r="AK55" s="342">
        <f t="shared" si="127"/>
        <v>0.28448275862068967</v>
      </c>
      <c r="AL55" s="342">
        <f t="shared" si="127"/>
        <v>0.21181818181818182</v>
      </c>
      <c r="AM55" s="342">
        <f t="shared" si="127"/>
        <v>0.50810014727540498</v>
      </c>
      <c r="AN55" s="342">
        <f t="shared" si="127"/>
        <v>0.55882352941176472</v>
      </c>
      <c r="AO55" s="342">
        <f t="shared" si="127"/>
        <v>0.32805219012115566</v>
      </c>
      <c r="AP55" s="342">
        <f t="shared" si="127"/>
        <v>0.39470899470899473</v>
      </c>
      <c r="AQ55" s="342">
        <f t="shared" si="127"/>
        <v>0.3553530751708428</v>
      </c>
      <c r="AR55" s="342">
        <f t="shared" si="127"/>
        <v>0.47104851330203446</v>
      </c>
      <c r="AS55" s="342">
        <f t="shared" si="127"/>
        <v>0.2144927536231884</v>
      </c>
      <c r="AT55" s="342">
        <f t="shared" si="127"/>
        <v>0.206286836935167</v>
      </c>
      <c r="AU55" s="342">
        <f t="shared" si="127"/>
        <v>0.24597701149425288</v>
      </c>
      <c r="AV55" s="342">
        <f t="shared" ref="AV55" si="128">AV31/AV25</f>
        <v>0.24054462934947049</v>
      </c>
      <c r="AW55" s="343">
        <v>0.23</v>
      </c>
      <c r="AX55" s="343">
        <f t="shared" ref="AW55:AX58" si="129">AW55</f>
        <v>0.23</v>
      </c>
      <c r="AY55" s="343">
        <f t="shared" ref="AY55:BB58" si="130">AX55</f>
        <v>0.23</v>
      </c>
      <c r="AZ55" s="343">
        <f t="shared" si="130"/>
        <v>0.23</v>
      </c>
      <c r="BA55" s="343">
        <f t="shared" si="130"/>
        <v>0.23</v>
      </c>
      <c r="BB55" s="343">
        <f t="shared" si="130"/>
        <v>0.23</v>
      </c>
      <c r="BC55" s="343">
        <f t="shared" ref="BC55:BF58" si="131">BB55</f>
        <v>0.23</v>
      </c>
      <c r="BD55" s="343">
        <f t="shared" si="131"/>
        <v>0.23</v>
      </c>
      <c r="BE55" s="343">
        <f t="shared" si="131"/>
        <v>0.23</v>
      </c>
      <c r="BF55" s="343">
        <f t="shared" si="131"/>
        <v>0.23</v>
      </c>
      <c r="BG55" s="343">
        <f t="shared" ref="BG55:BN55" si="132">BF55</f>
        <v>0.23</v>
      </c>
      <c r="BH55" s="343">
        <f t="shared" si="132"/>
        <v>0.23</v>
      </c>
      <c r="BI55" s="343">
        <f t="shared" si="132"/>
        <v>0.23</v>
      </c>
      <c r="BJ55" s="343">
        <f t="shared" si="132"/>
        <v>0.23</v>
      </c>
      <c r="BK55" s="343">
        <f t="shared" si="132"/>
        <v>0.23</v>
      </c>
      <c r="BL55" s="343">
        <f t="shared" si="132"/>
        <v>0.23</v>
      </c>
      <c r="BM55" s="343">
        <f t="shared" si="132"/>
        <v>0.23</v>
      </c>
      <c r="BN55" s="343">
        <f t="shared" si="132"/>
        <v>0.23</v>
      </c>
      <c r="BO55" s="343"/>
      <c r="BP55" s="341"/>
      <c r="BQ55" s="341"/>
      <c r="BR55" s="341"/>
      <c r="BS55" s="341"/>
      <c r="BT55" s="341"/>
      <c r="BU55" s="341"/>
      <c r="BV55" s="341"/>
      <c r="BW55" s="341"/>
      <c r="BX55" s="341"/>
      <c r="BY55" s="341"/>
      <c r="BZ55" s="341"/>
      <c r="CA55" s="341"/>
      <c r="CB55" s="341"/>
      <c r="CC55" s="341"/>
      <c r="CD55" s="341"/>
      <c r="CE55" s="341"/>
      <c r="CF55" s="341"/>
    </row>
    <row r="56" spans="1:84" ht="12.75" customHeight="1">
      <c r="A56" s="341"/>
      <c r="B56" s="342"/>
      <c r="C56" s="342"/>
      <c r="D56" s="342"/>
      <c r="E56" s="342"/>
      <c r="F56" s="342"/>
      <c r="G56" s="342"/>
      <c r="H56" s="342"/>
      <c r="I56" s="342"/>
      <c r="J56" s="342"/>
      <c r="K56" s="342"/>
      <c r="L56" s="342"/>
      <c r="M56" s="342"/>
      <c r="N56" s="342"/>
      <c r="O56" s="342"/>
      <c r="P56" s="342"/>
      <c r="Q56" s="342"/>
      <c r="R56" s="342"/>
      <c r="S56" s="342"/>
      <c r="T56" s="342"/>
      <c r="U56" s="342"/>
      <c r="V56" s="342"/>
      <c r="W56" s="342"/>
      <c r="X56" s="342"/>
      <c r="Y56" s="342"/>
      <c r="Z56" s="342"/>
      <c r="AA56" s="342"/>
      <c r="AB56" s="342"/>
      <c r="AC56" s="342"/>
      <c r="AD56" s="342"/>
      <c r="AE56" s="342"/>
      <c r="AF56" s="342"/>
      <c r="AG56" s="342"/>
      <c r="AH56" s="342"/>
      <c r="AI56" s="342"/>
      <c r="AJ56" s="342"/>
      <c r="AK56" s="342"/>
      <c r="AL56" s="342"/>
      <c r="AM56" s="342"/>
      <c r="AN56" s="342"/>
      <c r="AO56" s="342"/>
      <c r="AP56" s="342"/>
      <c r="AQ56" s="342"/>
      <c r="AR56" s="342"/>
      <c r="AS56" s="342"/>
      <c r="AT56" s="342"/>
      <c r="AU56" s="342"/>
      <c r="AV56" s="342"/>
      <c r="AW56" s="343"/>
      <c r="AX56" s="343"/>
      <c r="AY56" s="343"/>
      <c r="AZ56" s="343"/>
      <c r="BA56" s="343"/>
      <c r="BB56" s="343"/>
      <c r="BC56" s="343"/>
      <c r="BD56" s="343"/>
      <c r="BE56" s="343"/>
      <c r="BF56" s="343"/>
      <c r="BG56" s="343"/>
      <c r="BH56" s="343"/>
      <c r="BI56" s="343"/>
      <c r="BJ56" s="343"/>
      <c r="BK56" s="343"/>
      <c r="BL56" s="343"/>
      <c r="BM56" s="343"/>
      <c r="BN56" s="343"/>
      <c r="BO56" s="343"/>
      <c r="BP56" s="341"/>
      <c r="BQ56" s="341"/>
      <c r="BR56" s="341"/>
      <c r="BS56" s="341"/>
      <c r="BT56" s="341"/>
      <c r="BU56" s="341"/>
      <c r="BV56" s="341"/>
      <c r="BW56" s="341"/>
      <c r="BX56" s="341"/>
      <c r="BY56" s="341"/>
      <c r="BZ56" s="341"/>
      <c r="CA56" s="341"/>
      <c r="CB56" s="341"/>
      <c r="CC56" s="341"/>
      <c r="CD56" s="341"/>
      <c r="CE56" s="341"/>
      <c r="CF56" s="341"/>
    </row>
    <row r="57" spans="1:84" ht="12.75" customHeight="1">
      <c r="A57" s="344" t="s">
        <v>291</v>
      </c>
      <c r="B57" s="342"/>
      <c r="C57" s="342"/>
      <c r="D57" s="342"/>
      <c r="E57" s="342"/>
      <c r="F57" s="342"/>
      <c r="G57" s="342"/>
      <c r="H57" s="342"/>
      <c r="I57" s="342"/>
      <c r="J57" s="342"/>
      <c r="K57" s="342"/>
      <c r="L57" s="342"/>
      <c r="M57" s="342"/>
      <c r="N57" s="342"/>
      <c r="O57" s="342"/>
      <c r="P57" s="342"/>
      <c r="Q57" s="342"/>
      <c r="R57" s="342"/>
      <c r="S57" s="342"/>
      <c r="T57" s="342"/>
      <c r="U57" s="342"/>
      <c r="V57" s="342"/>
      <c r="W57" s="342"/>
      <c r="X57" s="342"/>
      <c r="Y57" s="342"/>
      <c r="Z57" s="342"/>
      <c r="AA57" s="342"/>
      <c r="AB57" s="342"/>
      <c r="AC57" s="342"/>
      <c r="AD57" s="342"/>
      <c r="AE57" s="342"/>
      <c r="AF57" s="342"/>
      <c r="AG57" s="342"/>
      <c r="AH57" s="342"/>
      <c r="AI57" s="340">
        <f t="shared" ref="AI57:AU57" si="133">AI32</f>
        <v>1</v>
      </c>
      <c r="AJ57" s="340">
        <f t="shared" si="133"/>
        <v>1</v>
      </c>
      <c r="AK57" s="340">
        <f t="shared" si="133"/>
        <v>0.99999999999999978</v>
      </c>
      <c r="AL57" s="340">
        <f t="shared" si="133"/>
        <v>2</v>
      </c>
      <c r="AM57" s="340">
        <f t="shared" si="133"/>
        <v>2</v>
      </c>
      <c r="AN57" s="340">
        <f t="shared" si="133"/>
        <v>2</v>
      </c>
      <c r="AO57" s="340">
        <f t="shared" si="133"/>
        <v>2</v>
      </c>
      <c r="AP57" s="340">
        <f t="shared" si="133"/>
        <v>1</v>
      </c>
      <c r="AQ57" s="340">
        <f t="shared" si="133"/>
        <v>1</v>
      </c>
      <c r="AR57" s="340">
        <f t="shared" si="133"/>
        <v>1</v>
      </c>
      <c r="AS57" s="340">
        <f t="shared" si="133"/>
        <v>1</v>
      </c>
      <c r="AT57" s="340">
        <f t="shared" si="133"/>
        <v>43</v>
      </c>
      <c r="AU57" s="340">
        <f t="shared" si="133"/>
        <v>24</v>
      </c>
      <c r="AV57" s="340">
        <f t="shared" ref="AV57" si="134">AV32</f>
        <v>68</v>
      </c>
      <c r="AW57" s="318">
        <f t="shared" ref="AW57:BN57" si="135">AW58*(AW12+AW19)</f>
        <v>67.319999999999993</v>
      </c>
      <c r="AX57" s="318">
        <f t="shared" si="135"/>
        <v>66.646799999999999</v>
      </c>
      <c r="AY57" s="318">
        <f t="shared" si="135"/>
        <v>65.98033199999999</v>
      </c>
      <c r="AZ57" s="318">
        <f t="shared" si="135"/>
        <v>65.320528679999995</v>
      </c>
      <c r="BA57" s="318">
        <f t="shared" si="135"/>
        <v>64.667323393199993</v>
      </c>
      <c r="BB57" s="318">
        <f t="shared" si="135"/>
        <v>64.020650159267987</v>
      </c>
      <c r="BC57" s="318">
        <f t="shared" si="135"/>
        <v>63.380443657675308</v>
      </c>
      <c r="BD57" s="318">
        <f t="shared" si="135"/>
        <v>62.746639221098555</v>
      </c>
      <c r="BE57" s="318">
        <f t="shared" si="135"/>
        <v>62.119172828887571</v>
      </c>
      <c r="BF57" s="318">
        <f t="shared" si="135"/>
        <v>61.497981100598693</v>
      </c>
      <c r="BG57" s="318">
        <f t="shared" si="135"/>
        <v>60.883001289592706</v>
      </c>
      <c r="BH57" s="318">
        <f t="shared" si="135"/>
        <v>60.274171276696777</v>
      </c>
      <c r="BI57" s="318">
        <f t="shared" si="135"/>
        <v>59.671429563929813</v>
      </c>
      <c r="BJ57" s="318">
        <f t="shared" si="135"/>
        <v>59.074715268290511</v>
      </c>
      <c r="BK57" s="318">
        <f t="shared" si="135"/>
        <v>58.48396811560761</v>
      </c>
      <c r="BL57" s="318">
        <f t="shared" si="135"/>
        <v>57.899128434451534</v>
      </c>
      <c r="BM57" s="318">
        <f t="shared" si="135"/>
        <v>57.320137150107016</v>
      </c>
      <c r="BN57" s="318">
        <f t="shared" si="135"/>
        <v>56.746935778605945</v>
      </c>
      <c r="BO57" s="343"/>
      <c r="BP57" s="341"/>
      <c r="BQ57" s="341"/>
      <c r="BR57" s="341"/>
      <c r="BS57" s="341"/>
      <c r="BT57" s="341"/>
      <c r="BU57" s="341"/>
      <c r="BV57" s="341"/>
      <c r="BW57" s="341"/>
      <c r="BX57" s="341"/>
      <c r="BY57" s="341"/>
      <c r="BZ57" s="341"/>
      <c r="CA57" s="341"/>
      <c r="CB57" s="341"/>
      <c r="CC57" s="341"/>
      <c r="CD57" s="341"/>
      <c r="CE57" s="341"/>
      <c r="CF57" s="341"/>
    </row>
    <row r="58" spans="1:84" ht="12.75" customHeight="1">
      <c r="A58" s="326" t="s">
        <v>163</v>
      </c>
      <c r="B58" s="342">
        <f t="shared" ref="B58:AU58" si="136">B32/(B12+B19)</f>
        <v>2.0833333333333332E-2</v>
      </c>
      <c r="C58" s="342">
        <f t="shared" si="136"/>
        <v>2.1739130434782608E-2</v>
      </c>
      <c r="D58" s="342">
        <f t="shared" si="136"/>
        <v>2.8571428571428571E-2</v>
      </c>
      <c r="E58" s="342">
        <f t="shared" si="136"/>
        <v>6.0606060606060608E-2</v>
      </c>
      <c r="F58" s="342">
        <f t="shared" si="136"/>
        <v>0.35238095238095241</v>
      </c>
      <c r="G58" s="342">
        <f t="shared" si="136"/>
        <v>0.3925233644859813</v>
      </c>
      <c r="H58" s="342">
        <f t="shared" si="136"/>
        <v>0.59154929577464788</v>
      </c>
      <c r="I58" s="342">
        <f t="shared" si="136"/>
        <v>0.6029411764705882</v>
      </c>
      <c r="J58" s="342">
        <f t="shared" si="136"/>
        <v>7.3394495412844041E-2</v>
      </c>
      <c r="K58" s="342">
        <f t="shared" si="136"/>
        <v>1.7857142857142856E-2</v>
      </c>
      <c r="L58" s="342">
        <f t="shared" si="136"/>
        <v>1.7699115044247787E-2</v>
      </c>
      <c r="M58" s="342">
        <f t="shared" si="136"/>
        <v>1.7543859649122806E-2</v>
      </c>
      <c r="N58" s="342">
        <f t="shared" si="136"/>
        <v>9.5238095238095247E-3</v>
      </c>
      <c r="O58" s="342">
        <f t="shared" si="136"/>
        <v>9.9009900990099011E-3</v>
      </c>
      <c r="P58" s="342">
        <f t="shared" si="136"/>
        <v>1.0101010101010102E-2</v>
      </c>
      <c r="Q58" s="342">
        <f t="shared" si="136"/>
        <v>1.0309278350515464E-2</v>
      </c>
      <c r="R58" s="342">
        <f t="shared" si="136"/>
        <v>0.17647058823529413</v>
      </c>
      <c r="S58" s="342">
        <f t="shared" si="136"/>
        <v>1.1643835616438356</v>
      </c>
      <c r="T58" s="342">
        <f t="shared" si="136"/>
        <v>1.2686567164179106</v>
      </c>
      <c r="U58" s="342">
        <f t="shared" si="136"/>
        <v>1.3492063492063493</v>
      </c>
      <c r="V58" s="342">
        <f t="shared" si="136"/>
        <v>1.1940298507462686</v>
      </c>
      <c r="W58" s="342">
        <f t="shared" si="136"/>
        <v>1.1940298507462686</v>
      </c>
      <c r="X58" s="342">
        <f t="shared" si="136"/>
        <v>1.25</v>
      </c>
      <c r="Y58" s="342">
        <f t="shared" si="136"/>
        <v>1.3888888888888888</v>
      </c>
      <c r="Z58" s="342">
        <f t="shared" si="136"/>
        <v>5.1679586563307496E-3</v>
      </c>
      <c r="AA58" s="342">
        <f t="shared" si="136"/>
        <v>5.8309037900874635E-3</v>
      </c>
      <c r="AB58" s="342">
        <f t="shared" si="136"/>
        <v>5.4644808743169399E-3</v>
      </c>
      <c r="AC58" s="342">
        <f t="shared" si="136"/>
        <v>5.1813471502590676E-3</v>
      </c>
      <c r="AD58" s="342">
        <f t="shared" si="136"/>
        <v>3.4965034965034965E-3</v>
      </c>
      <c r="AE58" s="342">
        <f t="shared" si="136"/>
        <v>4.3103448275862068E-3</v>
      </c>
      <c r="AF58" s="342">
        <f t="shared" si="136"/>
        <v>4.0322580645161289E-3</v>
      </c>
      <c r="AG58" s="342">
        <f t="shared" si="136"/>
        <v>1.2578616352201259E-2</v>
      </c>
      <c r="AH58" s="342">
        <f t="shared" si="136"/>
        <v>1.1904761904761904E-2</v>
      </c>
      <c r="AI58" s="342">
        <f t="shared" si="136"/>
        <v>1.0869565217391304E-2</v>
      </c>
      <c r="AJ58" s="342">
        <f t="shared" si="136"/>
        <v>8.9285714285714281E-3</v>
      </c>
      <c r="AK58" s="342">
        <f t="shared" si="136"/>
        <v>9.4339622641509413E-3</v>
      </c>
      <c r="AL58" s="342">
        <f t="shared" si="136"/>
        <v>5.7142857142857141E-2</v>
      </c>
      <c r="AM58" s="342">
        <f t="shared" si="136"/>
        <v>1.6556291390728477E-3</v>
      </c>
      <c r="AN58" s="342">
        <f t="shared" si="136"/>
        <v>1.0899182561307902E-3</v>
      </c>
      <c r="AO58" s="342">
        <f t="shared" si="136"/>
        <v>1.0940919037199124E-3</v>
      </c>
      <c r="AP58" s="342">
        <f t="shared" si="136"/>
        <v>5.2548607461902258E-4</v>
      </c>
      <c r="AQ58" s="342">
        <f t="shared" si="136"/>
        <v>5.2798310454065466E-4</v>
      </c>
      <c r="AR58" s="342">
        <f t="shared" si="136"/>
        <v>5.1626226122870422E-4</v>
      </c>
      <c r="AS58" s="342">
        <f t="shared" si="136"/>
        <v>5.1975051975051978E-4</v>
      </c>
      <c r="AT58" s="342">
        <f t="shared" si="136"/>
        <v>2.1026894865525673E-2</v>
      </c>
      <c r="AU58" s="342">
        <f t="shared" si="136"/>
        <v>1.2244897959183673E-2</v>
      </c>
      <c r="AV58" s="342">
        <f t="shared" ref="AV58" si="137">AV32/(AV12+AV19)</f>
        <v>3.1790556334735855E-2</v>
      </c>
      <c r="AW58" s="343">
        <f t="shared" si="129"/>
        <v>3.1790556334735855E-2</v>
      </c>
      <c r="AX58" s="343">
        <f t="shared" si="129"/>
        <v>3.1790556334735855E-2</v>
      </c>
      <c r="AY58" s="343">
        <f t="shared" si="130"/>
        <v>3.1790556334735855E-2</v>
      </c>
      <c r="AZ58" s="343">
        <f t="shared" si="130"/>
        <v>3.1790556334735855E-2</v>
      </c>
      <c r="BA58" s="343">
        <f t="shared" si="130"/>
        <v>3.1790556334735855E-2</v>
      </c>
      <c r="BB58" s="343">
        <f t="shared" si="130"/>
        <v>3.1790556334735855E-2</v>
      </c>
      <c r="BC58" s="343">
        <f t="shared" si="131"/>
        <v>3.1790556334735855E-2</v>
      </c>
      <c r="BD58" s="343">
        <f t="shared" si="131"/>
        <v>3.1790556334735855E-2</v>
      </c>
      <c r="BE58" s="343">
        <f t="shared" si="131"/>
        <v>3.1790556334735855E-2</v>
      </c>
      <c r="BF58" s="343">
        <f t="shared" si="131"/>
        <v>3.1790556334735855E-2</v>
      </c>
      <c r="BG58" s="343">
        <f t="shared" ref="BG58:BN58" si="138">BF58</f>
        <v>3.1790556334735855E-2</v>
      </c>
      <c r="BH58" s="343">
        <f t="shared" si="138"/>
        <v>3.1790556334735855E-2</v>
      </c>
      <c r="BI58" s="343">
        <f t="shared" si="138"/>
        <v>3.1790556334735855E-2</v>
      </c>
      <c r="BJ58" s="343">
        <f t="shared" si="138"/>
        <v>3.1790556334735855E-2</v>
      </c>
      <c r="BK58" s="343">
        <f t="shared" si="138"/>
        <v>3.1790556334735855E-2</v>
      </c>
      <c r="BL58" s="343">
        <f t="shared" si="138"/>
        <v>3.1790556334735855E-2</v>
      </c>
      <c r="BM58" s="343">
        <f t="shared" si="138"/>
        <v>3.1790556334735855E-2</v>
      </c>
      <c r="BN58" s="343">
        <f t="shared" si="138"/>
        <v>3.1790556334735855E-2</v>
      </c>
      <c r="BO58" s="343"/>
      <c r="BP58" s="341"/>
      <c r="BQ58" s="341"/>
      <c r="BR58" s="341"/>
      <c r="BS58" s="341"/>
      <c r="BT58" s="341"/>
      <c r="BU58" s="341"/>
      <c r="BV58" s="341"/>
      <c r="BW58" s="341"/>
      <c r="BX58" s="341"/>
      <c r="BY58" s="341"/>
      <c r="BZ58" s="341"/>
      <c r="CA58" s="341"/>
      <c r="CB58" s="341"/>
      <c r="CC58" s="341"/>
      <c r="CD58" s="341"/>
      <c r="CE58" s="341"/>
      <c r="CF58" s="341"/>
    </row>
    <row r="59" spans="1:84" ht="12.75" customHeight="1">
      <c r="A59" s="326"/>
      <c r="B59" s="342"/>
      <c r="C59" s="342"/>
      <c r="D59" s="342"/>
      <c r="E59" s="342"/>
      <c r="F59" s="342"/>
      <c r="G59" s="342"/>
      <c r="H59" s="342"/>
      <c r="I59" s="342"/>
      <c r="J59" s="342"/>
      <c r="K59" s="342"/>
      <c r="L59" s="342"/>
      <c r="M59" s="342"/>
      <c r="N59" s="342"/>
      <c r="O59" s="342"/>
      <c r="P59" s="342"/>
      <c r="Q59" s="342"/>
      <c r="R59" s="342"/>
      <c r="S59" s="342"/>
      <c r="T59" s="342"/>
      <c r="U59" s="342"/>
      <c r="V59" s="342"/>
      <c r="W59" s="342"/>
      <c r="X59" s="342"/>
      <c r="Y59" s="342"/>
      <c r="Z59" s="342"/>
      <c r="AA59" s="342"/>
      <c r="AB59" s="342"/>
      <c r="AC59" s="342"/>
      <c r="AD59" s="342"/>
      <c r="AE59" s="342"/>
      <c r="AF59" s="342"/>
      <c r="AG59" s="342"/>
      <c r="AH59" s="342"/>
      <c r="AI59" s="342"/>
      <c r="AJ59" s="342"/>
      <c r="AK59" s="342"/>
      <c r="AL59" s="342"/>
      <c r="AM59" s="342"/>
      <c r="AN59" s="342"/>
      <c r="AO59" s="342"/>
      <c r="AP59" s="342"/>
      <c r="AQ59" s="342"/>
      <c r="AR59" s="342"/>
      <c r="AS59" s="342"/>
      <c r="AT59" s="342"/>
      <c r="AU59" s="342"/>
      <c r="AV59" s="342"/>
      <c r="AW59" s="343"/>
      <c r="AX59" s="343"/>
      <c r="AY59" s="343"/>
      <c r="AZ59" s="343"/>
      <c r="BA59" s="343"/>
      <c r="BB59" s="343"/>
      <c r="BC59" s="343"/>
      <c r="BD59" s="343"/>
      <c r="BE59" s="343"/>
      <c r="BF59" s="343"/>
      <c r="BG59" s="343"/>
      <c r="BH59" s="343"/>
      <c r="BI59" s="343"/>
      <c r="BJ59" s="343"/>
      <c r="BK59" s="343"/>
      <c r="BL59" s="343"/>
      <c r="BM59" s="343"/>
      <c r="BN59" s="343"/>
      <c r="BO59" s="343"/>
      <c r="BP59" s="341"/>
      <c r="BQ59" s="341"/>
      <c r="BR59" s="341"/>
      <c r="BS59" s="341"/>
      <c r="BT59" s="341"/>
      <c r="BU59" s="341"/>
      <c r="BV59" s="341"/>
      <c r="BW59" s="341"/>
      <c r="BX59" s="341"/>
      <c r="BY59" s="341"/>
      <c r="BZ59" s="341"/>
      <c r="CA59" s="341"/>
      <c r="CB59" s="341"/>
      <c r="CC59" s="341"/>
      <c r="CD59" s="341"/>
      <c r="CE59" s="341"/>
      <c r="CF59" s="341"/>
    </row>
    <row r="60" spans="1:84" ht="12.75" customHeight="1">
      <c r="A60" s="338" t="s">
        <v>74</v>
      </c>
      <c r="B60" s="342"/>
      <c r="C60" s="342"/>
      <c r="D60" s="342"/>
      <c r="E60" s="342"/>
      <c r="F60" s="342"/>
      <c r="G60" s="342"/>
      <c r="H60" s="342"/>
      <c r="I60" s="342"/>
      <c r="J60" s="342"/>
      <c r="K60" s="342"/>
      <c r="L60" s="342"/>
      <c r="M60" s="342"/>
      <c r="N60" s="342"/>
      <c r="O60" s="342"/>
      <c r="P60" s="342"/>
      <c r="Q60" s="342"/>
      <c r="R60" s="342"/>
      <c r="S60" s="342"/>
      <c r="T60" s="342"/>
      <c r="U60" s="342"/>
      <c r="V60" s="342"/>
      <c r="W60" s="342"/>
      <c r="X60" s="342"/>
      <c r="Y60" s="342"/>
      <c r="Z60" s="342"/>
      <c r="AA60" s="342"/>
      <c r="AB60" s="342"/>
      <c r="AC60" s="342"/>
      <c r="AD60" s="342"/>
      <c r="AE60" s="342"/>
      <c r="AF60" s="342"/>
      <c r="AG60" s="342"/>
      <c r="AH60" s="342"/>
      <c r="AI60" s="340">
        <f t="shared" ref="AI60:AU60" si="139">AI33</f>
        <v>253</v>
      </c>
      <c r="AJ60" s="340">
        <f t="shared" si="139"/>
        <v>217</v>
      </c>
      <c r="AK60" s="340">
        <f t="shared" si="139"/>
        <v>164</v>
      </c>
      <c r="AL60" s="340">
        <f t="shared" si="139"/>
        <v>132</v>
      </c>
      <c r="AM60" s="340">
        <f t="shared" si="139"/>
        <v>272</v>
      </c>
      <c r="AN60" s="340">
        <f t="shared" si="139"/>
        <v>259</v>
      </c>
      <c r="AO60" s="340">
        <f t="shared" si="139"/>
        <v>237</v>
      </c>
      <c r="AP60" s="340">
        <f t="shared" si="139"/>
        <v>216</v>
      </c>
      <c r="AQ60" s="340">
        <f t="shared" si="139"/>
        <v>224</v>
      </c>
      <c r="AR60" s="340">
        <f t="shared" si="139"/>
        <v>211</v>
      </c>
      <c r="AS60" s="340">
        <f t="shared" si="139"/>
        <v>271</v>
      </c>
      <c r="AT60" s="340">
        <f t="shared" si="139"/>
        <v>250</v>
      </c>
      <c r="AU60" s="340">
        <f t="shared" si="139"/>
        <v>313</v>
      </c>
      <c r="AV60" s="340">
        <f t="shared" ref="AV60" si="140">AV33</f>
        <v>323</v>
      </c>
      <c r="AW60" s="318">
        <f>AW61*Drivers!AW128</f>
        <v>308.22202033132527</v>
      </c>
      <c r="AX60" s="318">
        <f>AX61*Drivers!AX128</f>
        <v>319.40576929764512</v>
      </c>
      <c r="AY60" s="318">
        <f>AY61*Drivers!AY128</f>
        <v>366.65298852674727</v>
      </c>
      <c r="AZ60" s="318">
        <f>AZ61*Drivers!AZ128</f>
        <v>377.71627317408502</v>
      </c>
      <c r="BA60" s="318">
        <f>BA61*Drivers!BA128</f>
        <v>348.90098872651919</v>
      </c>
      <c r="BB60" s="318">
        <f>BB61*Drivers!BB128</f>
        <v>335.32721362339811</v>
      </c>
      <c r="BC60" s="318">
        <f>BC61*Drivers!BC128</f>
        <v>374.98298878258606</v>
      </c>
      <c r="BD60" s="318">
        <f>BD61*Drivers!BD128</f>
        <v>389.52536453752037</v>
      </c>
      <c r="BE60" s="318">
        <f>BE61*Drivers!BE128</f>
        <v>364.74308608824737</v>
      </c>
      <c r="BF60" s="318">
        <f>BF61*Drivers!BF128</f>
        <v>350.84536665599899</v>
      </c>
      <c r="BG60" s="318">
        <f>BG61*Drivers!BG128</f>
        <v>389.99644125721557</v>
      </c>
      <c r="BH60" s="318">
        <f>BH61*Drivers!BH128</f>
        <v>445.38674632093904</v>
      </c>
      <c r="BI60" s="318">
        <f>BI61*Drivers!BI128</f>
        <v>405.8341175119271</v>
      </c>
      <c r="BJ60" s="318">
        <f>BJ61*Drivers!BJ128</f>
        <v>383.15963122502347</v>
      </c>
      <c r="BK60" s="318">
        <f>BK61*Drivers!BK128</f>
        <v>417.99563014239664</v>
      </c>
      <c r="BL60" s="318">
        <f>BL61*Drivers!BL128</f>
        <v>432.55924833630843</v>
      </c>
      <c r="BM60" s="318">
        <f>BM61*Drivers!BM128</f>
        <v>415.12354421969746</v>
      </c>
      <c r="BN60" s="318">
        <f>BN61*Drivers!BN128</f>
        <v>395.99753848414917</v>
      </c>
      <c r="BO60" s="343"/>
      <c r="BP60" s="341"/>
      <c r="BQ60" s="341"/>
      <c r="BR60" s="341"/>
      <c r="BS60" s="341"/>
      <c r="BT60" s="341"/>
      <c r="BU60" s="341"/>
      <c r="BV60" s="341"/>
      <c r="BW60" s="341"/>
      <c r="BX60" s="341"/>
      <c r="BY60" s="341"/>
      <c r="BZ60" s="341"/>
      <c r="CA60" s="341"/>
      <c r="CB60" s="341"/>
      <c r="CC60" s="341"/>
      <c r="CD60" s="341"/>
      <c r="CE60" s="341"/>
      <c r="CF60" s="341"/>
    </row>
    <row r="61" spans="1:84" ht="12.75" customHeight="1">
      <c r="A61" s="326" t="s">
        <v>165</v>
      </c>
      <c r="B61" s="342">
        <f>B33/Drivers!B128</f>
        <v>0.10112359550561797</v>
      </c>
      <c r="C61" s="342">
        <f>C33/Drivers!C128</f>
        <v>0.11901840490797547</v>
      </c>
      <c r="D61" s="342">
        <f>D33/Drivers!D128</f>
        <v>0.16957210776545167</v>
      </c>
      <c r="E61" s="342">
        <f>E33/Drivers!E128</f>
        <v>0.16429249762583095</v>
      </c>
      <c r="F61" s="342">
        <f>F33/Drivers!F128</f>
        <v>0.12293577981651377</v>
      </c>
      <c r="G61" s="342">
        <f>G33/Drivers!G128</f>
        <v>0.14614614614614616</v>
      </c>
      <c r="H61" s="342">
        <f>H33/Drivers!H128</f>
        <v>0.33706293706293705</v>
      </c>
      <c r="I61" s="342">
        <f>I33/Drivers!I128</f>
        <v>0.22148916116870876</v>
      </c>
      <c r="J61" s="342">
        <f>J33/Drivers!J128</f>
        <v>0.12938596491228072</v>
      </c>
      <c r="K61" s="342">
        <f>K33/Drivers!K128</f>
        <v>0.20209424083769634</v>
      </c>
      <c r="L61" s="342">
        <f>L33/Drivers!L128</f>
        <v>0.32489451476793246</v>
      </c>
      <c r="M61" s="342">
        <f>M33/Drivers!M128</f>
        <v>0.1822125813449024</v>
      </c>
      <c r="N61" s="342">
        <f>N33/Drivers!N128</f>
        <v>0.10008271298593879</v>
      </c>
      <c r="O61" s="342">
        <f>O33/Drivers!O128</f>
        <v>0.12750263435194942</v>
      </c>
      <c r="P61" s="342">
        <f>P33/Drivers!P128</f>
        <v>0.17410071942446043</v>
      </c>
      <c r="Q61" s="342">
        <f>Q33/Drivers!Q128</f>
        <v>0.15346534653465346</v>
      </c>
      <c r="R61" s="342">
        <f>R33/Drivers!R128</f>
        <v>0.10418521816562779</v>
      </c>
      <c r="S61" s="342">
        <f>S33/Drivers!S128</f>
        <v>0.17792421746293247</v>
      </c>
      <c r="T61" s="342">
        <f>T33/Drivers!T128</f>
        <v>0.21111111111111111</v>
      </c>
      <c r="U61" s="342">
        <f>U33/Drivers!U128</f>
        <v>0.17850799289520428</v>
      </c>
      <c r="V61" s="342">
        <f>V33/Drivers!V128</f>
        <v>0.15443037974683543</v>
      </c>
      <c r="W61" s="342">
        <f>W33/Drivers!W128</f>
        <v>0.14962593516209477</v>
      </c>
      <c r="X61" s="342">
        <f>X33/Drivers!X128</f>
        <v>0.21472392638036811</v>
      </c>
      <c r="Y61" s="342">
        <f>Y33/Drivers!Y128</f>
        <v>0.15700934579439252</v>
      </c>
      <c r="Z61" s="342">
        <f>Z33/Drivers!Z128</f>
        <v>0.1246177370030581</v>
      </c>
      <c r="AA61" s="342">
        <f>AA33/Drivers!AA128</f>
        <v>0.12588512981904013</v>
      </c>
      <c r="AB61" s="342">
        <f>AB33/Drivers!AB128</f>
        <v>0.17371937639198218</v>
      </c>
      <c r="AC61" s="342">
        <f>AC33/Drivers!AC128</f>
        <v>0.134029590948651</v>
      </c>
      <c r="AD61" s="342">
        <f>AD33/Drivers!AD128</f>
        <v>9.6922069417157822E-2</v>
      </c>
      <c r="AE61" s="342">
        <f>AE33/Drivers!AE128</f>
        <v>0.10628019323671498</v>
      </c>
      <c r="AF61" s="342">
        <f>AF33/Drivers!AF128</f>
        <v>0.15432742440041711</v>
      </c>
      <c r="AG61" s="342">
        <f>AG33/Drivers!AG128</f>
        <v>0.22500000000000001</v>
      </c>
      <c r="AH61" s="342">
        <f>AH33/Drivers!AH128</f>
        <v>0.16118836915297091</v>
      </c>
      <c r="AI61" s="342">
        <f>AI60/Drivers!AI128</f>
        <v>0.22251539138082674</v>
      </c>
      <c r="AJ61" s="342">
        <f>AJ60/Drivers!AJ128</f>
        <v>0.16874027993779162</v>
      </c>
      <c r="AK61" s="342">
        <f>AK60/Drivers!AK128</f>
        <v>0.12723041117145073</v>
      </c>
      <c r="AL61" s="342">
        <f>AL60/Drivers!AL128</f>
        <v>0.10662358642972536</v>
      </c>
      <c r="AM61" s="342">
        <f>AM60/Drivers!AM128</f>
        <v>0.22497932175351532</v>
      </c>
      <c r="AN61" s="342">
        <f>AN60/Drivers!AN128</f>
        <v>0.19213649851632048</v>
      </c>
      <c r="AO61" s="342">
        <f>AO60/Drivers!AO128</f>
        <v>0.1487758945386064</v>
      </c>
      <c r="AP61" s="342">
        <f>AP60/Drivers!AP128</f>
        <v>0.15573179524152847</v>
      </c>
      <c r="AQ61" s="342">
        <f>AQ60/Drivers!AQ128</f>
        <v>0.15352981494174092</v>
      </c>
      <c r="AR61" s="342">
        <f>AR60/Drivers!AR128</f>
        <v>0.18331885317115551</v>
      </c>
      <c r="AS61" s="342">
        <f>AS60/Drivers!AS128</f>
        <v>0.16198445905558875</v>
      </c>
      <c r="AT61" s="342">
        <f>AT60/Drivers!AT128</f>
        <v>0.18573551263001487</v>
      </c>
      <c r="AU61" s="342">
        <f>AU60/Drivers!AU128</f>
        <v>0.20180528691166988</v>
      </c>
      <c r="AV61" s="342">
        <f>AV60/Drivers!AV128</f>
        <v>0.1768893756845564</v>
      </c>
      <c r="AW61" s="343">
        <f t="shared" ref="AW61:BN61" si="141">AV61</f>
        <v>0.1768893756845564</v>
      </c>
      <c r="AX61" s="343">
        <f t="shared" si="141"/>
        <v>0.1768893756845564</v>
      </c>
      <c r="AY61" s="343">
        <f t="shared" si="141"/>
        <v>0.1768893756845564</v>
      </c>
      <c r="AZ61" s="343">
        <f t="shared" si="141"/>
        <v>0.1768893756845564</v>
      </c>
      <c r="BA61" s="343">
        <f t="shared" si="141"/>
        <v>0.1768893756845564</v>
      </c>
      <c r="BB61" s="343">
        <f t="shared" si="141"/>
        <v>0.1768893756845564</v>
      </c>
      <c r="BC61" s="343">
        <f t="shared" si="141"/>
        <v>0.1768893756845564</v>
      </c>
      <c r="BD61" s="343">
        <f t="shared" si="141"/>
        <v>0.1768893756845564</v>
      </c>
      <c r="BE61" s="343">
        <f t="shared" si="141"/>
        <v>0.1768893756845564</v>
      </c>
      <c r="BF61" s="343">
        <f t="shared" si="141"/>
        <v>0.1768893756845564</v>
      </c>
      <c r="BG61" s="343">
        <f t="shared" si="141"/>
        <v>0.1768893756845564</v>
      </c>
      <c r="BH61" s="343">
        <f t="shared" si="141"/>
        <v>0.1768893756845564</v>
      </c>
      <c r="BI61" s="343">
        <f t="shared" si="141"/>
        <v>0.1768893756845564</v>
      </c>
      <c r="BJ61" s="343">
        <f t="shared" si="141"/>
        <v>0.1768893756845564</v>
      </c>
      <c r="BK61" s="343">
        <f t="shared" si="141"/>
        <v>0.1768893756845564</v>
      </c>
      <c r="BL61" s="343">
        <f t="shared" si="141"/>
        <v>0.1768893756845564</v>
      </c>
      <c r="BM61" s="343">
        <f t="shared" si="141"/>
        <v>0.1768893756845564</v>
      </c>
      <c r="BN61" s="343">
        <f t="shared" si="141"/>
        <v>0.1768893756845564</v>
      </c>
      <c r="BO61" s="343"/>
      <c r="BP61" s="341"/>
      <c r="BQ61" s="341"/>
      <c r="BR61" s="341"/>
      <c r="BS61" s="341"/>
      <c r="BT61" s="341"/>
      <c r="BU61" s="341"/>
      <c r="BV61" s="341"/>
      <c r="BW61" s="341"/>
      <c r="BX61" s="341"/>
      <c r="BY61" s="341"/>
      <c r="BZ61" s="341"/>
      <c r="CA61" s="341"/>
      <c r="CB61" s="341"/>
      <c r="CC61" s="341"/>
      <c r="CD61" s="341"/>
      <c r="CE61" s="341"/>
      <c r="CF61" s="341"/>
    </row>
    <row r="62" spans="1:84" ht="12.75" customHeight="1">
      <c r="A62" s="326"/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42"/>
      <c r="N62" s="342"/>
      <c r="O62" s="342"/>
      <c r="P62" s="342"/>
      <c r="Q62" s="342"/>
      <c r="R62" s="342"/>
      <c r="S62" s="342"/>
      <c r="T62" s="342"/>
      <c r="U62" s="342"/>
      <c r="V62" s="342"/>
      <c r="W62" s="342"/>
      <c r="X62" s="342"/>
      <c r="Y62" s="342"/>
      <c r="Z62" s="342"/>
      <c r="AA62" s="342"/>
      <c r="AB62" s="342"/>
      <c r="AC62" s="342"/>
      <c r="AD62" s="342"/>
      <c r="AE62" s="342"/>
      <c r="AF62" s="342"/>
      <c r="AG62" s="342"/>
      <c r="AH62" s="342"/>
      <c r="AI62" s="342"/>
      <c r="AJ62" s="342"/>
      <c r="AK62" s="342"/>
      <c r="AL62" s="342"/>
      <c r="AM62" s="342"/>
      <c r="AN62" s="342"/>
      <c r="AO62" s="342"/>
      <c r="AP62" s="342"/>
      <c r="AQ62" s="342"/>
      <c r="AR62" s="342"/>
      <c r="AS62" s="342"/>
      <c r="AT62" s="342"/>
      <c r="AU62" s="342"/>
      <c r="AV62" s="342"/>
      <c r="AW62" s="343"/>
      <c r="AX62" s="343"/>
      <c r="AY62" s="343"/>
      <c r="AZ62" s="343"/>
      <c r="BA62" s="343"/>
      <c r="BB62" s="343"/>
      <c r="BC62" s="343"/>
      <c r="BD62" s="343"/>
      <c r="BE62" s="343"/>
      <c r="BF62" s="343"/>
      <c r="BG62" s="343"/>
      <c r="BH62" s="343"/>
      <c r="BI62" s="343"/>
      <c r="BJ62" s="343"/>
      <c r="BK62" s="343"/>
      <c r="BL62" s="343"/>
      <c r="BM62" s="343"/>
      <c r="BN62" s="343"/>
      <c r="BO62" s="343"/>
      <c r="BP62" s="341"/>
      <c r="BQ62" s="341"/>
      <c r="BR62" s="341"/>
      <c r="BS62" s="341"/>
      <c r="BT62" s="341"/>
      <c r="BU62" s="341"/>
      <c r="BV62" s="341"/>
      <c r="BW62" s="341"/>
      <c r="BX62" s="341"/>
      <c r="BY62" s="341"/>
      <c r="BZ62" s="341"/>
      <c r="CA62" s="341"/>
      <c r="CB62" s="341"/>
      <c r="CC62" s="341"/>
      <c r="CD62" s="341"/>
      <c r="CE62" s="341"/>
      <c r="CF62" s="341"/>
    </row>
    <row r="63" spans="1:84" ht="12.75" customHeight="1">
      <c r="A63" s="338" t="s">
        <v>292</v>
      </c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2"/>
      <c r="P63" s="342"/>
      <c r="Q63" s="342"/>
      <c r="R63" s="342"/>
      <c r="S63" s="342"/>
      <c r="T63" s="342"/>
      <c r="U63" s="342"/>
      <c r="V63" s="342"/>
      <c r="W63" s="342"/>
      <c r="X63" s="342"/>
      <c r="Y63" s="342"/>
      <c r="Z63" s="342"/>
      <c r="AA63" s="342"/>
      <c r="AB63" s="342"/>
      <c r="AC63" s="342"/>
      <c r="AD63" s="342"/>
      <c r="AE63" s="342"/>
      <c r="AF63" s="342"/>
      <c r="AG63" s="342"/>
      <c r="AH63" s="342"/>
      <c r="AI63" s="340">
        <f t="shared" ref="AI63:AU63" si="142">AI19</f>
        <v>92</v>
      </c>
      <c r="AJ63" s="340">
        <f t="shared" si="142"/>
        <v>112</v>
      </c>
      <c r="AK63" s="340">
        <f t="shared" si="142"/>
        <v>106</v>
      </c>
      <c r="AL63" s="340">
        <f t="shared" si="142"/>
        <v>35</v>
      </c>
      <c r="AM63" s="340">
        <f t="shared" si="142"/>
        <v>1208</v>
      </c>
      <c r="AN63" s="340">
        <f t="shared" si="142"/>
        <v>1835</v>
      </c>
      <c r="AO63" s="340">
        <f t="shared" si="142"/>
        <v>1828</v>
      </c>
      <c r="AP63" s="340">
        <f t="shared" si="142"/>
        <v>1903</v>
      </c>
      <c r="AQ63" s="340">
        <f t="shared" si="142"/>
        <v>1894</v>
      </c>
      <c r="AR63" s="340">
        <f t="shared" si="142"/>
        <v>1937</v>
      </c>
      <c r="AS63" s="340">
        <f t="shared" si="142"/>
        <v>1924</v>
      </c>
      <c r="AT63" s="340">
        <f t="shared" si="142"/>
        <v>2045</v>
      </c>
      <c r="AU63" s="340">
        <f t="shared" si="142"/>
        <v>1960</v>
      </c>
      <c r="AV63" s="340">
        <f t="shared" ref="AV63" si="143">AV19</f>
        <v>2139</v>
      </c>
      <c r="AW63" s="318">
        <f t="shared" ref="AW63:BN63" si="144">AV63*0.99</f>
        <v>2117.61</v>
      </c>
      <c r="AX63" s="318">
        <f t="shared" si="144"/>
        <v>2096.4339</v>
      </c>
      <c r="AY63" s="318">
        <f t="shared" si="144"/>
        <v>2075.4695609999999</v>
      </c>
      <c r="AZ63" s="318">
        <f t="shared" si="144"/>
        <v>2054.7148653899999</v>
      </c>
      <c r="BA63" s="318">
        <f t="shared" si="144"/>
        <v>2034.1677167360999</v>
      </c>
      <c r="BB63" s="318">
        <f t="shared" si="144"/>
        <v>2013.8260395687389</v>
      </c>
      <c r="BC63" s="318">
        <f t="shared" si="144"/>
        <v>1993.6877791730515</v>
      </c>
      <c r="BD63" s="318">
        <f t="shared" si="144"/>
        <v>1973.750901381321</v>
      </c>
      <c r="BE63" s="318">
        <f t="shared" si="144"/>
        <v>1954.0133923675078</v>
      </c>
      <c r="BF63" s="318">
        <f t="shared" si="144"/>
        <v>1934.4732584438327</v>
      </c>
      <c r="BG63" s="318">
        <f t="shared" si="144"/>
        <v>1915.1285258593944</v>
      </c>
      <c r="BH63" s="318">
        <f t="shared" si="144"/>
        <v>1895.9772406008003</v>
      </c>
      <c r="BI63" s="318">
        <f t="shared" si="144"/>
        <v>1877.0174681947924</v>
      </c>
      <c r="BJ63" s="318">
        <f t="shared" si="144"/>
        <v>1858.2472935128444</v>
      </c>
      <c r="BK63" s="318">
        <f t="shared" si="144"/>
        <v>1839.664820577716</v>
      </c>
      <c r="BL63" s="318">
        <f t="shared" si="144"/>
        <v>1821.2681723719388</v>
      </c>
      <c r="BM63" s="318">
        <f t="shared" si="144"/>
        <v>1803.0554906482193</v>
      </c>
      <c r="BN63" s="318">
        <f t="shared" si="144"/>
        <v>1785.0249357417372</v>
      </c>
      <c r="BO63" s="318"/>
      <c r="BP63" s="341"/>
      <c r="BQ63" s="341"/>
      <c r="BR63" s="341"/>
      <c r="BS63" s="341"/>
      <c r="BT63" s="341"/>
      <c r="BU63" s="341"/>
      <c r="BV63" s="341"/>
      <c r="BW63" s="341"/>
      <c r="BX63" s="341"/>
      <c r="BY63" s="341"/>
      <c r="BZ63" s="341"/>
      <c r="CA63" s="341"/>
      <c r="CB63" s="341"/>
      <c r="CC63" s="341"/>
      <c r="CD63" s="341"/>
      <c r="CE63" s="341"/>
      <c r="CF63" s="341"/>
    </row>
    <row r="64" spans="1:84" ht="12.75" customHeight="1">
      <c r="A64" s="326" t="s">
        <v>193</v>
      </c>
      <c r="B64" s="342">
        <f>B19/BS!B$105</f>
        <v>1.4857142857142858</v>
      </c>
      <c r="C64" s="342">
        <f>C19/BS!C$105</f>
        <v>1.4848484848484849</v>
      </c>
      <c r="D64" s="342">
        <f>D19/BS!D$105</f>
        <v>1.5483870967741935</v>
      </c>
      <c r="E64" s="342">
        <f>E19/BS!E$105</f>
        <v>1.4666666666666666</v>
      </c>
      <c r="F64" s="342">
        <f>F19/BS!F$105</f>
        <v>1.6896551724137931</v>
      </c>
      <c r="G64" s="342">
        <f>G19/BS!G$105</f>
        <v>1.6333333333333333</v>
      </c>
      <c r="H64" s="342">
        <f>H19/BS!H$105</f>
        <v>1.1842105263157894</v>
      </c>
      <c r="I64" s="342">
        <f>I19/BS!I$105</f>
        <v>1.0232558139534884</v>
      </c>
      <c r="J64" s="342">
        <f>J19/BS!J$105</f>
        <v>0.67741935483870963</v>
      </c>
      <c r="K64" s="342">
        <f>K19/BS!K$105</f>
        <v>0.89795918367346939</v>
      </c>
      <c r="L64" s="342">
        <f>L19/BS!L$105</f>
        <v>1</v>
      </c>
      <c r="M64" s="342">
        <f>M19/BS!M$105</f>
        <v>0.79661016949152541</v>
      </c>
      <c r="N64" s="342">
        <f>N19/BS!N$105</f>
        <v>0.68831168831168832</v>
      </c>
      <c r="O64" s="342">
        <f>O19/BS!O$105</f>
        <v>0.96153846153846156</v>
      </c>
      <c r="P64" s="342">
        <f>P19/BS!P$105</f>
        <v>0.92307692307692313</v>
      </c>
      <c r="Q64" s="342">
        <f>Q19/BS!Q$105</f>
        <v>0.85185185185185186</v>
      </c>
      <c r="R64" s="342">
        <f>R19/BS!R$105</f>
        <v>0.52830188679245282</v>
      </c>
      <c r="S64" s="342">
        <f>S19/BS!S$105</f>
        <v>0.28301886792452829</v>
      </c>
      <c r="T64" s="342">
        <f>T19/BS!T$105</f>
        <v>0.17307692307692307</v>
      </c>
      <c r="U64" s="342">
        <f>U19/BS!U$105</f>
        <v>0.12244897959183673</v>
      </c>
      <c r="V64" s="342">
        <f>V19/BS!V$105</f>
        <v>0.25</v>
      </c>
      <c r="W64" s="342">
        <f>W19/BS!W$105</f>
        <v>0.29166666666666669</v>
      </c>
      <c r="X64" s="342">
        <f>X19/BS!X$105</f>
        <v>0.2978723404255319</v>
      </c>
      <c r="Y64" s="342">
        <f>Y19/BS!Y$105</f>
        <v>0.16666666666666666</v>
      </c>
      <c r="Z64" s="342">
        <f>Z19/BS!Z$105</f>
        <v>8.2340425531914896</v>
      </c>
      <c r="AA64" s="342">
        <f>AA19/BS!AA$105</f>
        <v>7.7954545454545459</v>
      </c>
      <c r="AB64" s="342">
        <f>AB19/BS!AB$105</f>
        <v>8.3181818181818183</v>
      </c>
      <c r="AC64" s="342">
        <f>AC19/BS!AC$105</f>
        <v>8.212765957446809</v>
      </c>
      <c r="AD64" s="342">
        <f>AD19/BS!AD$105</f>
        <v>9.2258064516129039</v>
      </c>
      <c r="AE64" s="342">
        <f>AE19/BS!AE$105</f>
        <v>7.7333333333333334</v>
      </c>
      <c r="AF64" s="342">
        <f>AF19/BS!AF$105</f>
        <v>8.2666666666666675</v>
      </c>
      <c r="AG64" s="342">
        <f>AG19/BS!AG$105</f>
        <v>4.8181818181818183</v>
      </c>
      <c r="AH64" s="342">
        <f>AH19/BS!AH$105</f>
        <v>2.4705882352941178</v>
      </c>
      <c r="AI64" s="342">
        <f>AI19/BS!AI$105</f>
        <v>2.875</v>
      </c>
      <c r="AJ64" s="342">
        <f>AJ19/BS!AJ$105</f>
        <v>3.7333333333333334</v>
      </c>
      <c r="AK64" s="342">
        <f>AK19/BS!AK$105</f>
        <v>3.7857142857142856</v>
      </c>
      <c r="AL64" s="342">
        <f>AL19/BS!AL$105</f>
        <v>1.09375</v>
      </c>
      <c r="AM64" s="342">
        <f>AM19/BS!AM$105</f>
        <v>37.75</v>
      </c>
      <c r="AN64" s="342">
        <f>AN19/BS!AN$105</f>
        <v>63.275862068965516</v>
      </c>
      <c r="AO64" s="342">
        <f>AO19/BS!AO$105</f>
        <v>53.764705882352942</v>
      </c>
      <c r="AP64" s="342">
        <f>AP19/BS!AP$105</f>
        <v>57.666666666666664</v>
      </c>
      <c r="AQ64" s="342">
        <f>AQ19/BS!AQ$105</f>
        <v>59.1875</v>
      </c>
      <c r="AR64" s="342">
        <f>AR19/BS!AR$105</f>
        <v>56.970588235294116</v>
      </c>
      <c r="AS64" s="342">
        <f>AS19/BS!AS$105</f>
        <v>46.926829268292686</v>
      </c>
      <c r="AT64" s="342">
        <f>AT19/BS!AT$105</f>
        <v>46.477272727272727</v>
      </c>
      <c r="AU64" s="342">
        <f>AU19/BS!AU$105</f>
        <v>30.153846153846153</v>
      </c>
      <c r="AV64" s="342">
        <f>AV19/BS!AV$105</f>
        <v>33.421875</v>
      </c>
      <c r="AW64" s="342">
        <f>AW19/BS!AW$105</f>
        <v>32.702916061046515</v>
      </c>
      <c r="AX64" s="342">
        <f>AX19/BS!AX$105</f>
        <v>33.128780461847214</v>
      </c>
      <c r="AY64" s="342">
        <f>AY19/BS!AY$105</f>
        <v>31.340235524885632</v>
      </c>
      <c r="AZ64" s="342">
        <f>AZ19/BS!AZ$105</f>
        <v>32.222772906187565</v>
      </c>
      <c r="BA64" s="342">
        <f>BA19/BS!BA$105</f>
        <v>32.919022637534184</v>
      </c>
      <c r="BB64" s="342">
        <f>BB19/BS!BB$105</f>
        <v>33.784576861350104</v>
      </c>
      <c r="BC64" s="342">
        <f>BC19/BS!BC$105</f>
        <v>34.684784423212506</v>
      </c>
      <c r="BD64" s="342">
        <f>BD19/BS!BD$105</f>
        <v>35.087340765322679</v>
      </c>
      <c r="BE64" s="342">
        <f>BE19/BS!BE$105</f>
        <v>35.263985323448004</v>
      </c>
      <c r="BF64" s="342">
        <f>BF19/BS!BF$105</f>
        <v>35.639078654748559</v>
      </c>
      <c r="BG64" s="342">
        <f>BG19/BS!BG$105</f>
        <v>36.088037459958535</v>
      </c>
      <c r="BH64" s="342">
        <f>BH19/BS!BH$105</f>
        <v>36.022003989946306</v>
      </c>
      <c r="BI64" s="342">
        <f>BI19/BS!BI$105</f>
        <v>35.323352439860074</v>
      </c>
      <c r="BJ64" s="342">
        <f>BJ19/BS!BJ$105</f>
        <v>35.095834000657021</v>
      </c>
      <c r="BK64" s="342">
        <f>BK19/BS!BK$105</f>
        <v>35.095105673408426</v>
      </c>
      <c r="BL64" s="342">
        <f>BL19/BS!BL$105</f>
        <v>34.681979104221604</v>
      </c>
      <c r="BM64" s="342">
        <f>BM19/BS!BM$105</f>
        <v>34.130656750508365</v>
      </c>
      <c r="BN64" s="342">
        <f>BN19/BS!BN$105</f>
        <v>33.791364160602889</v>
      </c>
      <c r="BO64" s="342"/>
      <c r="BP64" s="341"/>
      <c r="BQ64" s="341"/>
      <c r="BR64" s="341"/>
      <c r="BS64" s="341"/>
      <c r="BT64" s="341"/>
      <c r="BU64" s="341"/>
      <c r="BV64" s="341"/>
      <c r="BW64" s="341"/>
      <c r="BX64" s="341"/>
      <c r="BY64" s="341"/>
      <c r="BZ64" s="341"/>
      <c r="CA64" s="341"/>
      <c r="CB64" s="341"/>
      <c r="CC64" s="341"/>
      <c r="CD64" s="341"/>
      <c r="CE64" s="341"/>
      <c r="CF64" s="341"/>
    </row>
    <row r="65" spans="1:84" ht="12.75" customHeight="1">
      <c r="A65" s="326"/>
      <c r="B65" s="341"/>
      <c r="C65" s="345"/>
      <c r="D65" s="345"/>
      <c r="E65" s="345"/>
      <c r="F65" s="345"/>
      <c r="G65" s="345"/>
      <c r="H65" s="345"/>
      <c r="I65" s="345"/>
      <c r="J65" s="345"/>
      <c r="K65" s="345"/>
      <c r="L65" s="345"/>
      <c r="M65" s="345"/>
      <c r="N65" s="345"/>
      <c r="O65" s="345"/>
      <c r="P65" s="345"/>
      <c r="Q65" s="345"/>
      <c r="R65" s="345"/>
      <c r="S65" s="345"/>
      <c r="T65" s="345"/>
      <c r="U65" s="345"/>
      <c r="V65" s="341"/>
      <c r="W65" s="341"/>
      <c r="X65" s="341"/>
      <c r="Y65" s="341"/>
      <c r="Z65" s="341"/>
      <c r="AA65" s="341"/>
      <c r="AB65" s="341"/>
      <c r="AC65" s="341"/>
      <c r="AD65" s="341"/>
      <c r="AE65" s="341"/>
      <c r="AF65" s="341"/>
      <c r="AG65" s="341"/>
      <c r="AH65" s="341"/>
      <c r="AI65" s="341"/>
      <c r="AJ65" s="341"/>
      <c r="AK65" s="341"/>
      <c r="AL65" s="341"/>
      <c r="AM65" s="341"/>
      <c r="AN65" s="341"/>
      <c r="AO65" s="341"/>
      <c r="AP65" s="341"/>
      <c r="AQ65" s="341"/>
      <c r="AR65" s="341"/>
      <c r="AS65" s="341"/>
      <c r="AT65" s="341"/>
      <c r="AU65" s="341"/>
      <c r="AV65" s="341"/>
      <c r="AW65" s="341"/>
      <c r="AX65" s="341"/>
      <c r="AY65" s="341"/>
      <c r="AZ65" s="341"/>
      <c r="BA65" s="341"/>
      <c r="BB65" s="341"/>
      <c r="BC65" s="341"/>
      <c r="BD65" s="341"/>
      <c r="BE65" s="341"/>
      <c r="BF65" s="341"/>
      <c r="BG65" s="341"/>
      <c r="BH65" s="341"/>
      <c r="BI65" s="341"/>
      <c r="BJ65" s="341"/>
      <c r="BK65" s="341"/>
      <c r="BL65" s="341"/>
      <c r="BM65" s="341"/>
      <c r="BN65" s="341"/>
      <c r="BO65" s="341"/>
      <c r="BP65" s="341"/>
      <c r="BQ65" s="341"/>
      <c r="BR65" s="341"/>
      <c r="BS65" s="341"/>
      <c r="BT65" s="341"/>
      <c r="BU65" s="341"/>
      <c r="BV65" s="341"/>
      <c r="BW65" s="341"/>
      <c r="BX65" s="341"/>
      <c r="BY65" s="341"/>
      <c r="BZ65" s="341"/>
      <c r="CA65" s="341"/>
      <c r="CB65" s="341"/>
      <c r="CC65" s="341"/>
      <c r="CD65" s="341"/>
      <c r="CE65" s="341"/>
      <c r="CF65" s="341"/>
    </row>
    <row r="66" spans="1:84" s="351" customFormat="1" ht="16">
      <c r="A66" s="346" t="s">
        <v>69</v>
      </c>
      <c r="B66" s="347">
        <f>Drivers!B128</f>
        <v>979</v>
      </c>
      <c r="C66" s="347">
        <f>Drivers!C128</f>
        <v>815</v>
      </c>
      <c r="D66" s="347">
        <f>Drivers!D128</f>
        <v>631</v>
      </c>
      <c r="E66" s="347">
        <f>Drivers!E128</f>
        <v>1053</v>
      </c>
      <c r="F66" s="347">
        <f>Drivers!F128</f>
        <v>1090</v>
      </c>
      <c r="G66" s="347">
        <f>Drivers!G128</f>
        <v>999</v>
      </c>
      <c r="H66" s="347">
        <f>Drivers!H128</f>
        <v>715</v>
      </c>
      <c r="I66" s="347">
        <f>Drivers!I128</f>
        <v>1061</v>
      </c>
      <c r="J66" s="347">
        <f>Drivers!J128</f>
        <v>1368</v>
      </c>
      <c r="K66" s="347">
        <f>Drivers!K128</f>
        <v>955</v>
      </c>
      <c r="L66" s="347">
        <f>Drivers!L128</f>
        <v>711</v>
      </c>
      <c r="M66" s="347">
        <f>Drivers!M128</f>
        <v>922</v>
      </c>
      <c r="N66" s="347">
        <f>Drivers!N128</f>
        <v>1209</v>
      </c>
      <c r="O66" s="347">
        <f>Drivers!O128</f>
        <v>949</v>
      </c>
      <c r="P66" s="347">
        <f>Drivers!P128</f>
        <v>695</v>
      </c>
      <c r="Q66" s="347">
        <f>Drivers!Q128</f>
        <v>808</v>
      </c>
      <c r="R66" s="347">
        <f>Drivers!R128</f>
        <v>1123</v>
      </c>
      <c r="S66" s="347">
        <f>Drivers!S128</f>
        <v>1214</v>
      </c>
      <c r="T66" s="347">
        <f>Drivers!T128</f>
        <v>990</v>
      </c>
      <c r="U66" s="347">
        <f>Drivers!U128</f>
        <v>1126</v>
      </c>
      <c r="V66" s="347">
        <f>Drivers!V128</f>
        <v>1185</v>
      </c>
      <c r="W66" s="347">
        <f>Drivers!W128</f>
        <v>1203</v>
      </c>
      <c r="X66" s="347">
        <f>Drivers!X128</f>
        <v>815</v>
      </c>
      <c r="Y66" s="347">
        <f>Drivers!Y128</f>
        <v>1070</v>
      </c>
      <c r="Z66" s="347">
        <f>Drivers!Z128</f>
        <v>1308</v>
      </c>
      <c r="AA66" s="347">
        <f>Drivers!AA128</f>
        <v>1271</v>
      </c>
      <c r="AB66" s="347">
        <f>Drivers!AB128</f>
        <v>898</v>
      </c>
      <c r="AC66" s="347">
        <f>Drivers!AC128</f>
        <v>1149</v>
      </c>
      <c r="AD66" s="347">
        <f>Drivers!AD128</f>
        <v>1527</v>
      </c>
      <c r="AE66" s="347">
        <f>Drivers!AE128</f>
        <v>1449</v>
      </c>
      <c r="AF66" s="347">
        <f>Drivers!AF128</f>
        <v>959</v>
      </c>
      <c r="AG66" s="347">
        <f>Drivers!AG128</f>
        <v>1160</v>
      </c>
      <c r="AH66" s="347">
        <f>Drivers!AH128</f>
        <v>1582</v>
      </c>
      <c r="AI66" s="348">
        <f>Drivers!AI128</f>
        <v>1137</v>
      </c>
      <c r="AJ66" s="348">
        <f>Drivers!AJ128</f>
        <v>1286</v>
      </c>
      <c r="AK66" s="348">
        <f>Drivers!AK128</f>
        <v>1289</v>
      </c>
      <c r="AL66" s="348">
        <f>Drivers!AL128</f>
        <v>1238</v>
      </c>
      <c r="AM66" s="348">
        <f>Drivers!AM128</f>
        <v>1209</v>
      </c>
      <c r="AN66" s="348">
        <f>Drivers!AN128</f>
        <v>1348</v>
      </c>
      <c r="AO66" s="348">
        <f>Drivers!AO128</f>
        <v>1593</v>
      </c>
      <c r="AP66" s="348">
        <f>Drivers!AP128</f>
        <v>1387</v>
      </c>
      <c r="AQ66" s="348">
        <f>Drivers!AQ128</f>
        <v>1459</v>
      </c>
      <c r="AR66" s="348">
        <f>Drivers!AR128</f>
        <v>1151</v>
      </c>
      <c r="AS66" s="348">
        <f>Drivers!AS128</f>
        <v>1673</v>
      </c>
      <c r="AT66" s="348">
        <f>Drivers!AT128</f>
        <v>1346</v>
      </c>
      <c r="AU66" s="348">
        <f>Drivers!AU128</f>
        <v>1551</v>
      </c>
      <c r="AV66" s="348">
        <f>Drivers!AV128</f>
        <v>1826</v>
      </c>
      <c r="AW66" s="348">
        <f>Drivers!AW128</f>
        <v>1742.456375</v>
      </c>
      <c r="AX66" s="348">
        <f>Drivers!AX128</f>
        <v>1805.6809125000002</v>
      </c>
      <c r="AY66" s="348">
        <f>Drivers!AY128</f>
        <v>2072.781291175977</v>
      </c>
      <c r="AZ66" s="348">
        <f>Drivers!AZ128</f>
        <v>2135.3248136714528</v>
      </c>
      <c r="BA66" s="348">
        <f>Drivers!BA128</f>
        <v>1972.4247845653997</v>
      </c>
      <c r="BB66" s="348">
        <f>Drivers!BB128</f>
        <v>1895.6888299576624</v>
      </c>
      <c r="BC66" s="348">
        <f>Drivers!BC128</f>
        <v>2119.8728715696661</v>
      </c>
      <c r="BD66" s="348">
        <f>Drivers!BD128</f>
        <v>2202.0845685619574</v>
      </c>
      <c r="BE66" s="348">
        <f>Drivers!BE128</f>
        <v>2061.9841337372745</v>
      </c>
      <c r="BF66" s="348">
        <f>Drivers!BF128</f>
        <v>1983.4168406001677</v>
      </c>
      <c r="BG66" s="348">
        <f>Drivers!BG128</f>
        <v>2204.7476833921846</v>
      </c>
      <c r="BH66" s="348">
        <f>Drivers!BH128</f>
        <v>2517.8829683654326</v>
      </c>
      <c r="BI66" s="348">
        <f>Drivers!BI128</f>
        <v>2294.282038937396</v>
      </c>
      <c r="BJ66" s="348">
        <f>Drivers!BJ128</f>
        <v>2166.097481786046</v>
      </c>
      <c r="BK66" s="348">
        <f>Drivers!BK128</f>
        <v>2363.0341196285335</v>
      </c>
      <c r="BL66" s="348">
        <f>Drivers!BL128</f>
        <v>2445.3659054554155</v>
      </c>
      <c r="BM66" s="348">
        <f>Drivers!BM128</f>
        <v>2346.7974976630576</v>
      </c>
      <c r="BN66" s="348">
        <f>Drivers!BN128</f>
        <v>2238.6733909351592</v>
      </c>
      <c r="BO66" s="349"/>
      <c r="BP66" s="350">
        <v>3654</v>
      </c>
      <c r="BQ66" s="349">
        <f>SUM(C66:F66)</f>
        <v>3589</v>
      </c>
      <c r="BR66" s="349">
        <f>SUM(G66:J66)</f>
        <v>4143</v>
      </c>
      <c r="BS66" s="349">
        <f>SUM(K66:N66)</f>
        <v>3797</v>
      </c>
      <c r="BT66" s="349">
        <f>SUM(O66:R66)</f>
        <v>3575</v>
      </c>
      <c r="BU66" s="349">
        <f>SUM(S66:V66)</f>
        <v>4515</v>
      </c>
      <c r="BV66" s="349">
        <f>SUM(W66:Z66)</f>
        <v>4396</v>
      </c>
      <c r="BW66" s="349">
        <f>SUM(AA66:AD66)</f>
        <v>4845</v>
      </c>
      <c r="BX66" s="349">
        <f>SUM(AE66:AH66)</f>
        <v>5150</v>
      </c>
      <c r="BY66" s="349">
        <f>SUM(AI66:AL66)</f>
        <v>4950</v>
      </c>
      <c r="BZ66" s="349">
        <f>SUM(AM66:AP66)</f>
        <v>5537</v>
      </c>
      <c r="CA66" s="349">
        <f>SUM(AQ66:AT66)</f>
        <v>5629</v>
      </c>
      <c r="CB66" s="349">
        <f>SUM(AU66:AX66)</f>
        <v>6925.1372874999997</v>
      </c>
      <c r="CC66" s="349">
        <f>SUM(AY66:BB66)</f>
        <v>8076.2197193704915</v>
      </c>
      <c r="CD66" s="349">
        <f>SUM(BC66:BF66)</f>
        <v>8367.3584144690667</v>
      </c>
      <c r="CE66" s="349">
        <f>SUM(BG66:BJ66)</f>
        <v>9183.0101724810593</v>
      </c>
      <c r="CF66" s="349">
        <f>SUM(BK66:BN66)</f>
        <v>9393.8709136821653</v>
      </c>
    </row>
    <row r="67" spans="1:84" s="351" customFormat="1" ht="16">
      <c r="A67" s="346" t="s">
        <v>85</v>
      </c>
      <c r="B67" s="347">
        <f>-Drivers!B211</f>
        <v>296</v>
      </c>
      <c r="C67" s="347">
        <f>-Drivers!C211</f>
        <v>218</v>
      </c>
      <c r="D67" s="347">
        <f>-Drivers!D211</f>
        <v>361</v>
      </c>
      <c r="E67" s="347">
        <f>-Drivers!E211</f>
        <v>582</v>
      </c>
      <c r="F67" s="347">
        <f>-Drivers!F211</f>
        <v>325</v>
      </c>
      <c r="G67" s="347">
        <f>-Drivers!G211</f>
        <v>236</v>
      </c>
      <c r="H67" s="347">
        <f>-Drivers!H211</f>
        <v>424</v>
      </c>
      <c r="I67" s="347">
        <f>-Drivers!I211</f>
        <v>538</v>
      </c>
      <c r="J67" s="347">
        <f>-Drivers!J211</f>
        <v>346</v>
      </c>
      <c r="K67" s="347">
        <f>-Drivers!K211</f>
        <v>189</v>
      </c>
      <c r="L67" s="347">
        <f>-Drivers!L211</f>
        <v>431</v>
      </c>
      <c r="M67" s="347">
        <f>-Drivers!M211</f>
        <v>406</v>
      </c>
      <c r="N67" s="347">
        <f>-Drivers!N211</f>
        <v>267</v>
      </c>
      <c r="O67" s="347">
        <f>-Drivers!O211</f>
        <v>179</v>
      </c>
      <c r="P67" s="347">
        <f>-Drivers!P211</f>
        <v>398</v>
      </c>
      <c r="Q67" s="347">
        <f>-Drivers!Q211</f>
        <v>501</v>
      </c>
      <c r="R67" s="347">
        <f>-Drivers!R211</f>
        <v>207</v>
      </c>
      <c r="S67" s="347">
        <f>-Drivers!S211</f>
        <v>231</v>
      </c>
      <c r="T67" s="347">
        <f>-Drivers!T211</f>
        <v>414</v>
      </c>
      <c r="U67" s="347">
        <f>-Drivers!U211</f>
        <v>388</v>
      </c>
      <c r="V67" s="347">
        <f>-Drivers!V211</f>
        <v>220</v>
      </c>
      <c r="W67" s="347">
        <f>-Drivers!W211</f>
        <v>161</v>
      </c>
      <c r="X67" s="347">
        <f>-Drivers!X211</f>
        <v>397</v>
      </c>
      <c r="Y67" s="347">
        <f>-Drivers!Y211</f>
        <v>534</v>
      </c>
      <c r="Z67" s="347">
        <f>-Drivers!Z211</f>
        <v>213</v>
      </c>
      <c r="AA67" s="347">
        <f>-Drivers!AA211</f>
        <v>165</v>
      </c>
      <c r="AB67" s="347">
        <f>-Drivers!AB211</f>
        <v>388</v>
      </c>
      <c r="AC67" s="347">
        <f>-Drivers!AC211</f>
        <v>498</v>
      </c>
      <c r="AD67" s="347">
        <f>-Drivers!AD211</f>
        <v>201</v>
      </c>
      <c r="AE67" s="347">
        <f>-Drivers!AE211</f>
        <v>153</v>
      </c>
      <c r="AF67" s="347">
        <f>-Drivers!AF211</f>
        <v>388</v>
      </c>
      <c r="AG67" s="347">
        <f>-Drivers!AG211</f>
        <v>501</v>
      </c>
      <c r="AH67" s="347">
        <f>-Drivers!AH211</f>
        <v>230.83974773846154</v>
      </c>
      <c r="AI67" s="348">
        <f>-Drivers!AI211</f>
        <v>164</v>
      </c>
      <c r="AJ67" s="348">
        <f>-Drivers!AJ211</f>
        <v>372</v>
      </c>
      <c r="AK67" s="348">
        <f>-Drivers!AK211</f>
        <v>363</v>
      </c>
      <c r="AL67" s="348">
        <f>-Drivers!AL211</f>
        <v>227</v>
      </c>
      <c r="AM67" s="348">
        <f>-Drivers!AM211</f>
        <v>145</v>
      </c>
      <c r="AN67" s="348">
        <f>-Drivers!AN211</f>
        <v>366</v>
      </c>
      <c r="AO67" s="348">
        <f>-Drivers!AO211</f>
        <v>459</v>
      </c>
      <c r="AP67" s="348">
        <f>-Drivers!AP211</f>
        <v>222</v>
      </c>
      <c r="AQ67" s="348">
        <f>-Drivers!AQ211</f>
        <v>287</v>
      </c>
      <c r="AR67" s="348">
        <f>-Drivers!AR211</f>
        <v>284</v>
      </c>
      <c r="AS67" s="348">
        <f>-Drivers!AS211</f>
        <v>600</v>
      </c>
      <c r="AT67" s="348">
        <f>-Drivers!AT211</f>
        <v>314</v>
      </c>
      <c r="AU67" s="348">
        <f>-Drivers!AU211</f>
        <v>292</v>
      </c>
      <c r="AV67" s="348">
        <f>-Drivers!AV211</f>
        <v>470</v>
      </c>
      <c r="AW67" s="348">
        <f>-Drivers!AW211</f>
        <v>580.38818750000019</v>
      </c>
      <c r="AX67" s="348">
        <f>-Drivers!AX211</f>
        <v>378.26515771812069</v>
      </c>
      <c r="AY67" s="348">
        <f>-Drivers!AY211</f>
        <v>332.88568225093763</v>
      </c>
      <c r="AZ67" s="348">
        <f>-Drivers!AZ211</f>
        <v>496.34145822608275</v>
      </c>
      <c r="BA67" s="348">
        <f>-Drivers!BA211</f>
        <v>634.92432528958352</v>
      </c>
      <c r="BB67" s="348">
        <f>-Drivers!BB211</f>
        <v>362.95651436959724</v>
      </c>
      <c r="BC67" s="348">
        <f>-Drivers!BC211</f>
        <v>332.15304981679492</v>
      </c>
      <c r="BD67" s="348">
        <f>-Drivers!BD211</f>
        <v>513.54943723122415</v>
      </c>
      <c r="BE67" s="348">
        <f>-Drivers!BE211</f>
        <v>650.62487899607822</v>
      </c>
      <c r="BF67" s="348">
        <f>-Drivers!BF211</f>
        <v>378.97652851917906</v>
      </c>
      <c r="BG67" s="348">
        <f>-Drivers!BG211</f>
        <v>348.43341936680326</v>
      </c>
      <c r="BH67" s="348">
        <f>-Drivers!BH211</f>
        <v>625.98922001080291</v>
      </c>
      <c r="BI67" s="348">
        <f>-Drivers!BI211</f>
        <v>699.90598595113443</v>
      </c>
      <c r="BJ67" s="348">
        <f>-Drivers!BJ211</f>
        <v>404.90172448745147</v>
      </c>
      <c r="BK67" s="348">
        <f>-Drivers!BK211</f>
        <v>371.01205333323719</v>
      </c>
      <c r="BL67" s="348">
        <f>-Drivers!BL211</f>
        <v>569.56120920168087</v>
      </c>
      <c r="BM67" s="348">
        <f>-Drivers!BM211</f>
        <v>719.83432931860125</v>
      </c>
      <c r="BN67" s="348">
        <f>-Drivers!BN211</f>
        <v>425.38039695069074</v>
      </c>
      <c r="BO67" s="349"/>
      <c r="BP67" s="350">
        <v>1857</v>
      </c>
      <c r="BQ67" s="349">
        <f>SUM(C67:F67)</f>
        <v>1486</v>
      </c>
      <c r="BR67" s="349">
        <f>SUM(G67:J67)</f>
        <v>1544</v>
      </c>
      <c r="BS67" s="349">
        <f>SUM(K67:N67)</f>
        <v>1293</v>
      </c>
      <c r="BT67" s="349">
        <f>SUM(O67:R67)</f>
        <v>1285</v>
      </c>
      <c r="BU67" s="349">
        <f>SUM(S67:V67)</f>
        <v>1253</v>
      </c>
      <c r="BV67" s="349">
        <f>SUM(W67:Z67)</f>
        <v>1305</v>
      </c>
      <c r="BW67" s="349">
        <f>SUM(AA67:AD67)</f>
        <v>1252</v>
      </c>
      <c r="BX67" s="349">
        <f>SUM(AE67:AH67)</f>
        <v>1272.8397477384615</v>
      </c>
      <c r="BY67" s="349">
        <f>SUM(AI67:AL67)</f>
        <v>1126</v>
      </c>
      <c r="BZ67" s="349">
        <f>SUM(AM67:AP67)</f>
        <v>1192</v>
      </c>
      <c r="CA67" s="349">
        <f>SUM(AQ67:AT67)</f>
        <v>1485</v>
      </c>
      <c r="CB67" s="349">
        <f>SUM(AU67:AX67)</f>
        <v>1720.6533452181209</v>
      </c>
      <c r="CC67" s="349">
        <f>SUM(AY67:BB67)</f>
        <v>1827.1079801362011</v>
      </c>
      <c r="CD67" s="349">
        <f>SUM(BC67:BF67)</f>
        <v>1875.3038945632763</v>
      </c>
      <c r="CE67" s="349">
        <f>SUM(BG67:BJ67)</f>
        <v>2079.2303498161918</v>
      </c>
      <c r="CF67" s="349">
        <f>SUM(BK67:BN67)</f>
        <v>2085.7879888042098</v>
      </c>
    </row>
    <row r="68" spans="1:84" s="351" customFormat="1" ht="16">
      <c r="A68" s="346" t="s">
        <v>31</v>
      </c>
      <c r="B68" s="347">
        <f>BS!B105</f>
        <v>35</v>
      </c>
      <c r="C68" s="347">
        <f>BS!C105</f>
        <v>33</v>
      </c>
      <c r="D68" s="347">
        <f>BS!D105</f>
        <v>31</v>
      </c>
      <c r="E68" s="347">
        <f>BS!E105</f>
        <v>30</v>
      </c>
      <c r="F68" s="347">
        <f>BS!F105</f>
        <v>29</v>
      </c>
      <c r="G68" s="347">
        <f>BS!G105</f>
        <v>30</v>
      </c>
      <c r="H68" s="347">
        <f>BS!H105</f>
        <v>38</v>
      </c>
      <c r="I68" s="347">
        <f>BS!I105</f>
        <v>43</v>
      </c>
      <c r="J68" s="347">
        <f>BS!J105</f>
        <v>62</v>
      </c>
      <c r="K68" s="347">
        <f>BS!K105</f>
        <v>49</v>
      </c>
      <c r="L68" s="347">
        <f>BS!L105</f>
        <v>49</v>
      </c>
      <c r="M68" s="347">
        <f>BS!M105</f>
        <v>59</v>
      </c>
      <c r="N68" s="347">
        <f>BS!N105</f>
        <v>77</v>
      </c>
      <c r="O68" s="347">
        <f>BS!O105</f>
        <v>52</v>
      </c>
      <c r="P68" s="347">
        <f>BS!P105</f>
        <v>52</v>
      </c>
      <c r="Q68" s="347">
        <f>BS!Q105</f>
        <v>54</v>
      </c>
      <c r="R68" s="347">
        <f>BS!R105</f>
        <v>53</v>
      </c>
      <c r="S68" s="347">
        <f>BS!S105</f>
        <v>53</v>
      </c>
      <c r="T68" s="347">
        <f>BS!T105</f>
        <v>52</v>
      </c>
      <c r="U68" s="347">
        <f>BS!U105</f>
        <v>49</v>
      </c>
      <c r="V68" s="347">
        <f>BS!V105</f>
        <v>52</v>
      </c>
      <c r="W68" s="347">
        <f>BS!W105</f>
        <v>48</v>
      </c>
      <c r="X68" s="347">
        <f>BS!X105</f>
        <v>47</v>
      </c>
      <c r="Y68" s="347">
        <f>BS!Y105</f>
        <v>48</v>
      </c>
      <c r="Z68" s="347">
        <f>BS!Z105</f>
        <v>47</v>
      </c>
      <c r="AA68" s="347">
        <f>BS!AA105</f>
        <v>44</v>
      </c>
      <c r="AB68" s="347">
        <f>BS!AB105</f>
        <v>44</v>
      </c>
      <c r="AC68" s="347">
        <f>BS!AC105</f>
        <v>47</v>
      </c>
      <c r="AD68" s="347">
        <f>BS!AD105</f>
        <v>31</v>
      </c>
      <c r="AE68" s="347">
        <f>BS!AE105</f>
        <v>30</v>
      </c>
      <c r="AF68" s="347">
        <f>BS!AF105</f>
        <v>30</v>
      </c>
      <c r="AG68" s="347">
        <f>BS!AG105</f>
        <v>33</v>
      </c>
      <c r="AH68" s="347">
        <f>BS!AH105</f>
        <v>34</v>
      </c>
      <c r="AI68" s="348">
        <f>BS!AI105</f>
        <v>32</v>
      </c>
      <c r="AJ68" s="348">
        <f>BS!AJ105</f>
        <v>30</v>
      </c>
      <c r="AK68" s="348">
        <f>BS!AK105</f>
        <v>28</v>
      </c>
      <c r="AL68" s="348">
        <f>BS!AL105</f>
        <v>32</v>
      </c>
      <c r="AM68" s="348">
        <f>BS!AM105</f>
        <v>32</v>
      </c>
      <c r="AN68" s="348">
        <f>BS!AN105</f>
        <v>29</v>
      </c>
      <c r="AO68" s="348">
        <f>BS!AO105</f>
        <v>34</v>
      </c>
      <c r="AP68" s="348">
        <f>BS!AP105</f>
        <v>33</v>
      </c>
      <c r="AQ68" s="348">
        <f>BS!AQ105</f>
        <v>32</v>
      </c>
      <c r="AR68" s="348">
        <f>BS!AR105</f>
        <v>34</v>
      </c>
      <c r="AS68" s="348">
        <f>BS!AS105</f>
        <v>41</v>
      </c>
      <c r="AT68" s="348">
        <f>BS!AT105</f>
        <v>44</v>
      </c>
      <c r="AU68" s="348">
        <f>BS!AU105</f>
        <v>65</v>
      </c>
      <c r="AV68" s="348">
        <f>BS!AV105</f>
        <v>64</v>
      </c>
      <c r="AW68" s="348">
        <f>BS!AW105</f>
        <v>64.752941176470586</v>
      </c>
      <c r="AX68" s="348">
        <f>BS!AX105</f>
        <v>63.281348446084813</v>
      </c>
      <c r="AY68" s="348">
        <f>BS!AY105</f>
        <v>66.223802286105311</v>
      </c>
      <c r="AZ68" s="348">
        <f>BS!AZ105</f>
        <v>63.765923291953683</v>
      </c>
      <c r="BA68" s="348">
        <f>BS!BA105</f>
        <v>61.793077489996534</v>
      </c>
      <c r="BB68" s="348">
        <f>BS!BB105</f>
        <v>59.607851471201236</v>
      </c>
      <c r="BC68" s="348">
        <f>BS!BC105</f>
        <v>57.480183669205459</v>
      </c>
      <c r="BD68" s="348">
        <f>BS!BD105</f>
        <v>56.252507552011672</v>
      </c>
      <c r="BE68" s="348">
        <f>BS!BE105</f>
        <v>55.411019895934167</v>
      </c>
      <c r="BF68" s="348">
        <f>BS!BF105</f>
        <v>54.279552992486892</v>
      </c>
      <c r="BG68" s="348">
        <f>BS!BG105</f>
        <v>53.068237029634112</v>
      </c>
      <c r="BH68" s="348">
        <f>BS!BH105</f>
        <v>52.633863488826584</v>
      </c>
      <c r="BI68" s="348">
        <f>BS!BI105</f>
        <v>53.138146255809566</v>
      </c>
      <c r="BJ68" s="348">
        <f>BS!BJ105</f>
        <v>52.947802678746903</v>
      </c>
      <c r="BK68" s="348">
        <f>BS!BK105</f>
        <v>52.419412487241225</v>
      </c>
      <c r="BL68" s="348">
        <f>BS!BL105</f>
        <v>52.513386473675837</v>
      </c>
      <c r="BM68" s="348">
        <f>BS!BM105</f>
        <v>52.828033864931804</v>
      </c>
      <c r="BN68" s="348">
        <f>BS!BN105</f>
        <v>52.824885294890962</v>
      </c>
      <c r="BO68" s="349"/>
      <c r="BP68" s="350">
        <v>139</v>
      </c>
      <c r="BQ68" s="349">
        <f>SUM(C68:F68)</f>
        <v>123</v>
      </c>
      <c r="BR68" s="349">
        <f>SUM(G68:J68)</f>
        <v>173</v>
      </c>
      <c r="BS68" s="349">
        <f>SUM(K68:N68)</f>
        <v>234</v>
      </c>
      <c r="BT68" s="349">
        <f>SUM(O68:R68)</f>
        <v>211</v>
      </c>
      <c r="BU68" s="349">
        <f>SUM(S68:V68)</f>
        <v>206</v>
      </c>
      <c r="BV68" s="349">
        <f>SUM(W68:Z68)</f>
        <v>190</v>
      </c>
      <c r="BW68" s="349">
        <f>SUM(AA68:AD68)</f>
        <v>166</v>
      </c>
      <c r="BX68" s="349">
        <f>SUM(AE68:AH68)</f>
        <v>127</v>
      </c>
      <c r="BY68" s="349">
        <f>SUM(AI68:AL68)</f>
        <v>122</v>
      </c>
      <c r="BZ68" s="349">
        <f>SUM(AM68:AP68)</f>
        <v>128</v>
      </c>
      <c r="CA68" s="349">
        <f>SUM(AQ68:AT68)</f>
        <v>151</v>
      </c>
      <c r="CB68" s="349">
        <f>SUM(AU68:AX68)</f>
        <v>257.03428962255538</v>
      </c>
      <c r="CC68" s="349">
        <f>SUM(AY68:BB68)</f>
        <v>251.39065453925676</v>
      </c>
      <c r="CD68" s="349">
        <f>SUM(BC68:BF68)</f>
        <v>223.42326410963818</v>
      </c>
      <c r="CE68" s="349">
        <f>SUM(BG68:BJ68)</f>
        <v>211.78804945301718</v>
      </c>
      <c r="CF68" s="349">
        <f>SUM(BK68:BN68)</f>
        <v>210.58571812073984</v>
      </c>
    </row>
    <row r="69" spans="1:84" s="351" customFormat="1" ht="16">
      <c r="A69" s="346"/>
      <c r="B69" s="347"/>
      <c r="C69" s="347"/>
      <c r="D69" s="347"/>
      <c r="E69" s="347"/>
      <c r="F69" s="347"/>
      <c r="G69" s="347"/>
      <c r="H69" s="347"/>
      <c r="I69" s="347"/>
      <c r="J69" s="347"/>
      <c r="K69" s="347"/>
      <c r="L69" s="347"/>
      <c r="M69" s="347"/>
      <c r="N69" s="347"/>
      <c r="O69" s="347"/>
      <c r="P69" s="347"/>
      <c r="Q69" s="347"/>
      <c r="R69" s="347"/>
      <c r="S69" s="347"/>
      <c r="T69" s="347"/>
      <c r="U69" s="347"/>
      <c r="V69" s="347"/>
      <c r="W69" s="347"/>
      <c r="X69" s="347"/>
      <c r="Y69" s="347"/>
      <c r="Z69" s="347"/>
      <c r="AA69" s="347"/>
      <c r="AB69" s="347"/>
      <c r="AC69" s="347"/>
      <c r="AD69" s="347"/>
      <c r="AE69" s="347"/>
      <c r="AF69" s="347"/>
      <c r="AG69" s="347"/>
      <c r="AH69" s="347"/>
      <c r="AI69" s="347"/>
      <c r="AJ69" s="347"/>
      <c r="AK69" s="347"/>
      <c r="AL69" s="347"/>
      <c r="AM69" s="347"/>
      <c r="AN69" s="347"/>
      <c r="AO69" s="347"/>
      <c r="AP69" s="347"/>
      <c r="AQ69" s="347"/>
      <c r="AR69" s="347"/>
      <c r="AS69" s="347"/>
      <c r="AT69" s="347"/>
      <c r="AU69" s="347"/>
      <c r="AV69" s="347"/>
      <c r="AW69" s="347"/>
      <c r="AX69" s="347"/>
      <c r="AY69" s="347"/>
      <c r="AZ69" s="347"/>
      <c r="BA69" s="347"/>
      <c r="BB69" s="347"/>
      <c r="BC69" s="347"/>
      <c r="BD69" s="347"/>
      <c r="BE69" s="347"/>
      <c r="BF69" s="347"/>
      <c r="BG69" s="347"/>
      <c r="BH69" s="347"/>
      <c r="BI69" s="347"/>
      <c r="BJ69" s="347"/>
      <c r="BK69" s="347"/>
      <c r="BL69" s="347"/>
      <c r="BM69" s="347"/>
      <c r="BN69" s="347"/>
      <c r="BO69" s="352"/>
      <c r="BP69" s="353"/>
      <c r="BQ69" s="352"/>
      <c r="BR69" s="352"/>
      <c r="BS69" s="352"/>
      <c r="BT69" s="352"/>
      <c r="BU69" s="352"/>
      <c r="BV69" s="352"/>
      <c r="BW69" s="352"/>
      <c r="BX69" s="352"/>
      <c r="BY69" s="352"/>
      <c r="BZ69" s="352"/>
      <c r="CA69" s="352"/>
      <c r="CB69" s="352"/>
      <c r="CC69" s="352"/>
      <c r="CD69" s="352"/>
      <c r="CE69" s="352"/>
      <c r="CF69" s="352"/>
    </row>
    <row r="70" spans="1:84" s="351" customFormat="1" ht="16">
      <c r="A70" s="354" t="s">
        <v>54</v>
      </c>
      <c r="B70" s="346"/>
      <c r="C70" s="346"/>
      <c r="D70" s="346"/>
      <c r="E70" s="346"/>
      <c r="F70" s="346"/>
      <c r="G70" s="346"/>
      <c r="H70" s="346"/>
      <c r="I70" s="346"/>
      <c r="J70" s="346"/>
      <c r="K70" s="346"/>
      <c r="L70" s="346"/>
      <c r="M70" s="346"/>
      <c r="N70" s="346"/>
      <c r="O70" s="346"/>
      <c r="P70" s="346"/>
      <c r="Q70" s="346"/>
      <c r="R70" s="346"/>
      <c r="S70" s="346"/>
      <c r="T70" s="346"/>
      <c r="U70" s="346"/>
      <c r="V70" s="346"/>
      <c r="W70" s="346"/>
      <c r="X70" s="346"/>
      <c r="Y70" s="346"/>
      <c r="Z70" s="346"/>
      <c r="AA70" s="346"/>
      <c r="AB70" s="346"/>
      <c r="AC70" s="346"/>
      <c r="AD70" s="346"/>
      <c r="AE70" s="346"/>
      <c r="AF70" s="346"/>
      <c r="AG70" s="346"/>
      <c r="AH70" s="346"/>
      <c r="AI70" s="346"/>
      <c r="AJ70" s="346"/>
      <c r="AK70" s="346"/>
      <c r="AL70" s="346"/>
      <c r="AM70" s="346"/>
      <c r="AN70" s="346"/>
      <c r="AO70" s="346"/>
      <c r="AP70" s="346"/>
      <c r="AQ70" s="346"/>
      <c r="AR70" s="346"/>
      <c r="AS70" s="346"/>
      <c r="AT70" s="346"/>
      <c r="AU70" s="346"/>
      <c r="AV70" s="346"/>
      <c r="AW70" s="346"/>
      <c r="AX70" s="346"/>
      <c r="AY70" s="346"/>
      <c r="AZ70" s="346"/>
      <c r="BA70" s="346"/>
      <c r="BB70" s="346"/>
      <c r="BC70" s="346"/>
      <c r="BD70" s="346"/>
      <c r="BE70" s="346"/>
      <c r="BF70" s="346"/>
      <c r="BG70" s="346"/>
      <c r="BH70" s="346"/>
      <c r="BI70" s="346"/>
      <c r="BJ70" s="346"/>
      <c r="BK70" s="346"/>
      <c r="BL70" s="346"/>
      <c r="BM70" s="346"/>
      <c r="BN70" s="346"/>
      <c r="BO70" s="346"/>
      <c r="BP70" s="353"/>
      <c r="BQ70" s="352"/>
      <c r="BR70" s="352"/>
      <c r="BS70" s="352"/>
      <c r="BT70" s="352"/>
      <c r="BU70" s="352"/>
      <c r="BV70" s="352"/>
      <c r="BW70" s="352"/>
      <c r="BX70" s="352"/>
      <c r="BY70" s="352"/>
      <c r="BZ70" s="352"/>
      <c r="CA70" s="352"/>
      <c r="CB70" s="352"/>
      <c r="CC70" s="352"/>
      <c r="CD70" s="352"/>
      <c r="CE70" s="352"/>
      <c r="CF70" s="352"/>
    </row>
    <row r="71" spans="1:84" s="351" customFormat="1" ht="16">
      <c r="A71" s="346"/>
      <c r="B71" s="346"/>
      <c r="C71" s="346"/>
      <c r="D71" s="346"/>
      <c r="E71" s="346"/>
      <c r="F71" s="346"/>
      <c r="G71" s="346"/>
      <c r="H71" s="346"/>
      <c r="I71" s="346"/>
      <c r="J71" s="346"/>
      <c r="K71" s="346"/>
      <c r="L71" s="346"/>
      <c r="M71" s="346"/>
      <c r="N71" s="346"/>
      <c r="O71" s="346"/>
      <c r="P71" s="346"/>
      <c r="Q71" s="346"/>
      <c r="R71" s="346"/>
      <c r="S71" s="346"/>
      <c r="T71" s="346"/>
      <c r="U71" s="346"/>
      <c r="V71" s="346"/>
      <c r="W71" s="346"/>
      <c r="X71" s="346"/>
      <c r="Y71" s="346"/>
      <c r="Z71" s="346"/>
      <c r="AA71" s="346"/>
      <c r="AB71" s="346"/>
      <c r="AC71" s="346"/>
      <c r="AD71" s="346"/>
      <c r="AE71" s="346"/>
      <c r="AF71" s="346"/>
      <c r="AG71" s="346"/>
      <c r="AH71" s="346"/>
      <c r="AI71" s="346"/>
      <c r="AJ71" s="346"/>
      <c r="AK71" s="346"/>
      <c r="AL71" s="346"/>
      <c r="AM71" s="346"/>
      <c r="AN71" s="346"/>
      <c r="AO71" s="346"/>
      <c r="AP71" s="346"/>
      <c r="AQ71" s="346"/>
      <c r="AR71" s="346"/>
      <c r="AS71" s="346"/>
      <c r="AT71" s="346"/>
      <c r="AU71" s="346"/>
      <c r="AV71" s="346"/>
      <c r="AW71" s="346"/>
      <c r="AX71" s="346"/>
      <c r="AY71" s="346"/>
      <c r="AZ71" s="346"/>
      <c r="BA71" s="346"/>
      <c r="BB71" s="346"/>
      <c r="BC71" s="346"/>
      <c r="BD71" s="346"/>
      <c r="BE71" s="346"/>
      <c r="BF71" s="346"/>
      <c r="BG71" s="346"/>
      <c r="BH71" s="346"/>
      <c r="BI71" s="346"/>
      <c r="BJ71" s="346"/>
      <c r="BK71" s="346"/>
      <c r="BL71" s="346"/>
      <c r="BM71" s="346"/>
      <c r="BN71" s="346"/>
      <c r="BO71" s="346"/>
      <c r="BP71" s="353"/>
      <c r="BQ71" s="352"/>
      <c r="BR71" s="352"/>
      <c r="BS71" s="352"/>
      <c r="BT71" s="352"/>
      <c r="BU71" s="352"/>
      <c r="BV71" s="352"/>
      <c r="BW71" s="352"/>
      <c r="BX71" s="352"/>
      <c r="BY71" s="352"/>
      <c r="BZ71" s="352"/>
      <c r="CA71" s="352"/>
      <c r="CB71" s="352"/>
      <c r="CC71" s="352"/>
      <c r="CD71" s="352"/>
      <c r="CE71" s="352"/>
      <c r="CF71" s="352"/>
    </row>
    <row r="72" spans="1:84" s="351" customFormat="1" ht="16">
      <c r="A72" s="318" t="s">
        <v>130</v>
      </c>
      <c r="B72" s="346">
        <f>BS!B9</f>
        <v>291</v>
      </c>
      <c r="C72" s="346">
        <f>BS!C9</f>
        <v>193</v>
      </c>
      <c r="D72" s="346">
        <f>BS!D9</f>
        <v>106</v>
      </c>
      <c r="E72" s="346">
        <f>BS!E9</f>
        <v>107</v>
      </c>
      <c r="F72" s="346">
        <f>BS!F9</f>
        <v>161</v>
      </c>
      <c r="G72" s="346">
        <f>BS!G9</f>
        <v>172</v>
      </c>
      <c r="H72" s="346">
        <f>BS!H9</f>
        <v>214</v>
      </c>
      <c r="I72" s="346">
        <f>BS!I9</f>
        <v>143</v>
      </c>
      <c r="J72" s="346">
        <f>BS!J9</f>
        <v>119</v>
      </c>
      <c r="K72" s="346">
        <f>BS!K9</f>
        <v>76</v>
      </c>
      <c r="L72" s="346">
        <f>BS!L9</f>
        <v>93</v>
      </c>
      <c r="M72" s="346">
        <f>BS!M9</f>
        <v>59</v>
      </c>
      <c r="N72" s="346">
        <f>BS!N9</f>
        <v>0</v>
      </c>
      <c r="O72" s="346">
        <f>BS!O9</f>
        <v>0</v>
      </c>
      <c r="P72" s="346">
        <f>BS!P9</f>
        <v>0</v>
      </c>
      <c r="Q72" s="346">
        <f>BS!Q9</f>
        <v>0</v>
      </c>
      <c r="R72" s="346">
        <f>BS!R9</f>
        <v>0</v>
      </c>
      <c r="S72" s="346">
        <f>BS!S9</f>
        <v>0</v>
      </c>
      <c r="T72" s="346">
        <f>BS!T9</f>
        <v>0</v>
      </c>
      <c r="U72" s="346">
        <f>BS!U9</f>
        <v>0</v>
      </c>
      <c r="V72" s="346">
        <f>BS!V9</f>
        <v>0</v>
      </c>
      <c r="W72" s="346">
        <f>BS!W9</f>
        <v>0</v>
      </c>
      <c r="X72" s="346">
        <f>BS!X9</f>
        <v>0</v>
      </c>
      <c r="Y72" s="346">
        <f>BS!Y9</f>
        <v>0</v>
      </c>
      <c r="Z72" s="346">
        <f>BS!Z9</f>
        <v>0</v>
      </c>
      <c r="AA72" s="346">
        <f>BS!AA9</f>
        <v>0</v>
      </c>
      <c r="AB72" s="346">
        <f>BS!AB9</f>
        <v>0</v>
      </c>
      <c r="AC72" s="346">
        <f>BS!AC9</f>
        <v>0</v>
      </c>
      <c r="AD72" s="346">
        <f>BS!AD9</f>
        <v>0</v>
      </c>
      <c r="AE72" s="346">
        <f>BS!AE9</f>
        <v>0</v>
      </c>
      <c r="AF72" s="346">
        <f>BS!AF9</f>
        <v>0</v>
      </c>
      <c r="AG72" s="346">
        <f>BS!AG9</f>
        <v>0</v>
      </c>
      <c r="AH72" s="346">
        <f>BS!AH9</f>
        <v>0</v>
      </c>
      <c r="AI72" s="346">
        <f>BS!AI9</f>
        <v>0</v>
      </c>
      <c r="AJ72" s="346">
        <f>BS!AJ9</f>
        <v>0</v>
      </c>
      <c r="AK72" s="346">
        <f>BS!AK9</f>
        <v>0</v>
      </c>
      <c r="AL72" s="346">
        <f>BS!AL9</f>
        <v>0</v>
      </c>
      <c r="AM72" s="346">
        <f>BS!AM9</f>
        <v>0</v>
      </c>
      <c r="AN72" s="346">
        <f>BS!AN9</f>
        <v>0</v>
      </c>
      <c r="AO72" s="346">
        <f>BS!AO9</f>
        <v>0</v>
      </c>
      <c r="AP72" s="346">
        <f>BS!AP9</f>
        <v>0</v>
      </c>
      <c r="AQ72" s="346">
        <f>BS!AQ9</f>
        <v>0</v>
      </c>
      <c r="AR72" s="346">
        <f>BS!AR9</f>
        <v>0</v>
      </c>
      <c r="AS72" s="346">
        <f>BS!AS9</f>
        <v>0</v>
      </c>
      <c r="AT72" s="346">
        <f>BS!AT9</f>
        <v>0</v>
      </c>
      <c r="AU72" s="346">
        <f>BS!AU9</f>
        <v>0</v>
      </c>
      <c r="AV72" s="346">
        <f>BS!AV9</f>
        <v>0</v>
      </c>
      <c r="AW72" s="346">
        <f>BS!AW9</f>
        <v>0</v>
      </c>
      <c r="AX72" s="346">
        <f>BS!AX9</f>
        <v>0</v>
      </c>
      <c r="AY72" s="346">
        <f>BS!AY9</f>
        <v>0</v>
      </c>
      <c r="AZ72" s="346">
        <f>BS!AZ9</f>
        <v>0</v>
      </c>
      <c r="BA72" s="346">
        <f>BS!BA9</f>
        <v>0</v>
      </c>
      <c r="BB72" s="346">
        <f>BS!BB9</f>
        <v>0</v>
      </c>
      <c r="BC72" s="346">
        <f>BS!BC9</f>
        <v>0</v>
      </c>
      <c r="BD72" s="346">
        <f>BS!BD9</f>
        <v>0</v>
      </c>
      <c r="BE72" s="346">
        <f>BS!BE9</f>
        <v>0</v>
      </c>
      <c r="BF72" s="346">
        <f>BS!BF9</f>
        <v>0</v>
      </c>
      <c r="BG72" s="346">
        <f>BS!BG9</f>
        <v>0</v>
      </c>
      <c r="BH72" s="346">
        <f>BS!BH9</f>
        <v>0</v>
      </c>
      <c r="BI72" s="346">
        <f>BS!BI9</f>
        <v>0</v>
      </c>
      <c r="BJ72" s="346">
        <f>BS!BJ9</f>
        <v>0</v>
      </c>
      <c r="BK72" s="346">
        <f>BS!BK9</f>
        <v>0</v>
      </c>
      <c r="BL72" s="346">
        <f>BS!BL9</f>
        <v>0</v>
      </c>
      <c r="BM72" s="346">
        <f>BS!BM9</f>
        <v>0</v>
      </c>
      <c r="BN72" s="346">
        <f>BS!BN9</f>
        <v>0</v>
      </c>
      <c r="BO72" s="346"/>
      <c r="BP72" s="355">
        <v>291</v>
      </c>
      <c r="BQ72" s="320">
        <f t="shared" ref="BQ72:BQ77" si="145">F72</f>
        <v>161</v>
      </c>
      <c r="BR72" s="320">
        <f t="shared" ref="BR72:BR77" si="146">J72</f>
        <v>119</v>
      </c>
      <c r="BS72" s="320">
        <f t="shared" ref="BS72:BS77" si="147">N72</f>
        <v>0</v>
      </c>
      <c r="BT72" s="320">
        <f t="shared" ref="BT72:BT77" si="148">R72</f>
        <v>0</v>
      </c>
      <c r="BU72" s="320">
        <f t="shared" ref="BU72:BU77" si="149">V72</f>
        <v>0</v>
      </c>
      <c r="BV72" s="320">
        <f t="shared" ref="BV72:BV77" si="150">Z72</f>
        <v>0</v>
      </c>
      <c r="BW72" s="320">
        <f t="shared" ref="BW72:BW77" si="151">AD72</f>
        <v>0</v>
      </c>
      <c r="BX72" s="320">
        <f t="shared" ref="BX72:BX77" si="152">AH72</f>
        <v>0</v>
      </c>
      <c r="BY72" s="320">
        <f t="shared" ref="BY72:BY77" si="153">AL72</f>
        <v>0</v>
      </c>
      <c r="BZ72" s="320">
        <f t="shared" ref="BZ72:BZ77" si="154">AP72</f>
        <v>0</v>
      </c>
      <c r="CA72" s="320">
        <f t="shared" ref="CA72:CA77" si="155">AT72</f>
        <v>0</v>
      </c>
      <c r="CB72" s="320">
        <f t="shared" ref="CB72:CB77" si="156">AX72</f>
        <v>0</v>
      </c>
      <c r="CC72" s="320">
        <f t="shared" ref="CC72:CC77" si="157">BB72</f>
        <v>0</v>
      </c>
      <c r="CD72" s="320">
        <f t="shared" ref="CD72:CD77" si="158">BF72</f>
        <v>0</v>
      </c>
      <c r="CE72" s="320">
        <f t="shared" ref="CE72:CE77" si="159">BJ72</f>
        <v>0</v>
      </c>
      <c r="CF72" s="320">
        <f t="shared" ref="CF72:CF77" si="160">BN72</f>
        <v>0</v>
      </c>
    </row>
    <row r="73" spans="1:84" s="351" customFormat="1" ht="16">
      <c r="A73" s="318" t="s">
        <v>23</v>
      </c>
      <c r="B73" s="346">
        <f>BS!B10</f>
        <v>206</v>
      </c>
      <c r="C73" s="346">
        <f>BS!C10</f>
        <v>103</v>
      </c>
      <c r="D73" s="346">
        <f>BS!D10</f>
        <v>444</v>
      </c>
      <c r="E73" s="346">
        <f>BS!E10</f>
        <v>390</v>
      </c>
      <c r="F73" s="346">
        <f>BS!F10</f>
        <v>335</v>
      </c>
      <c r="G73" s="346">
        <f>BS!G10</f>
        <v>30</v>
      </c>
      <c r="H73" s="346">
        <f>BS!H10</f>
        <v>562</v>
      </c>
      <c r="I73" s="346">
        <f>BS!I10</f>
        <v>526</v>
      </c>
      <c r="J73" s="346">
        <f>BS!J10</f>
        <v>366</v>
      </c>
      <c r="K73" s="346">
        <f>BS!K10</f>
        <v>111</v>
      </c>
      <c r="L73" s="346">
        <f>BS!L10</f>
        <v>643</v>
      </c>
      <c r="M73" s="346">
        <f>BS!M10</f>
        <v>382</v>
      </c>
      <c r="N73" s="346">
        <f>BS!N10</f>
        <v>312</v>
      </c>
      <c r="O73" s="346">
        <f>BS!O10</f>
        <v>120</v>
      </c>
      <c r="P73" s="346">
        <f>BS!P10</f>
        <v>594</v>
      </c>
      <c r="Q73" s="346">
        <f>BS!Q10</f>
        <v>526</v>
      </c>
      <c r="R73" s="346">
        <f>BS!R10</f>
        <v>327</v>
      </c>
      <c r="S73" s="346">
        <f>BS!S10</f>
        <v>219</v>
      </c>
      <c r="T73" s="346">
        <f>BS!T10</f>
        <v>829</v>
      </c>
      <c r="U73" s="346">
        <f>BS!U10</f>
        <v>488</v>
      </c>
      <c r="V73" s="346">
        <f>BS!V10</f>
        <v>362</v>
      </c>
      <c r="W73" s="346">
        <f>BS!W10</f>
        <v>144</v>
      </c>
      <c r="X73" s="346">
        <f>BS!X10</f>
        <v>737</v>
      </c>
      <c r="Y73" s="346">
        <f>BS!Y10</f>
        <v>621</v>
      </c>
      <c r="Z73" s="346">
        <f>BS!Z10</f>
        <v>233</v>
      </c>
      <c r="AA73" s="346">
        <f>BS!AA10</f>
        <v>246</v>
      </c>
      <c r="AB73" s="346">
        <f>BS!AB10</f>
        <v>723</v>
      </c>
      <c r="AC73" s="346">
        <f>BS!AC10</f>
        <v>587</v>
      </c>
      <c r="AD73" s="346">
        <f>BS!AD10</f>
        <v>359</v>
      </c>
      <c r="AE73" s="346">
        <f>BS!AE10</f>
        <v>222</v>
      </c>
      <c r="AF73" s="346">
        <f>BS!AF10</f>
        <v>812</v>
      </c>
      <c r="AG73" s="346">
        <f>BS!AG10</f>
        <v>886</v>
      </c>
      <c r="AH73" s="346">
        <f>BS!AH10</f>
        <v>385</v>
      </c>
      <c r="AI73" s="346">
        <f>BS!AI10</f>
        <v>371</v>
      </c>
      <c r="AJ73" s="346">
        <f>BS!AJ10</f>
        <v>966</v>
      </c>
      <c r="AK73" s="346">
        <f>BS!AK10</f>
        <v>806</v>
      </c>
      <c r="AL73" s="346">
        <f>BS!AL10</f>
        <v>623</v>
      </c>
      <c r="AM73" s="346">
        <f>BS!AM10</f>
        <v>329</v>
      </c>
      <c r="AN73" s="346">
        <f>BS!AN10</f>
        <v>856</v>
      </c>
      <c r="AO73" s="346">
        <f>BS!AO10</f>
        <v>798</v>
      </c>
      <c r="AP73" s="346">
        <f>BS!AP10</f>
        <v>461</v>
      </c>
      <c r="AQ73" s="346">
        <f>BS!AQ10</f>
        <v>507</v>
      </c>
      <c r="AR73" s="346">
        <f>BS!AR10</f>
        <v>423</v>
      </c>
      <c r="AS73" s="346">
        <f>BS!AS10</f>
        <v>778</v>
      </c>
      <c r="AT73" s="346">
        <f>BS!AT10</f>
        <v>521</v>
      </c>
      <c r="AU73" s="346">
        <f>BS!AU10</f>
        <v>557</v>
      </c>
      <c r="AV73" s="346">
        <f>BS!AV10</f>
        <v>1031</v>
      </c>
      <c r="AW73" s="346">
        <f t="shared" ref="AW73:BN73" si="161">(AW89*AW66)/$A$88</f>
        <v>1161.6375833333332</v>
      </c>
      <c r="AX73" s="346">
        <f t="shared" si="161"/>
        <v>1203.7872750000001</v>
      </c>
      <c r="AY73" s="346">
        <f t="shared" si="161"/>
        <v>744.38373899743328</v>
      </c>
      <c r="AZ73" s="346">
        <f t="shared" si="161"/>
        <v>1205.6516335680546</v>
      </c>
      <c r="BA73" s="346">
        <f t="shared" si="161"/>
        <v>1314.9498563769332</v>
      </c>
      <c r="BB73" s="346">
        <f t="shared" si="161"/>
        <v>1221.6661348616046</v>
      </c>
      <c r="BC73" s="346">
        <f t="shared" si="161"/>
        <v>761.29541551534749</v>
      </c>
      <c r="BD73" s="346">
        <f t="shared" si="161"/>
        <v>1243.3456682296705</v>
      </c>
      <c r="BE73" s="346">
        <f t="shared" si="161"/>
        <v>1374.656089158183</v>
      </c>
      <c r="BF73" s="346">
        <f t="shared" si="161"/>
        <v>1344.3158586290024</v>
      </c>
      <c r="BG73" s="346">
        <f t="shared" si="161"/>
        <v>791.77592498352465</v>
      </c>
      <c r="BH73" s="346">
        <f t="shared" si="161"/>
        <v>1421.6524317550718</v>
      </c>
      <c r="BI73" s="346">
        <f t="shared" si="161"/>
        <v>1529.5213592915973</v>
      </c>
      <c r="BJ73" s="346">
        <f t="shared" si="161"/>
        <v>1468.1327376549866</v>
      </c>
      <c r="BK73" s="346">
        <f t="shared" si="161"/>
        <v>848.62024799038886</v>
      </c>
      <c r="BL73" s="346">
        <f t="shared" si="161"/>
        <v>1380.7076936059875</v>
      </c>
      <c r="BM73" s="346">
        <f t="shared" si="161"/>
        <v>1564.5316651087051</v>
      </c>
      <c r="BN73" s="346">
        <f t="shared" si="161"/>
        <v>1517.3230760782747</v>
      </c>
      <c r="BO73" s="346"/>
      <c r="BP73" s="355">
        <v>206</v>
      </c>
      <c r="BQ73" s="320">
        <f t="shared" si="145"/>
        <v>335</v>
      </c>
      <c r="BR73" s="320">
        <f t="shared" si="146"/>
        <v>366</v>
      </c>
      <c r="BS73" s="320">
        <f t="shared" si="147"/>
        <v>312</v>
      </c>
      <c r="BT73" s="320">
        <f t="shared" si="148"/>
        <v>327</v>
      </c>
      <c r="BU73" s="320">
        <f t="shared" si="149"/>
        <v>362</v>
      </c>
      <c r="BV73" s="320">
        <f t="shared" si="150"/>
        <v>233</v>
      </c>
      <c r="BW73" s="320">
        <f t="shared" si="151"/>
        <v>359</v>
      </c>
      <c r="BX73" s="320">
        <f t="shared" si="152"/>
        <v>385</v>
      </c>
      <c r="BY73" s="320">
        <f t="shared" si="153"/>
        <v>623</v>
      </c>
      <c r="BZ73" s="320">
        <f t="shared" si="154"/>
        <v>461</v>
      </c>
      <c r="CA73" s="320">
        <f t="shared" si="155"/>
        <v>521</v>
      </c>
      <c r="CB73" s="320">
        <f t="shared" si="156"/>
        <v>1203.7872750000001</v>
      </c>
      <c r="CC73" s="320">
        <f t="shared" si="157"/>
        <v>1221.6661348616046</v>
      </c>
      <c r="CD73" s="320">
        <f t="shared" si="158"/>
        <v>1344.3158586290024</v>
      </c>
      <c r="CE73" s="320">
        <f t="shared" si="159"/>
        <v>1468.1327376549866</v>
      </c>
      <c r="CF73" s="320">
        <f t="shared" si="160"/>
        <v>1517.3230760782747</v>
      </c>
    </row>
    <row r="74" spans="1:84" s="351" customFormat="1" ht="16">
      <c r="A74" s="318" t="s">
        <v>92</v>
      </c>
      <c r="B74" s="346">
        <f>BS!B11</f>
        <v>100</v>
      </c>
      <c r="C74" s="346">
        <f>BS!C11</f>
        <v>82</v>
      </c>
      <c r="D74" s="346">
        <f>BS!D11</f>
        <v>155</v>
      </c>
      <c r="E74" s="346">
        <f>BS!E11</f>
        <v>105</v>
      </c>
      <c r="F74" s="346">
        <f>BS!F11</f>
        <v>77</v>
      </c>
      <c r="G74" s="346">
        <f>BS!G11</f>
        <v>75</v>
      </c>
      <c r="H74" s="346">
        <f>BS!H11</f>
        <v>90</v>
      </c>
      <c r="I74" s="346">
        <f>BS!I11</f>
        <v>69</v>
      </c>
      <c r="J74" s="346">
        <f>BS!J11</f>
        <v>59</v>
      </c>
      <c r="K74" s="346">
        <f>BS!K11</f>
        <v>60</v>
      </c>
      <c r="L74" s="346">
        <f>BS!L11</f>
        <v>71</v>
      </c>
      <c r="M74" s="346">
        <f>BS!M11</f>
        <v>59</v>
      </c>
      <c r="N74" s="346">
        <f>BS!N11</f>
        <v>42</v>
      </c>
      <c r="O74" s="346">
        <f>BS!O11</f>
        <v>41</v>
      </c>
      <c r="P74" s="346">
        <f>BS!P11</f>
        <v>58</v>
      </c>
      <c r="Q74" s="346">
        <f>BS!Q11</f>
        <v>55</v>
      </c>
      <c r="R74" s="346">
        <f>BS!R11</f>
        <v>56</v>
      </c>
      <c r="S74" s="346">
        <f>BS!S11</f>
        <v>37</v>
      </c>
      <c r="T74" s="346">
        <f>BS!T11</f>
        <v>67</v>
      </c>
      <c r="U74" s="346">
        <f>BS!U11</f>
        <v>39</v>
      </c>
      <c r="V74" s="346">
        <f>BS!V11</f>
        <v>36</v>
      </c>
      <c r="W74" s="346">
        <f>BS!W11</f>
        <v>34</v>
      </c>
      <c r="X74" s="346">
        <f>BS!X11</f>
        <v>62</v>
      </c>
      <c r="Y74" s="346">
        <f>BS!Y11</f>
        <v>42</v>
      </c>
      <c r="Z74" s="346">
        <f>BS!Z11</f>
        <v>33</v>
      </c>
      <c r="AA74" s="346">
        <f>BS!AA11</f>
        <v>26</v>
      </c>
      <c r="AB74" s="346">
        <f>BS!AB11</f>
        <v>50</v>
      </c>
      <c r="AC74" s="346">
        <f>BS!AC11</f>
        <v>35</v>
      </c>
      <c r="AD74" s="346">
        <f>BS!AD11</f>
        <v>0</v>
      </c>
      <c r="AE74" s="346">
        <f>BS!AE11</f>
        <v>0</v>
      </c>
      <c r="AF74" s="346">
        <f>BS!AF11</f>
        <v>0</v>
      </c>
      <c r="AG74" s="346">
        <f>BS!AG11</f>
        <v>0</v>
      </c>
      <c r="AH74" s="346">
        <f>BS!AH11</f>
        <v>0</v>
      </c>
      <c r="AI74" s="346">
        <f>BS!AI11</f>
        <v>0</v>
      </c>
      <c r="AJ74" s="346">
        <f>BS!AJ11</f>
        <v>0</v>
      </c>
      <c r="AK74" s="346">
        <f>BS!AK11</f>
        <v>0</v>
      </c>
      <c r="AL74" s="346">
        <f>BS!AL11</f>
        <v>0</v>
      </c>
      <c r="AM74" s="346">
        <f>BS!AM11</f>
        <v>0</v>
      </c>
      <c r="AN74" s="346">
        <f>BS!AN11</f>
        <v>0</v>
      </c>
      <c r="AO74" s="346">
        <f>BS!AO11</f>
        <v>0</v>
      </c>
      <c r="AP74" s="346">
        <f>BS!AP11</f>
        <v>0</v>
      </c>
      <c r="AQ74" s="346">
        <f>BS!AQ11</f>
        <v>0</v>
      </c>
      <c r="AR74" s="346">
        <f>BS!AR11</f>
        <v>0</v>
      </c>
      <c r="AS74" s="346">
        <f>BS!AS11</f>
        <v>0</v>
      </c>
      <c r="AT74" s="346">
        <f>BS!AT11</f>
        <v>0</v>
      </c>
      <c r="AU74" s="346">
        <f>BS!AU11</f>
        <v>0</v>
      </c>
      <c r="AV74" s="346">
        <f>BS!AV11</f>
        <v>0</v>
      </c>
      <c r="AW74" s="346">
        <f t="shared" ref="AW74:BN74" si="162">(AW91*AW67)/$A$88</f>
        <v>0</v>
      </c>
      <c r="AX74" s="346">
        <f t="shared" si="162"/>
        <v>0</v>
      </c>
      <c r="AY74" s="346">
        <f t="shared" si="162"/>
        <v>0</v>
      </c>
      <c r="AZ74" s="346">
        <f t="shared" si="162"/>
        <v>0</v>
      </c>
      <c r="BA74" s="346">
        <f t="shared" si="162"/>
        <v>0</v>
      </c>
      <c r="BB74" s="346">
        <f t="shared" si="162"/>
        <v>0</v>
      </c>
      <c r="BC74" s="346">
        <f t="shared" si="162"/>
        <v>0</v>
      </c>
      <c r="BD74" s="346">
        <f t="shared" si="162"/>
        <v>0</v>
      </c>
      <c r="BE74" s="346">
        <f t="shared" si="162"/>
        <v>0</v>
      </c>
      <c r="BF74" s="346">
        <f t="shared" si="162"/>
        <v>0</v>
      </c>
      <c r="BG74" s="346">
        <f t="shared" si="162"/>
        <v>0</v>
      </c>
      <c r="BH74" s="346">
        <f t="shared" si="162"/>
        <v>0</v>
      </c>
      <c r="BI74" s="346">
        <f t="shared" si="162"/>
        <v>0</v>
      </c>
      <c r="BJ74" s="346">
        <f t="shared" si="162"/>
        <v>0</v>
      </c>
      <c r="BK74" s="346">
        <f t="shared" si="162"/>
        <v>0</v>
      </c>
      <c r="BL74" s="346">
        <f t="shared" si="162"/>
        <v>0</v>
      </c>
      <c r="BM74" s="346">
        <f t="shared" si="162"/>
        <v>0</v>
      </c>
      <c r="BN74" s="346">
        <f t="shared" si="162"/>
        <v>0</v>
      </c>
      <c r="BO74" s="346"/>
      <c r="BP74" s="355">
        <v>100</v>
      </c>
      <c r="BQ74" s="320">
        <f t="shared" si="145"/>
        <v>77</v>
      </c>
      <c r="BR74" s="320">
        <f t="shared" si="146"/>
        <v>59</v>
      </c>
      <c r="BS74" s="320">
        <f t="shared" si="147"/>
        <v>42</v>
      </c>
      <c r="BT74" s="320">
        <f t="shared" si="148"/>
        <v>56</v>
      </c>
      <c r="BU74" s="320">
        <f t="shared" si="149"/>
        <v>36</v>
      </c>
      <c r="BV74" s="320">
        <f t="shared" si="150"/>
        <v>33</v>
      </c>
      <c r="BW74" s="320">
        <f t="shared" si="151"/>
        <v>0</v>
      </c>
      <c r="BX74" s="320">
        <f t="shared" si="152"/>
        <v>0</v>
      </c>
      <c r="BY74" s="320">
        <f t="shared" si="153"/>
        <v>0</v>
      </c>
      <c r="BZ74" s="320">
        <f t="shared" si="154"/>
        <v>0</v>
      </c>
      <c r="CA74" s="320">
        <f t="shared" si="155"/>
        <v>0</v>
      </c>
      <c r="CB74" s="320">
        <f t="shared" si="156"/>
        <v>0</v>
      </c>
      <c r="CC74" s="320">
        <f t="shared" si="157"/>
        <v>0</v>
      </c>
      <c r="CD74" s="320">
        <f t="shared" si="158"/>
        <v>0</v>
      </c>
      <c r="CE74" s="320">
        <f t="shared" si="159"/>
        <v>0</v>
      </c>
      <c r="CF74" s="320">
        <f t="shared" si="160"/>
        <v>0</v>
      </c>
    </row>
    <row r="75" spans="1:84" s="351" customFormat="1" ht="16">
      <c r="A75" s="318" t="s">
        <v>93</v>
      </c>
      <c r="B75" s="346">
        <f>BS!B12</f>
        <v>44</v>
      </c>
      <c r="C75" s="346">
        <f>BS!C12</f>
        <v>43</v>
      </c>
      <c r="D75" s="346">
        <f>BS!D12</f>
        <v>22</v>
      </c>
      <c r="E75" s="346">
        <f>BS!E12</f>
        <v>22</v>
      </c>
      <c r="F75" s="346">
        <f>BS!F12</f>
        <v>56</v>
      </c>
      <c r="G75" s="346">
        <f>BS!G12</f>
        <v>58</v>
      </c>
      <c r="H75" s="346">
        <f>BS!H12</f>
        <v>97</v>
      </c>
      <c r="I75" s="346">
        <f>BS!I12</f>
        <v>92</v>
      </c>
      <c r="J75" s="346">
        <f>BS!J12</f>
        <v>67</v>
      </c>
      <c r="K75" s="346">
        <f>BS!K12</f>
        <v>68</v>
      </c>
      <c r="L75" s="346">
        <f>BS!L12</f>
        <v>64</v>
      </c>
      <c r="M75" s="346">
        <f>BS!M12</f>
        <v>67</v>
      </c>
      <c r="N75" s="346">
        <f>BS!N12</f>
        <v>52</v>
      </c>
      <c r="O75" s="346">
        <f>BS!O12</f>
        <v>51</v>
      </c>
      <c r="P75" s="346">
        <f>BS!P12</f>
        <v>51</v>
      </c>
      <c r="Q75" s="346">
        <f>BS!Q12</f>
        <v>51</v>
      </c>
      <c r="R75" s="346">
        <f>BS!R12</f>
        <v>74</v>
      </c>
      <c r="S75" s="346">
        <f>BS!S12</f>
        <v>58</v>
      </c>
      <c r="T75" s="346">
        <f>BS!T12</f>
        <v>58</v>
      </c>
      <c r="U75" s="346">
        <f>BS!U12</f>
        <v>57</v>
      </c>
      <c r="V75" s="346">
        <f>BS!V12</f>
        <v>54</v>
      </c>
      <c r="W75" s="346">
        <f>BS!W12</f>
        <v>53</v>
      </c>
      <c r="X75" s="346">
        <f>BS!X12</f>
        <v>46</v>
      </c>
      <c r="Y75" s="346">
        <f>BS!Y12</f>
        <v>46</v>
      </c>
      <c r="Z75" s="346">
        <f>BS!Z12</f>
        <v>0</v>
      </c>
      <c r="AA75" s="346">
        <f>BS!AA12</f>
        <v>0</v>
      </c>
      <c r="AB75" s="346">
        <f>BS!AB12</f>
        <v>0</v>
      </c>
      <c r="AC75" s="346">
        <f>BS!AC12</f>
        <v>0</v>
      </c>
      <c r="AD75" s="346">
        <f>BS!AD12</f>
        <v>0</v>
      </c>
      <c r="AE75" s="346">
        <f>BS!AE12</f>
        <v>0</v>
      </c>
      <c r="AF75" s="346">
        <f>BS!AF12</f>
        <v>0</v>
      </c>
      <c r="AG75" s="346">
        <f>BS!AG12</f>
        <v>0</v>
      </c>
      <c r="AH75" s="346">
        <f>BS!AH12</f>
        <v>0</v>
      </c>
      <c r="AI75" s="346">
        <f>BS!AI12</f>
        <v>0</v>
      </c>
      <c r="AJ75" s="346">
        <f>BS!AJ12</f>
        <v>0</v>
      </c>
      <c r="AK75" s="346">
        <f>BS!AK12</f>
        <v>0</v>
      </c>
      <c r="AL75" s="346">
        <f>BS!AL12</f>
        <v>0</v>
      </c>
      <c r="AM75" s="346">
        <f>BS!AM12</f>
        <v>0</v>
      </c>
      <c r="AN75" s="346">
        <f>BS!AN12</f>
        <v>0</v>
      </c>
      <c r="AO75" s="346">
        <f>BS!AO12</f>
        <v>0</v>
      </c>
      <c r="AP75" s="346">
        <f>BS!AP12</f>
        <v>0</v>
      </c>
      <c r="AQ75" s="346">
        <f>BS!AQ12</f>
        <v>0</v>
      </c>
      <c r="AR75" s="346">
        <f>BS!AR12</f>
        <v>0</v>
      </c>
      <c r="AS75" s="346">
        <f>BS!AS12</f>
        <v>0</v>
      </c>
      <c r="AT75" s="346">
        <f>BS!AT12</f>
        <v>0</v>
      </c>
      <c r="AU75" s="346">
        <f>BS!AU12</f>
        <v>0</v>
      </c>
      <c r="AV75" s="346">
        <f>BS!AV12</f>
        <v>0</v>
      </c>
      <c r="AW75" s="346">
        <f t="shared" ref="AW75:BN75" si="163">AW92*AW68</f>
        <v>0</v>
      </c>
      <c r="AX75" s="346">
        <f t="shared" si="163"/>
        <v>0</v>
      </c>
      <c r="AY75" s="346">
        <f t="shared" si="163"/>
        <v>0</v>
      </c>
      <c r="AZ75" s="346">
        <f t="shared" si="163"/>
        <v>0</v>
      </c>
      <c r="BA75" s="346">
        <f t="shared" si="163"/>
        <v>0</v>
      </c>
      <c r="BB75" s="346">
        <f t="shared" si="163"/>
        <v>0</v>
      </c>
      <c r="BC75" s="346">
        <f t="shared" si="163"/>
        <v>0</v>
      </c>
      <c r="BD75" s="346">
        <f t="shared" si="163"/>
        <v>0</v>
      </c>
      <c r="BE75" s="346">
        <f t="shared" si="163"/>
        <v>0</v>
      </c>
      <c r="BF75" s="346">
        <f t="shared" si="163"/>
        <v>0</v>
      </c>
      <c r="BG75" s="346">
        <f t="shared" si="163"/>
        <v>0</v>
      </c>
      <c r="BH75" s="346">
        <f t="shared" si="163"/>
        <v>0</v>
      </c>
      <c r="BI75" s="346">
        <f t="shared" si="163"/>
        <v>0</v>
      </c>
      <c r="BJ75" s="346">
        <f t="shared" si="163"/>
        <v>0</v>
      </c>
      <c r="BK75" s="346">
        <f t="shared" si="163"/>
        <v>0</v>
      </c>
      <c r="BL75" s="346">
        <f t="shared" si="163"/>
        <v>0</v>
      </c>
      <c r="BM75" s="346">
        <f t="shared" si="163"/>
        <v>0</v>
      </c>
      <c r="BN75" s="346">
        <f t="shared" si="163"/>
        <v>0</v>
      </c>
      <c r="BO75" s="346"/>
      <c r="BP75" s="355">
        <v>44</v>
      </c>
      <c r="BQ75" s="320">
        <f t="shared" si="145"/>
        <v>56</v>
      </c>
      <c r="BR75" s="320">
        <f t="shared" si="146"/>
        <v>67</v>
      </c>
      <c r="BS75" s="320">
        <f t="shared" si="147"/>
        <v>52</v>
      </c>
      <c r="BT75" s="320">
        <f t="shared" si="148"/>
        <v>74</v>
      </c>
      <c r="BU75" s="320">
        <f t="shared" si="149"/>
        <v>54</v>
      </c>
      <c r="BV75" s="320">
        <f t="shared" si="150"/>
        <v>0</v>
      </c>
      <c r="BW75" s="320">
        <f t="shared" si="151"/>
        <v>0</v>
      </c>
      <c r="BX75" s="320">
        <f t="shared" si="152"/>
        <v>0</v>
      </c>
      <c r="BY75" s="320">
        <f t="shared" si="153"/>
        <v>0</v>
      </c>
      <c r="BZ75" s="320">
        <f t="shared" si="154"/>
        <v>0</v>
      </c>
      <c r="CA75" s="320">
        <f t="shared" si="155"/>
        <v>0</v>
      </c>
      <c r="CB75" s="320">
        <f t="shared" si="156"/>
        <v>0</v>
      </c>
      <c r="CC75" s="320">
        <f t="shared" si="157"/>
        <v>0</v>
      </c>
      <c r="CD75" s="320">
        <f t="shared" si="158"/>
        <v>0</v>
      </c>
      <c r="CE75" s="320">
        <f t="shared" si="159"/>
        <v>0</v>
      </c>
      <c r="CF75" s="320">
        <f t="shared" si="160"/>
        <v>0</v>
      </c>
    </row>
    <row r="76" spans="1:84" s="351" customFormat="1" ht="16">
      <c r="A76" s="318" t="s">
        <v>75</v>
      </c>
      <c r="B76" s="346">
        <f>BS!B13</f>
        <v>239</v>
      </c>
      <c r="C76" s="346">
        <f>BS!C13</f>
        <v>270</v>
      </c>
      <c r="D76" s="346">
        <f>BS!D13</f>
        <v>207</v>
      </c>
      <c r="E76" s="346">
        <f>BS!E13</f>
        <v>226</v>
      </c>
      <c r="F76" s="346">
        <f>BS!F13</f>
        <v>327</v>
      </c>
      <c r="G76" s="346">
        <f>BS!G13</f>
        <v>343</v>
      </c>
      <c r="H76" s="346">
        <f>BS!H13</f>
        <v>320</v>
      </c>
      <c r="I76" s="346">
        <f>BS!I13</f>
        <v>328</v>
      </c>
      <c r="J76" s="346">
        <f>BS!J13</f>
        <v>268</v>
      </c>
      <c r="K76" s="346">
        <f>BS!K13</f>
        <v>273</v>
      </c>
      <c r="L76" s="346">
        <f>BS!L13</f>
        <v>239</v>
      </c>
      <c r="M76" s="346">
        <f>BS!M13</f>
        <v>229</v>
      </c>
      <c r="N76" s="346">
        <f>BS!N13</f>
        <v>239</v>
      </c>
      <c r="O76" s="346">
        <f>BS!O13</f>
        <v>261</v>
      </c>
      <c r="P76" s="346">
        <f>BS!P13</f>
        <v>219</v>
      </c>
      <c r="Q76" s="346">
        <f>BS!Q13</f>
        <v>219</v>
      </c>
      <c r="R76" s="346">
        <f>BS!R13</f>
        <v>316</v>
      </c>
      <c r="S76" s="346">
        <f>BS!S13</f>
        <v>300</v>
      </c>
      <c r="T76" s="346">
        <f>BS!T13</f>
        <v>190</v>
      </c>
      <c r="U76" s="346">
        <f>BS!U13</f>
        <v>230</v>
      </c>
      <c r="V76" s="346">
        <f>BS!V13</f>
        <v>247</v>
      </c>
      <c r="W76" s="346">
        <f>BS!W13</f>
        <v>216</v>
      </c>
      <c r="X76" s="346">
        <f>BS!X13</f>
        <v>213</v>
      </c>
      <c r="Y76" s="346">
        <f>BS!Y13</f>
        <v>214</v>
      </c>
      <c r="Z76" s="346">
        <f>BS!Z13</f>
        <v>254</v>
      </c>
      <c r="AA76" s="346">
        <f>BS!AA13</f>
        <v>273</v>
      </c>
      <c r="AB76" s="346">
        <f>BS!AB13</f>
        <v>221</v>
      </c>
      <c r="AC76" s="346">
        <f>BS!AC13</f>
        <v>260</v>
      </c>
      <c r="AD76" s="346">
        <f>BS!AD13</f>
        <v>308</v>
      </c>
      <c r="AE76" s="346">
        <f>BS!AE13</f>
        <v>210</v>
      </c>
      <c r="AF76" s="346">
        <f>BS!AF13</f>
        <v>248</v>
      </c>
      <c r="AG76" s="346">
        <f>BS!AG13</f>
        <v>196</v>
      </c>
      <c r="AH76" s="346">
        <f>BS!AH13</f>
        <v>288</v>
      </c>
      <c r="AI76" s="346">
        <f>BS!AI13</f>
        <v>282</v>
      </c>
      <c r="AJ76" s="346">
        <f>BS!AJ13</f>
        <v>292</v>
      </c>
      <c r="AK76" s="346">
        <f>BS!AK13</f>
        <v>280</v>
      </c>
      <c r="AL76" s="346">
        <f>BS!AL13</f>
        <v>313</v>
      </c>
      <c r="AM76" s="346">
        <f>BS!AM13</f>
        <v>284</v>
      </c>
      <c r="AN76" s="346">
        <f>BS!AN13</f>
        <v>301</v>
      </c>
      <c r="AO76" s="346">
        <f>BS!AO13</f>
        <v>229</v>
      </c>
      <c r="AP76" s="346">
        <f>BS!AP13</f>
        <v>321</v>
      </c>
      <c r="AQ76" s="346">
        <f>BS!AQ13</f>
        <v>223</v>
      </c>
      <c r="AR76" s="346">
        <f>BS!AR13</f>
        <v>376</v>
      </c>
      <c r="AS76" s="346">
        <f>BS!AS13</f>
        <v>233</v>
      </c>
      <c r="AT76" s="346">
        <f>BS!AT13</f>
        <v>326</v>
      </c>
      <c r="AU76" s="346">
        <f>BS!AU13</f>
        <v>401</v>
      </c>
      <c r="AV76" s="346">
        <f>BS!AV13</f>
        <v>387</v>
      </c>
      <c r="AW76" s="346">
        <f t="shared" ref="AW76:BN76" si="164">AW93*AW66</f>
        <v>242.67324290197249</v>
      </c>
      <c r="AX76" s="346">
        <f t="shared" si="164"/>
        <v>437.33430718796438</v>
      </c>
      <c r="AY76" s="346">
        <f t="shared" si="164"/>
        <v>535.90283543621331</v>
      </c>
      <c r="AZ76" s="346">
        <f t="shared" si="164"/>
        <v>452.55788767297491</v>
      </c>
      <c r="BA76" s="346">
        <f t="shared" si="164"/>
        <v>274.70112062387216</v>
      </c>
      <c r="BB76" s="346">
        <f>BB93*BB66</f>
        <v>379.13776599153249</v>
      </c>
      <c r="BC76" s="346">
        <f t="shared" si="164"/>
        <v>548.07802804605808</v>
      </c>
      <c r="BD76" s="346">
        <f t="shared" si="164"/>
        <v>466.70686091647178</v>
      </c>
      <c r="BE76" s="346">
        <f t="shared" si="164"/>
        <v>287.17412023956064</v>
      </c>
      <c r="BF76" s="346">
        <f t="shared" si="164"/>
        <v>376.84919971403184</v>
      </c>
      <c r="BG76" s="346">
        <f t="shared" si="164"/>
        <v>570.02180595761831</v>
      </c>
      <c r="BH76" s="346">
        <f t="shared" si="164"/>
        <v>533.63675178391145</v>
      </c>
      <c r="BI76" s="346">
        <f t="shared" si="164"/>
        <v>319.52642861471202</v>
      </c>
      <c r="BJ76" s="346">
        <f t="shared" si="164"/>
        <v>411.55852153934876</v>
      </c>
      <c r="BK76" s="346">
        <f t="shared" si="164"/>
        <v>610.94563634496581</v>
      </c>
      <c r="BL76" s="346">
        <f t="shared" si="164"/>
        <v>518.26758237198567</v>
      </c>
      <c r="BM76" s="346">
        <f t="shared" si="164"/>
        <v>326.84029704452621</v>
      </c>
      <c r="BN76" s="346">
        <f t="shared" si="164"/>
        <v>425.34794427768026</v>
      </c>
      <c r="BO76" s="346"/>
      <c r="BP76" s="355">
        <v>239</v>
      </c>
      <c r="BQ76" s="320">
        <f t="shared" si="145"/>
        <v>327</v>
      </c>
      <c r="BR76" s="320">
        <f t="shared" si="146"/>
        <v>268</v>
      </c>
      <c r="BS76" s="320">
        <f t="shared" si="147"/>
        <v>239</v>
      </c>
      <c r="BT76" s="320">
        <f t="shared" si="148"/>
        <v>316</v>
      </c>
      <c r="BU76" s="320">
        <f t="shared" si="149"/>
        <v>247</v>
      </c>
      <c r="BV76" s="320">
        <f t="shared" si="150"/>
        <v>254</v>
      </c>
      <c r="BW76" s="320">
        <f t="shared" si="151"/>
        <v>308</v>
      </c>
      <c r="BX76" s="320">
        <f t="shared" si="152"/>
        <v>288</v>
      </c>
      <c r="BY76" s="320">
        <f t="shared" si="153"/>
        <v>313</v>
      </c>
      <c r="BZ76" s="320">
        <f t="shared" si="154"/>
        <v>321</v>
      </c>
      <c r="CA76" s="320">
        <f t="shared" si="155"/>
        <v>326</v>
      </c>
      <c r="CB76" s="320">
        <f t="shared" si="156"/>
        <v>437.33430718796438</v>
      </c>
      <c r="CC76" s="320">
        <f t="shared" si="157"/>
        <v>379.13776599153249</v>
      </c>
      <c r="CD76" s="320">
        <f t="shared" si="158"/>
        <v>376.84919971403184</v>
      </c>
      <c r="CE76" s="320">
        <f t="shared" si="159"/>
        <v>411.55852153934876</v>
      </c>
      <c r="CF76" s="320">
        <f t="shared" si="160"/>
        <v>425.34794427768026</v>
      </c>
    </row>
    <row r="77" spans="1:84" s="351" customFormat="1" ht="16">
      <c r="A77" s="323" t="s">
        <v>168</v>
      </c>
      <c r="B77" s="356">
        <f t="shared" ref="B77:AG77" si="165">SUM(B72:B76)</f>
        <v>880</v>
      </c>
      <c r="C77" s="356">
        <f t="shared" si="165"/>
        <v>691</v>
      </c>
      <c r="D77" s="356">
        <f t="shared" si="165"/>
        <v>934</v>
      </c>
      <c r="E77" s="356">
        <f t="shared" si="165"/>
        <v>850</v>
      </c>
      <c r="F77" s="356">
        <f t="shared" si="165"/>
        <v>956</v>
      </c>
      <c r="G77" s="356">
        <f t="shared" si="165"/>
        <v>678</v>
      </c>
      <c r="H77" s="356">
        <f t="shared" si="165"/>
        <v>1283</v>
      </c>
      <c r="I77" s="356">
        <f t="shared" si="165"/>
        <v>1158</v>
      </c>
      <c r="J77" s="356">
        <f t="shared" si="165"/>
        <v>879</v>
      </c>
      <c r="K77" s="356">
        <f t="shared" si="165"/>
        <v>588</v>
      </c>
      <c r="L77" s="356">
        <f t="shared" si="165"/>
        <v>1110</v>
      </c>
      <c r="M77" s="356">
        <f t="shared" si="165"/>
        <v>796</v>
      </c>
      <c r="N77" s="356">
        <f t="shared" si="165"/>
        <v>645</v>
      </c>
      <c r="O77" s="356">
        <f t="shared" si="165"/>
        <v>473</v>
      </c>
      <c r="P77" s="356">
        <f t="shared" si="165"/>
        <v>922</v>
      </c>
      <c r="Q77" s="356">
        <f t="shared" si="165"/>
        <v>851</v>
      </c>
      <c r="R77" s="356">
        <f t="shared" si="165"/>
        <v>773</v>
      </c>
      <c r="S77" s="356">
        <f t="shared" si="165"/>
        <v>614</v>
      </c>
      <c r="T77" s="356">
        <f t="shared" si="165"/>
        <v>1144</v>
      </c>
      <c r="U77" s="356">
        <f t="shared" si="165"/>
        <v>814</v>
      </c>
      <c r="V77" s="356">
        <f t="shared" si="165"/>
        <v>699</v>
      </c>
      <c r="W77" s="356">
        <f t="shared" si="165"/>
        <v>447</v>
      </c>
      <c r="X77" s="356">
        <f t="shared" si="165"/>
        <v>1058</v>
      </c>
      <c r="Y77" s="356">
        <f t="shared" si="165"/>
        <v>923</v>
      </c>
      <c r="Z77" s="356">
        <f t="shared" si="165"/>
        <v>520</v>
      </c>
      <c r="AA77" s="356">
        <f t="shared" si="165"/>
        <v>545</v>
      </c>
      <c r="AB77" s="356">
        <f t="shared" si="165"/>
        <v>994</v>
      </c>
      <c r="AC77" s="356">
        <f t="shared" si="165"/>
        <v>882</v>
      </c>
      <c r="AD77" s="356">
        <f t="shared" si="165"/>
        <v>667</v>
      </c>
      <c r="AE77" s="356">
        <f t="shared" si="165"/>
        <v>432</v>
      </c>
      <c r="AF77" s="356">
        <f t="shared" si="165"/>
        <v>1060</v>
      </c>
      <c r="AG77" s="356">
        <f t="shared" si="165"/>
        <v>1082</v>
      </c>
      <c r="AH77" s="356">
        <f t="shared" ref="AH77:BM77" si="166">SUM(AH72:AH76)</f>
        <v>673</v>
      </c>
      <c r="AI77" s="356">
        <f t="shared" si="166"/>
        <v>653</v>
      </c>
      <c r="AJ77" s="356">
        <f t="shared" si="166"/>
        <v>1258</v>
      </c>
      <c r="AK77" s="356">
        <f t="shared" si="166"/>
        <v>1086</v>
      </c>
      <c r="AL77" s="356">
        <f t="shared" si="166"/>
        <v>936</v>
      </c>
      <c r="AM77" s="356">
        <f t="shared" si="166"/>
        <v>613</v>
      </c>
      <c r="AN77" s="356">
        <f t="shared" si="166"/>
        <v>1157</v>
      </c>
      <c r="AO77" s="356">
        <f t="shared" si="166"/>
        <v>1027</v>
      </c>
      <c r="AP77" s="356">
        <f t="shared" si="166"/>
        <v>782</v>
      </c>
      <c r="AQ77" s="356">
        <f t="shared" si="166"/>
        <v>730</v>
      </c>
      <c r="AR77" s="356">
        <f t="shared" si="166"/>
        <v>799</v>
      </c>
      <c r="AS77" s="356">
        <f t="shared" si="166"/>
        <v>1011</v>
      </c>
      <c r="AT77" s="356">
        <f t="shared" si="166"/>
        <v>847</v>
      </c>
      <c r="AU77" s="356">
        <f t="shared" si="166"/>
        <v>958</v>
      </c>
      <c r="AV77" s="356">
        <f t="shared" ref="AV77" si="167">SUM(AV72:AV76)</f>
        <v>1418</v>
      </c>
      <c r="AW77" s="356">
        <f t="shared" si="166"/>
        <v>1404.3108262353057</v>
      </c>
      <c r="AX77" s="356">
        <f t="shared" si="166"/>
        <v>1641.1215821879646</v>
      </c>
      <c r="AY77" s="356">
        <f t="shared" si="166"/>
        <v>1280.2865744336466</v>
      </c>
      <c r="AZ77" s="356">
        <f t="shared" si="166"/>
        <v>1658.2095212410295</v>
      </c>
      <c r="BA77" s="356">
        <f t="shared" si="166"/>
        <v>1589.6509770008054</v>
      </c>
      <c r="BB77" s="356">
        <f t="shared" si="166"/>
        <v>1600.8039008531371</v>
      </c>
      <c r="BC77" s="356">
        <f t="shared" si="166"/>
        <v>1309.3734435614056</v>
      </c>
      <c r="BD77" s="356">
        <f t="shared" si="166"/>
        <v>1710.0525291461422</v>
      </c>
      <c r="BE77" s="356">
        <f t="shared" si="166"/>
        <v>1661.8302093977436</v>
      </c>
      <c r="BF77" s="356">
        <f t="shared" si="166"/>
        <v>1721.1650583430342</v>
      </c>
      <c r="BG77" s="356">
        <f t="shared" si="166"/>
        <v>1361.7977309411431</v>
      </c>
      <c r="BH77" s="356">
        <f t="shared" si="166"/>
        <v>1955.2891835389833</v>
      </c>
      <c r="BI77" s="356">
        <f t="shared" si="166"/>
        <v>1849.0477879063092</v>
      </c>
      <c r="BJ77" s="356">
        <f t="shared" si="166"/>
        <v>1879.6912591943353</v>
      </c>
      <c r="BK77" s="356">
        <f t="shared" si="166"/>
        <v>1459.5658843353547</v>
      </c>
      <c r="BL77" s="356">
        <f t="shared" si="166"/>
        <v>1898.9752759779731</v>
      </c>
      <c r="BM77" s="356">
        <f t="shared" si="166"/>
        <v>1891.3719621532314</v>
      </c>
      <c r="BN77" s="356">
        <f t="shared" ref="BN77" si="168">SUM(BN72:BN76)</f>
        <v>1942.6710203559549</v>
      </c>
      <c r="BO77" s="356"/>
      <c r="BP77" s="357">
        <v>1312</v>
      </c>
      <c r="BQ77" s="325">
        <f t="shared" si="145"/>
        <v>956</v>
      </c>
      <c r="BR77" s="325">
        <f t="shared" si="146"/>
        <v>879</v>
      </c>
      <c r="BS77" s="325">
        <f t="shared" si="147"/>
        <v>645</v>
      </c>
      <c r="BT77" s="325">
        <f t="shared" si="148"/>
        <v>773</v>
      </c>
      <c r="BU77" s="325">
        <f t="shared" si="149"/>
        <v>699</v>
      </c>
      <c r="BV77" s="325">
        <f t="shared" si="150"/>
        <v>520</v>
      </c>
      <c r="BW77" s="325">
        <f t="shared" si="151"/>
        <v>667</v>
      </c>
      <c r="BX77" s="325">
        <f t="shared" si="152"/>
        <v>673</v>
      </c>
      <c r="BY77" s="325">
        <f t="shared" si="153"/>
        <v>936</v>
      </c>
      <c r="BZ77" s="325">
        <f t="shared" si="154"/>
        <v>782</v>
      </c>
      <c r="CA77" s="325">
        <f t="shared" si="155"/>
        <v>847</v>
      </c>
      <c r="CB77" s="325">
        <f t="shared" si="156"/>
        <v>1641.1215821879646</v>
      </c>
      <c r="CC77" s="325">
        <f t="shared" si="157"/>
        <v>1600.8039008531371</v>
      </c>
      <c r="CD77" s="325">
        <f t="shared" si="158"/>
        <v>1721.1650583430342</v>
      </c>
      <c r="CE77" s="325">
        <f t="shared" si="159"/>
        <v>1879.6912591943353</v>
      </c>
      <c r="CF77" s="325">
        <f t="shared" si="160"/>
        <v>1942.6710203559549</v>
      </c>
    </row>
    <row r="78" spans="1:84" s="351" customFormat="1" ht="16">
      <c r="A78" s="346"/>
      <c r="B78" s="346"/>
      <c r="C78" s="346"/>
      <c r="D78" s="346"/>
      <c r="E78" s="346"/>
      <c r="F78" s="346"/>
      <c r="G78" s="346"/>
      <c r="H78" s="346"/>
      <c r="I78" s="346"/>
      <c r="J78" s="346"/>
      <c r="K78" s="346"/>
      <c r="L78" s="346"/>
      <c r="M78" s="346"/>
      <c r="N78" s="346"/>
      <c r="O78" s="346"/>
      <c r="P78" s="346"/>
      <c r="Q78" s="346"/>
      <c r="R78" s="346"/>
      <c r="S78" s="346"/>
      <c r="T78" s="346"/>
      <c r="U78" s="346"/>
      <c r="V78" s="346"/>
      <c r="W78" s="346"/>
      <c r="X78" s="346"/>
      <c r="Y78" s="346"/>
      <c r="Z78" s="346"/>
      <c r="AA78" s="346"/>
      <c r="AB78" s="346"/>
      <c r="AC78" s="346"/>
      <c r="AD78" s="346"/>
      <c r="AE78" s="346"/>
      <c r="AF78" s="346"/>
      <c r="AG78" s="346"/>
      <c r="AH78" s="346"/>
      <c r="AI78" s="346"/>
      <c r="AJ78" s="346"/>
      <c r="AK78" s="346"/>
      <c r="AL78" s="346"/>
      <c r="AM78" s="346"/>
      <c r="AN78" s="346"/>
      <c r="AO78" s="346"/>
      <c r="AP78" s="346"/>
      <c r="AQ78" s="346"/>
      <c r="AR78" s="346"/>
      <c r="AS78" s="346"/>
      <c r="AT78" s="346"/>
      <c r="AU78" s="346"/>
      <c r="AV78" s="346"/>
      <c r="AW78" s="346"/>
      <c r="AX78" s="346"/>
      <c r="AY78" s="346"/>
      <c r="AZ78" s="346"/>
      <c r="BA78" s="346"/>
      <c r="BB78" s="346"/>
      <c r="BC78" s="346"/>
      <c r="BD78" s="346"/>
      <c r="BE78" s="346"/>
      <c r="BF78" s="346"/>
      <c r="BG78" s="346"/>
      <c r="BH78" s="346"/>
      <c r="BI78" s="346"/>
      <c r="BJ78" s="346"/>
      <c r="BK78" s="346"/>
      <c r="BL78" s="346"/>
      <c r="BM78" s="346"/>
      <c r="BN78" s="346"/>
      <c r="BO78" s="346"/>
      <c r="BP78" s="353"/>
      <c r="BQ78" s="352"/>
      <c r="BR78" s="352"/>
      <c r="BS78" s="352"/>
      <c r="BT78" s="352"/>
      <c r="BU78" s="352"/>
      <c r="BV78" s="352"/>
      <c r="BW78" s="352"/>
      <c r="BX78" s="352"/>
      <c r="BY78" s="352"/>
      <c r="BZ78" s="352"/>
      <c r="CA78" s="352"/>
      <c r="CB78" s="352"/>
      <c r="CC78" s="352"/>
      <c r="CD78" s="352"/>
      <c r="CE78" s="352"/>
      <c r="CF78" s="352"/>
    </row>
    <row r="79" spans="1:84" s="351" customFormat="1" ht="16">
      <c r="A79" s="318" t="s">
        <v>13</v>
      </c>
      <c r="B79" s="346">
        <f>BS!B23</f>
        <v>91</v>
      </c>
      <c r="C79" s="346">
        <f>BS!C23</f>
        <v>55</v>
      </c>
      <c r="D79" s="346">
        <f>BS!D23</f>
        <v>205</v>
      </c>
      <c r="E79" s="346">
        <f>BS!E23</f>
        <v>162</v>
      </c>
      <c r="F79" s="346">
        <f>BS!F23</f>
        <v>228</v>
      </c>
      <c r="G79" s="346">
        <f>BS!G23</f>
        <v>91</v>
      </c>
      <c r="H79" s="346">
        <f>BS!H23</f>
        <v>213</v>
      </c>
      <c r="I79" s="346">
        <f>BS!I23</f>
        <v>112</v>
      </c>
      <c r="J79" s="346">
        <f>BS!J23</f>
        <v>215</v>
      </c>
      <c r="K79" s="346">
        <f>BS!K23</f>
        <v>50</v>
      </c>
      <c r="L79" s="346">
        <f>BS!L23</f>
        <v>219</v>
      </c>
      <c r="M79" s="346">
        <f>BS!M23</f>
        <v>93</v>
      </c>
      <c r="N79" s="346">
        <f>BS!N23</f>
        <v>136</v>
      </c>
      <c r="O79" s="346">
        <f>BS!O23</f>
        <v>48</v>
      </c>
      <c r="P79" s="346">
        <f>BS!P23</f>
        <v>208</v>
      </c>
      <c r="Q79" s="346">
        <f>BS!Q23</f>
        <v>137</v>
      </c>
      <c r="R79" s="346">
        <f>BS!R23</f>
        <v>119</v>
      </c>
      <c r="S79" s="346">
        <f>BS!S23</f>
        <v>69</v>
      </c>
      <c r="T79" s="346">
        <f>BS!T23</f>
        <v>191</v>
      </c>
      <c r="U79" s="346">
        <f>BS!U23</f>
        <v>77</v>
      </c>
      <c r="V79" s="346">
        <f>BS!V23</f>
        <v>68</v>
      </c>
      <c r="W79" s="346">
        <f>BS!W23</f>
        <v>43</v>
      </c>
      <c r="X79" s="346">
        <f>BS!X23</f>
        <v>188</v>
      </c>
      <c r="Y79" s="346">
        <f>BS!Y23</f>
        <v>128</v>
      </c>
      <c r="Z79" s="346">
        <f>BS!Z23</f>
        <v>89</v>
      </c>
      <c r="AA79" s="346">
        <f>BS!AA23</f>
        <v>44</v>
      </c>
      <c r="AB79" s="346">
        <f>BS!AB23</f>
        <v>206</v>
      </c>
      <c r="AC79" s="346">
        <f>BS!AC23</f>
        <v>65</v>
      </c>
      <c r="AD79" s="346">
        <f>BS!AD23</f>
        <v>87</v>
      </c>
      <c r="AE79" s="346">
        <f>BS!AE23</f>
        <v>38</v>
      </c>
      <c r="AF79" s="346">
        <f>BS!AF23</f>
        <v>187</v>
      </c>
      <c r="AG79" s="346">
        <f>BS!AG23</f>
        <v>91</v>
      </c>
      <c r="AH79" s="346">
        <f>BS!AH23</f>
        <v>48</v>
      </c>
      <c r="AI79" s="346">
        <f>BS!AI23</f>
        <v>47</v>
      </c>
      <c r="AJ79" s="346">
        <f>BS!AJ23</f>
        <v>168</v>
      </c>
      <c r="AK79" s="346">
        <f>BS!AK23</f>
        <v>70</v>
      </c>
      <c r="AL79" s="346">
        <f>BS!AL23</f>
        <v>113</v>
      </c>
      <c r="AM79" s="346">
        <f>BS!AM23</f>
        <v>56</v>
      </c>
      <c r="AN79" s="346">
        <f>BS!AN23</f>
        <v>148</v>
      </c>
      <c r="AO79" s="346">
        <f>BS!AO23</f>
        <v>61</v>
      </c>
      <c r="AP79" s="346">
        <f>BS!AP23</f>
        <v>68</v>
      </c>
      <c r="AQ79" s="346">
        <f>BS!AQ23</f>
        <v>51</v>
      </c>
      <c r="AR79" s="346">
        <f>BS!AR23</f>
        <v>164</v>
      </c>
      <c r="AS79" s="346">
        <f>BS!AS23</f>
        <v>89</v>
      </c>
      <c r="AT79" s="346">
        <f>BS!AT23</f>
        <v>96</v>
      </c>
      <c r="AU79" s="346">
        <f>BS!AU23</f>
        <v>73</v>
      </c>
      <c r="AV79" s="346">
        <f>BS!AV23</f>
        <v>136</v>
      </c>
      <c r="AW79" s="346">
        <f t="shared" ref="AW79:BN79" si="169">(AW94*AW67)/$A$88</f>
        <v>167.94211382978727</v>
      </c>
      <c r="AX79" s="346">
        <f t="shared" si="169"/>
        <v>115.64794630872478</v>
      </c>
      <c r="AY79" s="346">
        <f t="shared" si="169"/>
        <v>83.221420562734409</v>
      </c>
      <c r="AZ79" s="346">
        <f t="shared" si="169"/>
        <v>143.62220918882394</v>
      </c>
      <c r="BA79" s="346">
        <f t="shared" si="169"/>
        <v>183.72278348804971</v>
      </c>
      <c r="BB79" s="346">
        <f t="shared" si="169"/>
        <v>110.96759674994054</v>
      </c>
      <c r="BC79" s="346">
        <f t="shared" si="169"/>
        <v>83.03826245419873</v>
      </c>
      <c r="BD79" s="346">
        <f t="shared" si="169"/>
        <v>148.6015392839287</v>
      </c>
      <c r="BE79" s="346">
        <f t="shared" si="169"/>
        <v>188.26592243290773</v>
      </c>
      <c r="BF79" s="346">
        <f t="shared" si="169"/>
        <v>115.8654354708318</v>
      </c>
      <c r="BG79" s="346">
        <f t="shared" si="169"/>
        <v>87.108354841700816</v>
      </c>
      <c r="BH79" s="346">
        <f t="shared" si="169"/>
        <v>181.1373062158919</v>
      </c>
      <c r="BI79" s="346">
        <f t="shared" si="169"/>
        <v>202.52598742415805</v>
      </c>
      <c r="BJ79" s="346">
        <f t="shared" si="169"/>
        <v>123.79161003438004</v>
      </c>
      <c r="BK79" s="346">
        <f t="shared" si="169"/>
        <v>92.753013333309298</v>
      </c>
      <c r="BL79" s="346">
        <f t="shared" si="169"/>
        <v>164.80920096048638</v>
      </c>
      <c r="BM79" s="346">
        <f t="shared" si="169"/>
        <v>208.2924867815527</v>
      </c>
      <c r="BN79" s="346">
        <f t="shared" si="169"/>
        <v>130.05260543715383</v>
      </c>
      <c r="BO79" s="346"/>
      <c r="BP79" s="355">
        <v>91</v>
      </c>
      <c r="BQ79" s="320">
        <f>F79</f>
        <v>228</v>
      </c>
      <c r="BR79" s="320">
        <f>J79</f>
        <v>215</v>
      </c>
      <c r="BS79" s="320">
        <f>N79</f>
        <v>136</v>
      </c>
      <c r="BT79" s="320">
        <f>R79</f>
        <v>119</v>
      </c>
      <c r="BU79" s="320">
        <f>V79</f>
        <v>68</v>
      </c>
      <c r="BV79" s="320">
        <f>Z79</f>
        <v>89</v>
      </c>
      <c r="BW79" s="320">
        <f>AD79</f>
        <v>87</v>
      </c>
      <c r="BX79" s="320">
        <f>AH79</f>
        <v>48</v>
      </c>
      <c r="BY79" s="320">
        <f>AL79</f>
        <v>113</v>
      </c>
      <c r="BZ79" s="320">
        <f>AP79</f>
        <v>68</v>
      </c>
      <c r="CA79" s="320">
        <f>AT79</f>
        <v>96</v>
      </c>
      <c r="CB79" s="320">
        <f>AX79</f>
        <v>115.64794630872478</v>
      </c>
      <c r="CC79" s="320">
        <f>BB79</f>
        <v>110.96759674994054</v>
      </c>
      <c r="CD79" s="320">
        <f>BF79</f>
        <v>115.8654354708318</v>
      </c>
      <c r="CE79" s="320">
        <f>BJ79</f>
        <v>123.79161003438004</v>
      </c>
      <c r="CF79" s="320">
        <f>BN79</f>
        <v>130.05260543715383</v>
      </c>
    </row>
    <row r="80" spans="1:84" s="351" customFormat="1" ht="16">
      <c r="A80" s="318" t="s">
        <v>133</v>
      </c>
      <c r="B80" s="346">
        <f>BS!B24</f>
        <v>717</v>
      </c>
      <c r="C80" s="346">
        <f>BS!C24</f>
        <v>620</v>
      </c>
      <c r="D80" s="346">
        <f>BS!D24</f>
        <v>620</v>
      </c>
      <c r="E80" s="346">
        <f>BS!E24</f>
        <v>746</v>
      </c>
      <c r="F80" s="346">
        <f>BS!F24</f>
        <v>768</v>
      </c>
      <c r="G80" s="346">
        <f>BS!G24</f>
        <v>604</v>
      </c>
      <c r="H80" s="346">
        <f>BS!H24</f>
        <v>792</v>
      </c>
      <c r="I80" s="346">
        <f>BS!I24</f>
        <v>846</v>
      </c>
      <c r="J80" s="346">
        <f>BS!J24</f>
        <v>857</v>
      </c>
      <c r="K80" s="346">
        <f>BS!K24</f>
        <v>702</v>
      </c>
      <c r="L80" s="346">
        <f>BS!L24</f>
        <v>874</v>
      </c>
      <c r="M80" s="346">
        <f>BS!M24</f>
        <v>840</v>
      </c>
      <c r="N80" s="346">
        <f>BS!N24</f>
        <v>737</v>
      </c>
      <c r="O80" s="346">
        <f>BS!O24</f>
        <v>588</v>
      </c>
      <c r="P80" s="346">
        <f>BS!P24</f>
        <v>708</v>
      </c>
      <c r="Q80" s="346">
        <f>BS!Q24</f>
        <v>823</v>
      </c>
      <c r="R80" s="346">
        <f>BS!R24</f>
        <v>781</v>
      </c>
      <c r="S80" s="346">
        <f>BS!S24</f>
        <v>666</v>
      </c>
      <c r="T80" s="346">
        <f>BS!T24</f>
        <v>915</v>
      </c>
      <c r="U80" s="346">
        <f>BS!U24</f>
        <v>813</v>
      </c>
      <c r="V80" s="346">
        <f>BS!V24</f>
        <v>794</v>
      </c>
      <c r="W80" s="346">
        <f>BS!W24</f>
        <v>603</v>
      </c>
      <c r="X80" s="346">
        <f>BS!X24</f>
        <v>802</v>
      </c>
      <c r="Y80" s="346">
        <f>BS!Y24</f>
        <v>840</v>
      </c>
      <c r="Z80" s="346">
        <f>BS!Z24</f>
        <v>710</v>
      </c>
      <c r="AA80" s="346">
        <f>BS!AA24</f>
        <v>597</v>
      </c>
      <c r="AB80" s="346">
        <f>BS!AB24</f>
        <v>777</v>
      </c>
      <c r="AC80" s="346">
        <f>BS!AC24</f>
        <v>901</v>
      </c>
      <c r="AD80" s="346">
        <f>BS!AD24</f>
        <v>789</v>
      </c>
      <c r="AE80" s="346">
        <f>BS!AE24</f>
        <v>709</v>
      </c>
      <c r="AF80" s="346">
        <f>BS!AF24</f>
        <v>969</v>
      </c>
      <c r="AG80" s="346">
        <f>BS!AG24</f>
        <v>1070</v>
      </c>
      <c r="AH80" s="346">
        <f>BS!AH24</f>
        <v>821</v>
      </c>
      <c r="AI80" s="346">
        <f>BS!AI24</f>
        <v>765</v>
      </c>
      <c r="AJ80" s="346">
        <f>BS!AJ24</f>
        <v>907</v>
      </c>
      <c r="AK80" s="346">
        <f>BS!AK24</f>
        <v>1092</v>
      </c>
      <c r="AL80" s="346">
        <f>BS!AL24</f>
        <v>1052</v>
      </c>
      <c r="AM80" s="346">
        <f>BS!AM24</f>
        <v>915</v>
      </c>
      <c r="AN80" s="346">
        <f>BS!AN24</f>
        <v>1024</v>
      </c>
      <c r="AO80" s="346">
        <f>BS!AO24</f>
        <v>1204</v>
      </c>
      <c r="AP80" s="346">
        <f>BS!AP24</f>
        <v>1052</v>
      </c>
      <c r="AQ80" s="346">
        <f>BS!AQ24</f>
        <v>1040</v>
      </c>
      <c r="AR80" s="346">
        <f>BS!AR24</f>
        <v>1083</v>
      </c>
      <c r="AS80" s="346">
        <f>BS!AS24</f>
        <v>1423</v>
      </c>
      <c r="AT80" s="346">
        <f>BS!AT24</f>
        <v>1341</v>
      </c>
      <c r="AU80" s="346">
        <f>BS!AU24</f>
        <v>1093</v>
      </c>
      <c r="AV80" s="346">
        <f>BS!AV24</f>
        <v>1119</v>
      </c>
      <c r="AW80" s="346">
        <f t="shared" ref="AW80:BN80" si="170">AW66*AW95</f>
        <v>1482.077359010759</v>
      </c>
      <c r="AX80" s="346">
        <f t="shared" si="170"/>
        <v>1798.9733311014118</v>
      </c>
      <c r="AY80" s="346">
        <f t="shared" si="170"/>
        <v>1460.7027409770103</v>
      </c>
      <c r="AZ80" s="346">
        <f t="shared" si="170"/>
        <v>1308.5588535040283</v>
      </c>
      <c r="BA80" s="346">
        <f t="shared" si="170"/>
        <v>1677.6810929088845</v>
      </c>
      <c r="BB80" s="346">
        <f t="shared" si="170"/>
        <v>1888.6468952252787</v>
      </c>
      <c r="BC80" s="346">
        <f t="shared" si="170"/>
        <v>1493.8884904098293</v>
      </c>
      <c r="BD80" s="346">
        <f t="shared" si="170"/>
        <v>1349.4702257507286</v>
      </c>
      <c r="BE80" s="346">
        <f t="shared" si="170"/>
        <v>1753.8573952828103</v>
      </c>
      <c r="BF80" s="346">
        <f t="shared" si="170"/>
        <v>1976.0490217272102</v>
      </c>
      <c r="BG80" s="346">
        <f t="shared" si="170"/>
        <v>1553.7003339443313</v>
      </c>
      <c r="BH80" s="346">
        <f t="shared" si="170"/>
        <v>1542.996189266659</v>
      </c>
      <c r="BI80" s="346">
        <f t="shared" si="170"/>
        <v>1951.4425232563744</v>
      </c>
      <c r="BJ80" s="346">
        <f t="shared" si="170"/>
        <v>2158.0510572623239</v>
      </c>
      <c r="BK80" s="346">
        <f t="shared" si="170"/>
        <v>1665.2458367208169</v>
      </c>
      <c r="BL80" s="346">
        <f t="shared" si="170"/>
        <v>1498.5566529050438</v>
      </c>
      <c r="BM80" s="346">
        <f t="shared" si="170"/>
        <v>1996.1104836667846</v>
      </c>
      <c r="BN80" s="346">
        <f t="shared" si="170"/>
        <v>2230.3573679376291</v>
      </c>
      <c r="BO80" s="346"/>
      <c r="BP80" s="355">
        <v>717</v>
      </c>
      <c r="BQ80" s="320">
        <f>F80</f>
        <v>768</v>
      </c>
      <c r="BR80" s="320">
        <f>J80</f>
        <v>857</v>
      </c>
      <c r="BS80" s="320">
        <f>N80</f>
        <v>737</v>
      </c>
      <c r="BT80" s="320">
        <f>R80</f>
        <v>781</v>
      </c>
      <c r="BU80" s="320">
        <f>V80</f>
        <v>794</v>
      </c>
      <c r="BV80" s="320">
        <f>Z80</f>
        <v>710</v>
      </c>
      <c r="BW80" s="320">
        <f>AD80</f>
        <v>789</v>
      </c>
      <c r="BX80" s="320">
        <f>AH80</f>
        <v>821</v>
      </c>
      <c r="BY80" s="320">
        <f>AL80</f>
        <v>1052</v>
      </c>
      <c r="BZ80" s="320">
        <f>AP80</f>
        <v>1052</v>
      </c>
      <c r="CA80" s="320">
        <f>AT80</f>
        <v>1341</v>
      </c>
      <c r="CB80" s="320">
        <f>AX80</f>
        <v>1798.9733311014118</v>
      </c>
      <c r="CC80" s="320">
        <f>BB80</f>
        <v>1888.6468952252787</v>
      </c>
      <c r="CD80" s="320">
        <f>BF80</f>
        <v>1976.0490217272102</v>
      </c>
      <c r="CE80" s="320">
        <f>BJ80</f>
        <v>2158.0510572623239</v>
      </c>
      <c r="CF80" s="320">
        <f>BN80</f>
        <v>2230.3573679376291</v>
      </c>
    </row>
    <row r="81" spans="1:84" s="351" customFormat="1" ht="16">
      <c r="A81" s="318" t="s">
        <v>132</v>
      </c>
      <c r="B81" s="346">
        <f>BS!B25</f>
        <v>766</v>
      </c>
      <c r="C81" s="346">
        <f>BS!C25</f>
        <v>490</v>
      </c>
      <c r="D81" s="346">
        <f>BS!D25</f>
        <v>743</v>
      </c>
      <c r="E81" s="346">
        <f>BS!E25</f>
        <v>1100</v>
      </c>
      <c r="F81" s="346">
        <f>BS!F25</f>
        <v>1005</v>
      </c>
      <c r="G81" s="346">
        <f>BS!G25</f>
        <v>530</v>
      </c>
      <c r="H81" s="346">
        <f>BS!H25</f>
        <v>849</v>
      </c>
      <c r="I81" s="346">
        <f>BS!I25</f>
        <v>1439</v>
      </c>
      <c r="J81" s="346">
        <f>BS!J25</f>
        <v>1048</v>
      </c>
      <c r="K81" s="346">
        <f>BS!K25</f>
        <v>584</v>
      </c>
      <c r="L81" s="346">
        <f>BS!L25</f>
        <v>953</v>
      </c>
      <c r="M81" s="346">
        <f>BS!M25</f>
        <v>1213</v>
      </c>
      <c r="N81" s="346">
        <f>BS!N25</f>
        <v>1044</v>
      </c>
      <c r="O81" s="346">
        <f>BS!O25</f>
        <v>590</v>
      </c>
      <c r="P81" s="346">
        <f>BS!P25</f>
        <v>935</v>
      </c>
      <c r="Q81" s="346">
        <f>BS!Q25</f>
        <v>1699</v>
      </c>
      <c r="R81" s="346">
        <f>BS!R25</f>
        <v>1490</v>
      </c>
      <c r="S81" s="346">
        <f>BS!S25</f>
        <v>1051</v>
      </c>
      <c r="T81" s="346">
        <f>BS!T25</f>
        <v>1281</v>
      </c>
      <c r="U81" s="346">
        <f>BS!U25</f>
        <v>1583</v>
      </c>
      <c r="V81" s="346">
        <f>BS!V25</f>
        <v>1283</v>
      </c>
      <c r="W81" s="346">
        <f>BS!W25</f>
        <v>775</v>
      </c>
      <c r="X81" s="346">
        <f>BS!X25</f>
        <v>1113</v>
      </c>
      <c r="Y81" s="346">
        <f>BS!Y25</f>
        <v>1844</v>
      </c>
      <c r="Z81" s="346">
        <f>BS!Z25</f>
        <v>1458</v>
      </c>
      <c r="AA81" s="346">
        <f>BS!AA25</f>
        <v>873</v>
      </c>
      <c r="AB81" s="346">
        <f>BS!AB25</f>
        <v>1067</v>
      </c>
      <c r="AC81" s="346">
        <f>BS!AC25</f>
        <v>1971</v>
      </c>
      <c r="AD81" s="346">
        <f>BS!AD25</f>
        <v>1539</v>
      </c>
      <c r="AE81" s="346">
        <f>BS!AE25</f>
        <v>882</v>
      </c>
      <c r="AF81" s="346">
        <f>BS!AF25</f>
        <v>1116</v>
      </c>
      <c r="AG81" s="346">
        <f>BS!AG25</f>
        <v>1946</v>
      </c>
      <c r="AH81" s="346">
        <f>BS!AH25</f>
        <v>1622</v>
      </c>
      <c r="AI81" s="346">
        <f>BS!AI25</f>
        <v>652</v>
      </c>
      <c r="AJ81" s="346">
        <f>BS!AJ25</f>
        <v>574</v>
      </c>
      <c r="AK81" s="346">
        <f>BS!AK25</f>
        <v>928</v>
      </c>
      <c r="AL81" s="346">
        <f>BS!AL25</f>
        <v>1100</v>
      </c>
      <c r="AM81" s="346">
        <f>BS!AM25</f>
        <v>679</v>
      </c>
      <c r="AN81" s="346">
        <f>BS!AN25</f>
        <v>646</v>
      </c>
      <c r="AO81" s="346">
        <f>BS!AO25</f>
        <v>1073</v>
      </c>
      <c r="AP81" s="346">
        <f>BS!AP25</f>
        <v>945</v>
      </c>
      <c r="AQ81" s="346">
        <f>BS!AQ25</f>
        <v>878</v>
      </c>
      <c r="AR81" s="346">
        <f>BS!AR25</f>
        <v>639</v>
      </c>
      <c r="AS81" s="346">
        <f>BS!AS25</f>
        <v>1380</v>
      </c>
      <c r="AT81" s="346">
        <f>BS!AT25</f>
        <v>1527</v>
      </c>
      <c r="AU81" s="346">
        <f>BS!AU25</f>
        <v>1305</v>
      </c>
      <c r="AV81" s="346">
        <f>BS!AV25</f>
        <v>1322</v>
      </c>
      <c r="AW81" s="346">
        <f>AV81+CF!AW19</f>
        <v>2217.6717500000004</v>
      </c>
      <c r="AX81" s="346">
        <f>AW81+CF!AX19</f>
        <v>2206.9433374999999</v>
      </c>
      <c r="AY81" s="346">
        <f>AX81+CF!AY19</f>
        <v>1650.2912343106748</v>
      </c>
      <c r="AZ81" s="346">
        <f>AY81+CF!AZ19</f>
        <v>1462.0387786006947</v>
      </c>
      <c r="BA81" s="346">
        <f>AZ81+CF!BA19</f>
        <v>2362.5747419519621</v>
      </c>
      <c r="BB81" s="346">
        <f>BA81+CF!BB19</f>
        <v>2181.0613419942993</v>
      </c>
      <c r="BC81" s="346">
        <f>BB81+CF!BC19</f>
        <v>1587.8875957213268</v>
      </c>
      <c r="BD81" s="346">
        <f>BC81+CF!BD19</f>
        <v>1416.3104261178114</v>
      </c>
      <c r="BE81" s="346">
        <f>BD81+CF!BE19</f>
        <v>2325.2161508101176</v>
      </c>
      <c r="BF81" s="346">
        <f>BE81+CF!BF19</f>
        <v>2148.7015773168482</v>
      </c>
      <c r="BG81" s="346">
        <f>BF81+CF!BG19</f>
        <v>1552.8788796642016</v>
      </c>
      <c r="BH81" s="346">
        <f>BG81+CF!BH19</f>
        <v>1519.900513591715</v>
      </c>
      <c r="BI81" s="346">
        <f>BH81+CF!BI19</f>
        <v>2436.1963918613578</v>
      </c>
      <c r="BJ81" s="346">
        <f>BI81+CF!BJ19</f>
        <v>2209.8570268726326</v>
      </c>
      <c r="BK81" s="346">
        <f>BJ81+CF!BK19</f>
        <v>1563.9714669794441</v>
      </c>
      <c r="BL81" s="346">
        <f>BK81+CF!BL19</f>
        <v>1384.0118720222019</v>
      </c>
      <c r="BM81" s="346">
        <f>BL81+CF!BM19</f>
        <v>2346.7974976630576</v>
      </c>
      <c r="BN81" s="346">
        <f>BM81+CF!BN19</f>
        <v>2150.8822775651524</v>
      </c>
      <c r="BO81" s="346"/>
      <c r="BP81" s="355">
        <v>766</v>
      </c>
      <c r="BQ81" s="320">
        <f>F81</f>
        <v>1005</v>
      </c>
      <c r="BR81" s="320">
        <f>J81</f>
        <v>1048</v>
      </c>
      <c r="BS81" s="320">
        <f>N81</f>
        <v>1044</v>
      </c>
      <c r="BT81" s="320">
        <f>R81</f>
        <v>1490</v>
      </c>
      <c r="BU81" s="320">
        <f>V81</f>
        <v>1283</v>
      </c>
      <c r="BV81" s="320">
        <f>Z81</f>
        <v>1458</v>
      </c>
      <c r="BW81" s="320">
        <f>AD81</f>
        <v>1539</v>
      </c>
      <c r="BX81" s="320">
        <f>AH81</f>
        <v>1622</v>
      </c>
      <c r="BY81" s="320">
        <f>AL81</f>
        <v>1100</v>
      </c>
      <c r="BZ81" s="320">
        <f>AP81</f>
        <v>945</v>
      </c>
      <c r="CA81" s="320">
        <f>AT81</f>
        <v>1527</v>
      </c>
      <c r="CB81" s="320">
        <f>AX81</f>
        <v>2206.9433374999999</v>
      </c>
      <c r="CC81" s="320">
        <f>BB81</f>
        <v>2181.0613419942993</v>
      </c>
      <c r="CD81" s="320">
        <f>BF81</f>
        <v>2148.7015773168482</v>
      </c>
      <c r="CE81" s="320">
        <f>BJ81</f>
        <v>2209.8570268726326</v>
      </c>
      <c r="CF81" s="320">
        <f>BN81</f>
        <v>2150.8822775651524</v>
      </c>
    </row>
    <row r="82" spans="1:84" s="351" customFormat="1" ht="16">
      <c r="A82" s="356" t="s">
        <v>26</v>
      </c>
      <c r="B82" s="356">
        <f t="shared" ref="B82:AG82" si="171">SUM(B79:B81)</f>
        <v>1574</v>
      </c>
      <c r="C82" s="356">
        <f t="shared" si="171"/>
        <v>1165</v>
      </c>
      <c r="D82" s="356">
        <f t="shared" si="171"/>
        <v>1568</v>
      </c>
      <c r="E82" s="356">
        <f t="shared" si="171"/>
        <v>2008</v>
      </c>
      <c r="F82" s="356">
        <f t="shared" si="171"/>
        <v>2001</v>
      </c>
      <c r="G82" s="356">
        <f t="shared" si="171"/>
        <v>1225</v>
      </c>
      <c r="H82" s="356">
        <f t="shared" si="171"/>
        <v>1854</v>
      </c>
      <c r="I82" s="356">
        <f t="shared" si="171"/>
        <v>2397</v>
      </c>
      <c r="J82" s="356">
        <f t="shared" si="171"/>
        <v>2120</v>
      </c>
      <c r="K82" s="356">
        <f t="shared" si="171"/>
        <v>1336</v>
      </c>
      <c r="L82" s="356">
        <f t="shared" si="171"/>
        <v>2046</v>
      </c>
      <c r="M82" s="356">
        <f t="shared" si="171"/>
        <v>2146</v>
      </c>
      <c r="N82" s="356">
        <f t="shared" si="171"/>
        <v>1917</v>
      </c>
      <c r="O82" s="356">
        <f t="shared" si="171"/>
        <v>1226</v>
      </c>
      <c r="P82" s="356">
        <f t="shared" si="171"/>
        <v>1851</v>
      </c>
      <c r="Q82" s="356">
        <f t="shared" si="171"/>
        <v>2659</v>
      </c>
      <c r="R82" s="356">
        <f t="shared" si="171"/>
        <v>2390</v>
      </c>
      <c r="S82" s="356">
        <f t="shared" si="171"/>
        <v>1786</v>
      </c>
      <c r="T82" s="356">
        <f t="shared" si="171"/>
        <v>2387</v>
      </c>
      <c r="U82" s="356">
        <f t="shared" si="171"/>
        <v>2473</v>
      </c>
      <c r="V82" s="356">
        <f t="shared" si="171"/>
        <v>2145</v>
      </c>
      <c r="W82" s="356">
        <f t="shared" si="171"/>
        <v>1421</v>
      </c>
      <c r="X82" s="356">
        <f t="shared" si="171"/>
        <v>2103</v>
      </c>
      <c r="Y82" s="356">
        <f t="shared" si="171"/>
        <v>2812</v>
      </c>
      <c r="Z82" s="356">
        <f t="shared" si="171"/>
        <v>2257</v>
      </c>
      <c r="AA82" s="356">
        <f t="shared" si="171"/>
        <v>1514</v>
      </c>
      <c r="AB82" s="356">
        <f t="shared" si="171"/>
        <v>2050</v>
      </c>
      <c r="AC82" s="356">
        <f t="shared" si="171"/>
        <v>2937</v>
      </c>
      <c r="AD82" s="356">
        <f t="shared" si="171"/>
        <v>2415</v>
      </c>
      <c r="AE82" s="356">
        <f t="shared" si="171"/>
        <v>1629</v>
      </c>
      <c r="AF82" s="356">
        <f t="shared" si="171"/>
        <v>2272</v>
      </c>
      <c r="AG82" s="356">
        <f t="shared" si="171"/>
        <v>3107</v>
      </c>
      <c r="AH82" s="356">
        <f t="shared" ref="AH82:BM82" si="172">SUM(AH79:AH81)</f>
        <v>2491</v>
      </c>
      <c r="AI82" s="356">
        <f t="shared" si="172"/>
        <v>1464</v>
      </c>
      <c r="AJ82" s="356">
        <f t="shared" si="172"/>
        <v>1649</v>
      </c>
      <c r="AK82" s="356">
        <f t="shared" si="172"/>
        <v>2090</v>
      </c>
      <c r="AL82" s="356">
        <f t="shared" si="172"/>
        <v>2265</v>
      </c>
      <c r="AM82" s="356">
        <f t="shared" si="172"/>
        <v>1650</v>
      </c>
      <c r="AN82" s="356">
        <f t="shared" si="172"/>
        <v>1818</v>
      </c>
      <c r="AO82" s="356">
        <f t="shared" si="172"/>
        <v>2338</v>
      </c>
      <c r="AP82" s="356">
        <f t="shared" si="172"/>
        <v>2065</v>
      </c>
      <c r="AQ82" s="356">
        <f t="shared" si="172"/>
        <v>1969</v>
      </c>
      <c r="AR82" s="356">
        <f t="shared" si="172"/>
        <v>1886</v>
      </c>
      <c r="AS82" s="356">
        <f t="shared" si="172"/>
        <v>2892</v>
      </c>
      <c r="AT82" s="356">
        <f t="shared" si="172"/>
        <v>2964</v>
      </c>
      <c r="AU82" s="356">
        <f t="shared" si="172"/>
        <v>2471</v>
      </c>
      <c r="AV82" s="356">
        <f t="shared" ref="AV82" si="173">SUM(AV79:AV81)</f>
        <v>2577</v>
      </c>
      <c r="AW82" s="356">
        <f t="shared" si="172"/>
        <v>3867.6912228405467</v>
      </c>
      <c r="AX82" s="356">
        <f t="shared" si="172"/>
        <v>4121.5646149101367</v>
      </c>
      <c r="AY82" s="356">
        <f t="shared" si="172"/>
        <v>3194.2153958504196</v>
      </c>
      <c r="AZ82" s="356">
        <f t="shared" si="172"/>
        <v>2914.2198412935468</v>
      </c>
      <c r="BA82" s="356">
        <f t="shared" si="172"/>
        <v>4223.9786183488959</v>
      </c>
      <c r="BB82" s="356">
        <f t="shared" si="172"/>
        <v>4180.6758339695189</v>
      </c>
      <c r="BC82" s="356">
        <f t="shared" si="172"/>
        <v>3164.8143485853548</v>
      </c>
      <c r="BD82" s="356">
        <f t="shared" si="172"/>
        <v>2914.3821911524687</v>
      </c>
      <c r="BE82" s="356">
        <f t="shared" si="172"/>
        <v>4267.3394685258354</v>
      </c>
      <c r="BF82" s="356">
        <f t="shared" si="172"/>
        <v>4240.6160345148901</v>
      </c>
      <c r="BG82" s="356">
        <f t="shared" si="172"/>
        <v>3193.6875684502338</v>
      </c>
      <c r="BH82" s="356">
        <f t="shared" si="172"/>
        <v>3244.0340090742657</v>
      </c>
      <c r="BI82" s="356">
        <f t="shared" si="172"/>
        <v>4590.1649025418901</v>
      </c>
      <c r="BJ82" s="356">
        <f t="shared" si="172"/>
        <v>4491.699694169336</v>
      </c>
      <c r="BK82" s="356">
        <f t="shared" si="172"/>
        <v>3321.9703170335706</v>
      </c>
      <c r="BL82" s="356">
        <f t="shared" si="172"/>
        <v>3047.3777258877321</v>
      </c>
      <c r="BM82" s="356">
        <f t="shared" si="172"/>
        <v>4551.2004681113949</v>
      </c>
      <c r="BN82" s="356">
        <f t="shared" ref="BN82" si="174">SUM(BN79:BN81)</f>
        <v>4511.2922509399359</v>
      </c>
      <c r="BO82" s="356"/>
      <c r="BP82" s="357">
        <v>1574</v>
      </c>
      <c r="BQ82" s="325">
        <f>F82</f>
        <v>2001</v>
      </c>
      <c r="BR82" s="325">
        <f>J82</f>
        <v>2120</v>
      </c>
      <c r="BS82" s="325">
        <f>N82</f>
        <v>1917</v>
      </c>
      <c r="BT82" s="325">
        <f>R82</f>
        <v>2390</v>
      </c>
      <c r="BU82" s="325">
        <f>V82</f>
        <v>2145</v>
      </c>
      <c r="BV82" s="325">
        <f>Z82</f>
        <v>2257</v>
      </c>
      <c r="BW82" s="325">
        <f>AD82</f>
        <v>2415</v>
      </c>
      <c r="BX82" s="325">
        <f>AH82</f>
        <v>2491</v>
      </c>
      <c r="BY82" s="325">
        <f>AL82</f>
        <v>2265</v>
      </c>
      <c r="BZ82" s="325">
        <f>AP82</f>
        <v>2065</v>
      </c>
      <c r="CA82" s="325">
        <f>AT82</f>
        <v>2964</v>
      </c>
      <c r="CB82" s="325">
        <f>AX82</f>
        <v>4121.5646149101367</v>
      </c>
      <c r="CC82" s="325">
        <f>BB82</f>
        <v>4180.6758339695189</v>
      </c>
      <c r="CD82" s="325">
        <f>BF82</f>
        <v>4240.6160345148901</v>
      </c>
      <c r="CE82" s="325">
        <f>BJ82</f>
        <v>4491.699694169336</v>
      </c>
      <c r="CF82" s="325">
        <f>BN82</f>
        <v>4511.2922509399359</v>
      </c>
    </row>
    <row r="83" spans="1:84" s="351" customFormat="1" ht="16">
      <c r="A83" s="346"/>
      <c r="B83" s="346"/>
      <c r="C83" s="346"/>
      <c r="D83" s="346"/>
      <c r="E83" s="346"/>
      <c r="F83" s="346"/>
      <c r="G83" s="346"/>
      <c r="H83" s="346"/>
      <c r="I83" s="346"/>
      <c r="J83" s="346"/>
      <c r="K83" s="346"/>
      <c r="L83" s="346"/>
      <c r="M83" s="346"/>
      <c r="N83" s="346"/>
      <c r="O83" s="346"/>
      <c r="P83" s="346"/>
      <c r="Q83" s="346"/>
      <c r="R83" s="346"/>
      <c r="S83" s="346"/>
      <c r="T83" s="346"/>
      <c r="U83" s="346"/>
      <c r="V83" s="346"/>
      <c r="W83" s="346"/>
      <c r="X83" s="346"/>
      <c r="Y83" s="346"/>
      <c r="Z83" s="346"/>
      <c r="AA83" s="346"/>
      <c r="AB83" s="346"/>
      <c r="AC83" s="346"/>
      <c r="AD83" s="346"/>
      <c r="AE83" s="346"/>
      <c r="AF83" s="346"/>
      <c r="AG83" s="346"/>
      <c r="AH83" s="346"/>
      <c r="AI83" s="346"/>
      <c r="AJ83" s="346"/>
      <c r="AK83" s="346"/>
      <c r="AL83" s="346"/>
      <c r="AM83" s="346"/>
      <c r="AN83" s="346"/>
      <c r="AO83" s="346"/>
      <c r="AP83" s="346"/>
      <c r="AQ83" s="346"/>
      <c r="AR83" s="346"/>
      <c r="AS83" s="346"/>
      <c r="AT83" s="346"/>
      <c r="AU83" s="346"/>
      <c r="AV83" s="346"/>
      <c r="AW83" s="346"/>
      <c r="AX83" s="346"/>
      <c r="AY83" s="346"/>
      <c r="AZ83" s="346"/>
      <c r="BA83" s="346"/>
      <c r="BB83" s="346"/>
      <c r="BC83" s="346"/>
      <c r="BD83" s="346"/>
      <c r="BE83" s="346"/>
      <c r="BF83" s="346"/>
      <c r="BG83" s="346"/>
      <c r="BH83" s="346"/>
      <c r="BI83" s="346"/>
      <c r="BJ83" s="346"/>
      <c r="BK83" s="346"/>
      <c r="BL83" s="346"/>
      <c r="BM83" s="346"/>
      <c r="BN83" s="346"/>
      <c r="BO83" s="346"/>
      <c r="BP83" s="353"/>
      <c r="BQ83" s="352"/>
      <c r="BR83" s="352"/>
      <c r="BS83" s="352"/>
      <c r="BT83" s="352"/>
      <c r="BU83" s="352"/>
      <c r="BV83" s="352"/>
      <c r="BW83" s="352"/>
      <c r="BX83" s="352"/>
      <c r="BY83" s="352"/>
      <c r="BZ83" s="352"/>
      <c r="CA83" s="352"/>
      <c r="CB83" s="352"/>
      <c r="CC83" s="352"/>
      <c r="CD83" s="352"/>
      <c r="CE83" s="352"/>
      <c r="CF83" s="352"/>
    </row>
    <row r="84" spans="1:84" s="351" customFormat="1" ht="16">
      <c r="A84" s="346" t="s">
        <v>27</v>
      </c>
      <c r="B84" s="346">
        <f t="shared" ref="B84:AG84" si="175">B77-B82</f>
        <v>-694</v>
      </c>
      <c r="C84" s="346">
        <f t="shared" si="175"/>
        <v>-474</v>
      </c>
      <c r="D84" s="346">
        <f t="shared" si="175"/>
        <v>-634</v>
      </c>
      <c r="E84" s="346">
        <f t="shared" si="175"/>
        <v>-1158</v>
      </c>
      <c r="F84" s="346">
        <f t="shared" si="175"/>
        <v>-1045</v>
      </c>
      <c r="G84" s="346">
        <f t="shared" si="175"/>
        <v>-547</v>
      </c>
      <c r="H84" s="346">
        <f t="shared" si="175"/>
        <v>-571</v>
      </c>
      <c r="I84" s="346">
        <f t="shared" si="175"/>
        <v>-1239</v>
      </c>
      <c r="J84" s="346">
        <f t="shared" si="175"/>
        <v>-1241</v>
      </c>
      <c r="K84" s="346">
        <f t="shared" si="175"/>
        <v>-748</v>
      </c>
      <c r="L84" s="346">
        <f t="shared" si="175"/>
        <v>-936</v>
      </c>
      <c r="M84" s="346">
        <f t="shared" si="175"/>
        <v>-1350</v>
      </c>
      <c r="N84" s="346">
        <f t="shared" si="175"/>
        <v>-1272</v>
      </c>
      <c r="O84" s="346">
        <f t="shared" si="175"/>
        <v>-753</v>
      </c>
      <c r="P84" s="346">
        <f t="shared" si="175"/>
        <v>-929</v>
      </c>
      <c r="Q84" s="346">
        <f t="shared" si="175"/>
        <v>-1808</v>
      </c>
      <c r="R84" s="346">
        <f t="shared" si="175"/>
        <v>-1617</v>
      </c>
      <c r="S84" s="346">
        <f t="shared" si="175"/>
        <v>-1172</v>
      </c>
      <c r="T84" s="346">
        <f t="shared" si="175"/>
        <v>-1243</v>
      </c>
      <c r="U84" s="346">
        <f t="shared" si="175"/>
        <v>-1659</v>
      </c>
      <c r="V84" s="346">
        <f t="shared" si="175"/>
        <v>-1446</v>
      </c>
      <c r="W84" s="346">
        <f t="shared" si="175"/>
        <v>-974</v>
      </c>
      <c r="X84" s="346">
        <f t="shared" si="175"/>
        <v>-1045</v>
      </c>
      <c r="Y84" s="346">
        <f t="shared" si="175"/>
        <v>-1889</v>
      </c>
      <c r="Z84" s="346">
        <f t="shared" si="175"/>
        <v>-1737</v>
      </c>
      <c r="AA84" s="346">
        <f t="shared" si="175"/>
        <v>-969</v>
      </c>
      <c r="AB84" s="346">
        <f t="shared" si="175"/>
        <v>-1056</v>
      </c>
      <c r="AC84" s="346">
        <f t="shared" si="175"/>
        <v>-2055</v>
      </c>
      <c r="AD84" s="346">
        <f t="shared" si="175"/>
        <v>-1748</v>
      </c>
      <c r="AE84" s="346">
        <f t="shared" si="175"/>
        <v>-1197</v>
      </c>
      <c r="AF84" s="346">
        <f t="shared" si="175"/>
        <v>-1212</v>
      </c>
      <c r="AG84" s="346">
        <f t="shared" si="175"/>
        <v>-2025</v>
      </c>
      <c r="AH84" s="346">
        <f t="shared" ref="AH84:BN84" si="176">AH77-AH82</f>
        <v>-1818</v>
      </c>
      <c r="AI84" s="346">
        <f t="shared" si="176"/>
        <v>-811</v>
      </c>
      <c r="AJ84" s="346">
        <f t="shared" si="176"/>
        <v>-391</v>
      </c>
      <c r="AK84" s="346">
        <f t="shared" si="176"/>
        <v>-1004</v>
      </c>
      <c r="AL84" s="346">
        <f t="shared" si="176"/>
        <v>-1329</v>
      </c>
      <c r="AM84" s="346">
        <f t="shared" si="176"/>
        <v>-1037</v>
      </c>
      <c r="AN84" s="346">
        <f t="shared" si="176"/>
        <v>-661</v>
      </c>
      <c r="AO84" s="346">
        <f t="shared" si="176"/>
        <v>-1311</v>
      </c>
      <c r="AP84" s="346">
        <f t="shared" si="176"/>
        <v>-1283</v>
      </c>
      <c r="AQ84" s="346">
        <f t="shared" si="176"/>
        <v>-1239</v>
      </c>
      <c r="AR84" s="346">
        <f t="shared" si="176"/>
        <v>-1087</v>
      </c>
      <c r="AS84" s="346">
        <f t="shared" si="176"/>
        <v>-1881</v>
      </c>
      <c r="AT84" s="346">
        <f t="shared" si="176"/>
        <v>-2117</v>
      </c>
      <c r="AU84" s="346">
        <f t="shared" si="176"/>
        <v>-1513</v>
      </c>
      <c r="AV84" s="346">
        <f t="shared" ref="AV84" si="177">AV77-AV82</f>
        <v>-1159</v>
      </c>
      <c r="AW84" s="346">
        <f t="shared" si="176"/>
        <v>-2463.380396605241</v>
      </c>
      <c r="AX84" s="346">
        <f t="shared" si="176"/>
        <v>-2480.4430327221721</v>
      </c>
      <c r="AY84" s="346">
        <f t="shared" si="176"/>
        <v>-1913.928821416773</v>
      </c>
      <c r="AZ84" s="346">
        <f t="shared" si="176"/>
        <v>-1256.0103200525173</v>
      </c>
      <c r="BA84" s="346">
        <f t="shared" si="176"/>
        <v>-2634.3276413480908</v>
      </c>
      <c r="BB84" s="346">
        <f t="shared" si="176"/>
        <v>-2579.871933116382</v>
      </c>
      <c r="BC84" s="346">
        <f t="shared" si="176"/>
        <v>-1855.4409050239492</v>
      </c>
      <c r="BD84" s="346">
        <f t="shared" si="176"/>
        <v>-1204.3296620063265</v>
      </c>
      <c r="BE84" s="346">
        <f t="shared" si="176"/>
        <v>-2605.5092591280918</v>
      </c>
      <c r="BF84" s="346">
        <f t="shared" si="176"/>
        <v>-2519.4509761718559</v>
      </c>
      <c r="BG84" s="346">
        <f t="shared" si="176"/>
        <v>-1831.8898375090907</v>
      </c>
      <c r="BH84" s="346">
        <f t="shared" si="176"/>
        <v>-1288.7448255352824</v>
      </c>
      <c r="BI84" s="346">
        <f t="shared" si="176"/>
        <v>-2741.1171146355809</v>
      </c>
      <c r="BJ84" s="346">
        <f t="shared" si="176"/>
        <v>-2612.0084349750005</v>
      </c>
      <c r="BK84" s="346">
        <f t="shared" si="176"/>
        <v>-1862.4044326982159</v>
      </c>
      <c r="BL84" s="346">
        <f t="shared" si="176"/>
        <v>-1148.4024499097591</v>
      </c>
      <c r="BM84" s="346">
        <f t="shared" si="176"/>
        <v>-2659.8285059581635</v>
      </c>
      <c r="BN84" s="346">
        <f t="shared" si="176"/>
        <v>-2568.6212305839808</v>
      </c>
      <c r="BO84" s="346"/>
      <c r="BP84" s="355">
        <v>-262</v>
      </c>
      <c r="BQ84" s="320">
        <f>F84</f>
        <v>-1045</v>
      </c>
      <c r="BR84" s="320">
        <f>J84</f>
        <v>-1241</v>
      </c>
      <c r="BS84" s="320">
        <f>N84</f>
        <v>-1272</v>
      </c>
      <c r="BT84" s="320">
        <f>R84</f>
        <v>-1617</v>
      </c>
      <c r="BU84" s="320">
        <f>V84</f>
        <v>-1446</v>
      </c>
      <c r="BV84" s="320">
        <f>Z84</f>
        <v>-1737</v>
      </c>
      <c r="BW84" s="320">
        <f>AD84</f>
        <v>-1748</v>
      </c>
      <c r="BX84" s="320">
        <f>AH84</f>
        <v>-1818</v>
      </c>
      <c r="BY84" s="320">
        <f>AL84</f>
        <v>-1329</v>
      </c>
      <c r="BZ84" s="320">
        <f>AP84</f>
        <v>-1283</v>
      </c>
      <c r="CA84" s="320">
        <f>AT84</f>
        <v>-2117</v>
      </c>
      <c r="CB84" s="320">
        <f>AX84</f>
        <v>-2480.4430327221721</v>
      </c>
      <c r="CC84" s="320">
        <f>BB84</f>
        <v>-2579.871933116382</v>
      </c>
      <c r="CD84" s="320">
        <f>BF84</f>
        <v>-2519.4509761718559</v>
      </c>
      <c r="CE84" s="320">
        <f>BJ84</f>
        <v>-2612.0084349750005</v>
      </c>
      <c r="CF84" s="320">
        <f>BN84</f>
        <v>-2568.6212305839808</v>
      </c>
    </row>
    <row r="85" spans="1:84" s="351" customFormat="1" ht="16">
      <c r="A85" s="346" t="s">
        <v>25</v>
      </c>
      <c r="B85" s="358" t="s">
        <v>17</v>
      </c>
      <c r="C85" s="346">
        <f t="shared" ref="C85:AH85" si="178">C84-B84</f>
        <v>220</v>
      </c>
      <c r="D85" s="346">
        <f t="shared" si="178"/>
        <v>-160</v>
      </c>
      <c r="E85" s="346">
        <f t="shared" si="178"/>
        <v>-524</v>
      </c>
      <c r="F85" s="346">
        <f t="shared" si="178"/>
        <v>113</v>
      </c>
      <c r="G85" s="346">
        <f t="shared" si="178"/>
        <v>498</v>
      </c>
      <c r="H85" s="346">
        <f t="shared" si="178"/>
        <v>-24</v>
      </c>
      <c r="I85" s="346">
        <f t="shared" si="178"/>
        <v>-668</v>
      </c>
      <c r="J85" s="346">
        <f t="shared" si="178"/>
        <v>-2</v>
      </c>
      <c r="K85" s="346">
        <f t="shared" si="178"/>
        <v>493</v>
      </c>
      <c r="L85" s="346">
        <f t="shared" si="178"/>
        <v>-188</v>
      </c>
      <c r="M85" s="346">
        <f t="shared" si="178"/>
        <v>-414</v>
      </c>
      <c r="N85" s="346">
        <f t="shared" si="178"/>
        <v>78</v>
      </c>
      <c r="O85" s="346">
        <f t="shared" si="178"/>
        <v>519</v>
      </c>
      <c r="P85" s="346">
        <f t="shared" si="178"/>
        <v>-176</v>
      </c>
      <c r="Q85" s="346">
        <f t="shared" si="178"/>
        <v>-879</v>
      </c>
      <c r="R85" s="346">
        <f t="shared" si="178"/>
        <v>191</v>
      </c>
      <c r="S85" s="346">
        <f t="shared" si="178"/>
        <v>445</v>
      </c>
      <c r="T85" s="346">
        <f t="shared" si="178"/>
        <v>-71</v>
      </c>
      <c r="U85" s="346">
        <f t="shared" si="178"/>
        <v>-416</v>
      </c>
      <c r="V85" s="346">
        <f t="shared" si="178"/>
        <v>213</v>
      </c>
      <c r="W85" s="346">
        <f t="shared" si="178"/>
        <v>472</v>
      </c>
      <c r="X85" s="346">
        <f t="shared" si="178"/>
        <v>-71</v>
      </c>
      <c r="Y85" s="346">
        <f t="shared" si="178"/>
        <v>-844</v>
      </c>
      <c r="Z85" s="346">
        <f t="shared" si="178"/>
        <v>152</v>
      </c>
      <c r="AA85" s="346">
        <f t="shared" si="178"/>
        <v>768</v>
      </c>
      <c r="AB85" s="346">
        <f t="shared" si="178"/>
        <v>-87</v>
      </c>
      <c r="AC85" s="346">
        <f t="shared" si="178"/>
        <v>-999</v>
      </c>
      <c r="AD85" s="346">
        <f t="shared" si="178"/>
        <v>307</v>
      </c>
      <c r="AE85" s="346">
        <f t="shared" si="178"/>
        <v>551</v>
      </c>
      <c r="AF85" s="346">
        <f t="shared" si="178"/>
        <v>-15</v>
      </c>
      <c r="AG85" s="346">
        <f t="shared" si="178"/>
        <v>-813</v>
      </c>
      <c r="AH85" s="346">
        <f t="shared" si="178"/>
        <v>207</v>
      </c>
      <c r="AI85" s="346">
        <f t="shared" ref="AI85:BN85" si="179">AI84-AH84</f>
        <v>1007</v>
      </c>
      <c r="AJ85" s="346">
        <f t="shared" si="179"/>
        <v>420</v>
      </c>
      <c r="AK85" s="346">
        <f t="shared" si="179"/>
        <v>-613</v>
      </c>
      <c r="AL85" s="346">
        <f t="shared" si="179"/>
        <v>-325</v>
      </c>
      <c r="AM85" s="346">
        <f t="shared" si="179"/>
        <v>292</v>
      </c>
      <c r="AN85" s="346">
        <f t="shared" si="179"/>
        <v>376</v>
      </c>
      <c r="AO85" s="346">
        <f t="shared" si="179"/>
        <v>-650</v>
      </c>
      <c r="AP85" s="346">
        <f t="shared" si="179"/>
        <v>28</v>
      </c>
      <c r="AQ85" s="346">
        <f t="shared" si="179"/>
        <v>44</v>
      </c>
      <c r="AR85" s="346">
        <f t="shared" si="179"/>
        <v>152</v>
      </c>
      <c r="AS85" s="346">
        <f t="shared" si="179"/>
        <v>-794</v>
      </c>
      <c r="AT85" s="346">
        <f t="shared" si="179"/>
        <v>-236</v>
      </c>
      <c r="AU85" s="346">
        <f t="shared" si="179"/>
        <v>604</v>
      </c>
      <c r="AV85" s="346">
        <f t="shared" si="179"/>
        <v>354</v>
      </c>
      <c r="AW85" s="346">
        <f t="shared" si="179"/>
        <v>-1304.380396605241</v>
      </c>
      <c r="AX85" s="346">
        <f t="shared" si="179"/>
        <v>-17.062636116931117</v>
      </c>
      <c r="AY85" s="346">
        <f t="shared" si="179"/>
        <v>566.51421130539916</v>
      </c>
      <c r="AZ85" s="346">
        <f t="shared" si="179"/>
        <v>657.91850136425569</v>
      </c>
      <c r="BA85" s="346">
        <f t="shared" si="179"/>
        <v>-1378.3173212955735</v>
      </c>
      <c r="BB85" s="346">
        <f t="shared" si="179"/>
        <v>54.455708231708741</v>
      </c>
      <c r="BC85" s="346">
        <f t="shared" si="179"/>
        <v>724.43102809243283</v>
      </c>
      <c r="BD85" s="346">
        <f t="shared" si="179"/>
        <v>651.11124301762266</v>
      </c>
      <c r="BE85" s="346">
        <f t="shared" si="179"/>
        <v>-1401.1795971217653</v>
      </c>
      <c r="BF85" s="346">
        <f t="shared" si="179"/>
        <v>86.058282956235871</v>
      </c>
      <c r="BG85" s="346">
        <f t="shared" si="179"/>
        <v>687.56113866276519</v>
      </c>
      <c r="BH85" s="346">
        <f t="shared" si="179"/>
        <v>543.14501197380832</v>
      </c>
      <c r="BI85" s="346">
        <f t="shared" si="179"/>
        <v>-1452.3722891002985</v>
      </c>
      <c r="BJ85" s="346">
        <f t="shared" si="179"/>
        <v>129.10867966058049</v>
      </c>
      <c r="BK85" s="346">
        <f t="shared" si="179"/>
        <v>749.60400227678451</v>
      </c>
      <c r="BL85" s="346">
        <f t="shared" si="179"/>
        <v>714.00198278845687</v>
      </c>
      <c r="BM85" s="346">
        <f t="shared" si="179"/>
        <v>-1511.4260560484045</v>
      </c>
      <c r="BN85" s="346">
        <f t="shared" si="179"/>
        <v>91.2072753741827</v>
      </c>
      <c r="BO85" s="346"/>
      <c r="BP85" s="350" t="s">
        <v>17</v>
      </c>
      <c r="BQ85" s="352">
        <f t="shared" ref="BQ85:CF85" si="180">BQ84-BP84</f>
        <v>-783</v>
      </c>
      <c r="BR85" s="352">
        <f t="shared" si="180"/>
        <v>-196</v>
      </c>
      <c r="BS85" s="352">
        <f t="shared" si="180"/>
        <v>-31</v>
      </c>
      <c r="BT85" s="352">
        <f t="shared" si="180"/>
        <v>-345</v>
      </c>
      <c r="BU85" s="352">
        <f t="shared" si="180"/>
        <v>171</v>
      </c>
      <c r="BV85" s="352">
        <f t="shared" si="180"/>
        <v>-291</v>
      </c>
      <c r="BW85" s="352">
        <f t="shared" si="180"/>
        <v>-11</v>
      </c>
      <c r="BX85" s="352">
        <f t="shared" si="180"/>
        <v>-70</v>
      </c>
      <c r="BY85" s="352">
        <f t="shared" si="180"/>
        <v>489</v>
      </c>
      <c r="BZ85" s="352">
        <f t="shared" si="180"/>
        <v>46</v>
      </c>
      <c r="CA85" s="352">
        <f t="shared" si="180"/>
        <v>-834</v>
      </c>
      <c r="CB85" s="352">
        <f t="shared" si="180"/>
        <v>-363.44303272217212</v>
      </c>
      <c r="CC85" s="352">
        <f t="shared" si="180"/>
        <v>-99.428900394209904</v>
      </c>
      <c r="CD85" s="352">
        <f t="shared" si="180"/>
        <v>60.420956944526097</v>
      </c>
      <c r="CE85" s="352">
        <f t="shared" si="180"/>
        <v>-92.557458803144527</v>
      </c>
      <c r="CF85" s="352">
        <f t="shared" si="180"/>
        <v>43.387204391019623</v>
      </c>
    </row>
    <row r="86" spans="1:84" ht="16">
      <c r="A86" s="341"/>
      <c r="B86" s="341"/>
      <c r="C86" s="341"/>
      <c r="D86" s="341"/>
      <c r="E86" s="341"/>
      <c r="F86" s="341"/>
      <c r="G86" s="341"/>
      <c r="H86" s="341"/>
      <c r="I86" s="341"/>
      <c r="J86" s="341"/>
      <c r="K86" s="341"/>
      <c r="L86" s="341"/>
      <c r="M86" s="341"/>
      <c r="N86" s="341"/>
      <c r="O86" s="341"/>
      <c r="P86" s="341"/>
      <c r="Q86" s="341"/>
      <c r="R86" s="341"/>
      <c r="S86" s="341"/>
      <c r="T86" s="341"/>
      <c r="U86" s="341"/>
      <c r="V86" s="341"/>
      <c r="W86" s="345"/>
      <c r="X86" s="345"/>
      <c r="Y86" s="345"/>
      <c r="Z86" s="345"/>
      <c r="AA86" s="345"/>
      <c r="AB86" s="345"/>
      <c r="AC86" s="345"/>
      <c r="AD86" s="345"/>
      <c r="AE86" s="345"/>
      <c r="AF86" s="345"/>
      <c r="AG86" s="345"/>
      <c r="AH86" s="345"/>
      <c r="AI86" s="345"/>
      <c r="AJ86" s="345"/>
      <c r="AK86" s="345"/>
      <c r="AL86" s="345"/>
      <c r="AM86" s="345"/>
      <c r="AN86" s="345"/>
      <c r="AO86" s="345"/>
      <c r="AP86" s="345"/>
      <c r="AQ86" s="345"/>
      <c r="AR86" s="345"/>
      <c r="AS86" s="345"/>
      <c r="AT86" s="345"/>
      <c r="AU86" s="345"/>
      <c r="AV86" s="345"/>
      <c r="AW86" s="345"/>
      <c r="AX86" s="345"/>
      <c r="AY86" s="345"/>
      <c r="AZ86" s="345"/>
      <c r="BA86" s="345"/>
      <c r="BB86" s="345"/>
      <c r="BC86" s="345"/>
      <c r="BD86" s="345"/>
      <c r="BE86" s="345"/>
      <c r="BF86" s="345"/>
      <c r="BG86" s="345"/>
      <c r="BH86" s="345"/>
      <c r="BI86" s="345"/>
      <c r="BJ86" s="345"/>
      <c r="BK86" s="345"/>
      <c r="BL86" s="345"/>
      <c r="BM86" s="345"/>
      <c r="BN86" s="345"/>
      <c r="BO86" s="345"/>
      <c r="BP86" s="341"/>
      <c r="BQ86" s="341"/>
      <c r="BR86" s="341"/>
      <c r="BS86" s="341"/>
      <c r="BT86" s="341"/>
      <c r="BU86" s="341"/>
      <c r="BV86" s="341"/>
      <c r="BW86" s="341"/>
      <c r="BX86" s="341"/>
      <c r="BY86" s="341"/>
      <c r="BZ86" s="341"/>
      <c r="CA86" s="341"/>
      <c r="CB86" s="341"/>
      <c r="CC86" s="341"/>
      <c r="CD86" s="341"/>
      <c r="CE86" s="341"/>
      <c r="CF86" s="341"/>
    </row>
    <row r="87" spans="1:84" ht="16">
      <c r="A87" s="344" t="s">
        <v>28</v>
      </c>
      <c r="B87" s="341"/>
      <c r="C87" s="341"/>
      <c r="D87" s="341"/>
      <c r="E87" s="341"/>
      <c r="F87" s="341"/>
      <c r="G87" s="341"/>
      <c r="H87" s="341"/>
      <c r="I87" s="341"/>
      <c r="J87" s="341"/>
      <c r="K87" s="341"/>
      <c r="L87" s="341"/>
      <c r="M87" s="341"/>
      <c r="N87" s="341"/>
      <c r="O87" s="341"/>
      <c r="P87" s="341"/>
      <c r="Q87" s="341"/>
      <c r="R87" s="341"/>
      <c r="S87" s="341"/>
      <c r="T87" s="341"/>
      <c r="U87" s="341"/>
      <c r="V87" s="341"/>
      <c r="W87" s="345"/>
      <c r="X87" s="345"/>
      <c r="Y87" s="345"/>
      <c r="Z87" s="345"/>
      <c r="AA87" s="345"/>
      <c r="AB87" s="345"/>
      <c r="AC87" s="345"/>
      <c r="AD87" s="345"/>
      <c r="AE87" s="345"/>
      <c r="AF87" s="345"/>
      <c r="AG87" s="345"/>
      <c r="AH87" s="345"/>
      <c r="AI87" s="345"/>
      <c r="AJ87" s="345"/>
      <c r="AK87" s="345"/>
      <c r="AL87" s="345"/>
      <c r="AM87" s="345"/>
      <c r="AN87" s="345"/>
      <c r="AO87" s="345"/>
      <c r="AP87" s="345"/>
      <c r="AQ87" s="345"/>
      <c r="AR87" s="345"/>
      <c r="AS87" s="345"/>
      <c r="AT87" s="345"/>
      <c r="AU87" s="345"/>
      <c r="AV87" s="345"/>
      <c r="AW87" s="345"/>
      <c r="AX87" s="345"/>
      <c r="AY87" s="345"/>
      <c r="AZ87" s="345"/>
      <c r="BA87" s="345"/>
      <c r="BB87" s="345"/>
      <c r="BC87" s="345"/>
      <c r="BD87" s="345"/>
      <c r="BE87" s="345"/>
      <c r="BF87" s="345"/>
      <c r="BG87" s="345"/>
      <c r="BH87" s="345"/>
      <c r="BI87" s="345"/>
      <c r="BJ87" s="345"/>
      <c r="BK87" s="345"/>
      <c r="BL87" s="345"/>
      <c r="BM87" s="345"/>
      <c r="BN87" s="345"/>
      <c r="BO87" s="345"/>
      <c r="BP87" s="341"/>
      <c r="BQ87" s="341"/>
      <c r="BR87" s="341"/>
      <c r="BS87" s="341"/>
      <c r="BT87" s="341"/>
      <c r="BU87" s="341"/>
      <c r="BV87" s="341"/>
      <c r="BW87" s="341"/>
      <c r="BX87" s="341"/>
      <c r="BY87" s="341"/>
      <c r="BZ87" s="341"/>
      <c r="CA87" s="341"/>
      <c r="CB87" s="341"/>
      <c r="CC87" s="341"/>
      <c r="CD87" s="341"/>
      <c r="CE87" s="341"/>
      <c r="CF87" s="341"/>
    </row>
    <row r="88" spans="1:84" ht="16">
      <c r="A88" s="359">
        <v>90</v>
      </c>
      <c r="B88" s="341" t="s">
        <v>29</v>
      </c>
      <c r="C88" s="341"/>
      <c r="D88" s="341"/>
      <c r="E88" s="341"/>
      <c r="F88" s="341"/>
      <c r="G88" s="341"/>
      <c r="H88" s="341"/>
      <c r="I88" s="341"/>
      <c r="J88" s="341"/>
      <c r="K88" s="341"/>
      <c r="L88" s="341"/>
      <c r="M88" s="341"/>
      <c r="N88" s="341"/>
      <c r="O88" s="341"/>
      <c r="P88" s="341"/>
      <c r="Q88" s="341"/>
      <c r="R88" s="341"/>
      <c r="S88" s="341"/>
      <c r="T88" s="341"/>
      <c r="U88" s="341"/>
      <c r="V88" s="341"/>
      <c r="W88" s="360"/>
      <c r="X88" s="360"/>
      <c r="Y88" s="360"/>
      <c r="Z88" s="360"/>
      <c r="AA88" s="360"/>
      <c r="AB88" s="360"/>
      <c r="AC88" s="360"/>
      <c r="AD88" s="360"/>
      <c r="AE88" s="360"/>
      <c r="AF88" s="360"/>
      <c r="AG88" s="360"/>
      <c r="AH88" s="360"/>
      <c r="AI88" s="360"/>
      <c r="AJ88" s="360"/>
      <c r="AK88" s="360"/>
      <c r="AL88" s="360"/>
      <c r="AM88" s="360"/>
      <c r="AN88" s="360"/>
      <c r="AO88" s="360"/>
      <c r="AP88" s="360"/>
      <c r="AQ88" s="360"/>
      <c r="AR88" s="360"/>
      <c r="AS88" s="360"/>
      <c r="AT88" s="360"/>
      <c r="AU88" s="360"/>
      <c r="AV88" s="360"/>
      <c r="AW88" s="360"/>
      <c r="AX88" s="360"/>
      <c r="AY88" s="360"/>
      <c r="AZ88" s="360"/>
      <c r="BA88" s="360"/>
      <c r="BB88" s="360"/>
      <c r="BC88" s="360"/>
      <c r="BD88" s="360"/>
      <c r="BE88" s="360"/>
      <c r="BF88" s="360"/>
      <c r="BG88" s="360"/>
      <c r="BH88" s="360"/>
      <c r="BI88" s="360"/>
      <c r="BJ88" s="360"/>
      <c r="BK88" s="360"/>
      <c r="BL88" s="360"/>
      <c r="BM88" s="360"/>
      <c r="BN88" s="360"/>
      <c r="BO88" s="360"/>
      <c r="BP88" s="341"/>
      <c r="BQ88" s="341"/>
      <c r="BR88" s="341"/>
      <c r="BS88" s="341"/>
      <c r="BT88" s="341"/>
      <c r="BU88" s="341"/>
      <c r="BV88" s="341"/>
      <c r="BW88" s="341"/>
      <c r="BX88" s="341"/>
      <c r="BY88" s="341"/>
      <c r="BZ88" s="341"/>
      <c r="CA88" s="341"/>
      <c r="CB88" s="341"/>
      <c r="CC88" s="341"/>
      <c r="CD88" s="341"/>
      <c r="CE88" s="341"/>
      <c r="CF88" s="341"/>
    </row>
    <row r="89" spans="1:84" ht="16">
      <c r="A89" s="341" t="s">
        <v>80</v>
      </c>
      <c r="B89" s="361">
        <f t="shared" ref="B89:AU89" si="181">(B73/B66)*$A$88</f>
        <v>18.937691521961185</v>
      </c>
      <c r="C89" s="361">
        <f t="shared" si="181"/>
        <v>11.374233128834355</v>
      </c>
      <c r="D89" s="361">
        <f t="shared" si="181"/>
        <v>63.328050713153722</v>
      </c>
      <c r="E89" s="361">
        <f t="shared" si="181"/>
        <v>33.333333333333329</v>
      </c>
      <c r="F89" s="361">
        <f t="shared" si="181"/>
        <v>27.660550458715594</v>
      </c>
      <c r="G89" s="361">
        <f t="shared" si="181"/>
        <v>2.7027027027027026</v>
      </c>
      <c r="H89" s="361">
        <f t="shared" si="181"/>
        <v>70.741258741258733</v>
      </c>
      <c r="I89" s="361">
        <f t="shared" si="181"/>
        <v>44.618284637134778</v>
      </c>
      <c r="J89" s="361">
        <f t="shared" si="181"/>
        <v>24.078947368421051</v>
      </c>
      <c r="K89" s="361">
        <f t="shared" si="181"/>
        <v>10.460732984293195</v>
      </c>
      <c r="L89" s="361">
        <f t="shared" si="181"/>
        <v>81.392405063291136</v>
      </c>
      <c r="M89" s="361">
        <f t="shared" si="181"/>
        <v>37.288503253796101</v>
      </c>
      <c r="N89" s="361">
        <f t="shared" si="181"/>
        <v>23.225806451612904</v>
      </c>
      <c r="O89" s="361">
        <f t="shared" si="181"/>
        <v>11.380400421496313</v>
      </c>
      <c r="P89" s="361">
        <f t="shared" si="181"/>
        <v>76.920863309352512</v>
      </c>
      <c r="Q89" s="361">
        <f t="shared" si="181"/>
        <v>58.589108910891092</v>
      </c>
      <c r="R89" s="361">
        <f t="shared" si="181"/>
        <v>26.206589492430986</v>
      </c>
      <c r="S89" s="361">
        <f t="shared" si="181"/>
        <v>16.235584843492585</v>
      </c>
      <c r="T89" s="361">
        <f t="shared" si="181"/>
        <v>75.36363636363636</v>
      </c>
      <c r="U89" s="361">
        <f t="shared" si="181"/>
        <v>39.00532859680284</v>
      </c>
      <c r="V89" s="361">
        <f t="shared" si="181"/>
        <v>27.49367088607595</v>
      </c>
      <c r="W89" s="361">
        <f t="shared" si="181"/>
        <v>10.773067331670823</v>
      </c>
      <c r="X89" s="361">
        <f t="shared" si="181"/>
        <v>81.386503067484668</v>
      </c>
      <c r="Y89" s="361">
        <f t="shared" si="181"/>
        <v>52.233644859813083</v>
      </c>
      <c r="Z89" s="361">
        <f t="shared" si="181"/>
        <v>16.032110091743121</v>
      </c>
      <c r="AA89" s="361">
        <f t="shared" si="181"/>
        <v>17.419354838709676</v>
      </c>
      <c r="AB89" s="361">
        <f t="shared" si="181"/>
        <v>72.461024498886417</v>
      </c>
      <c r="AC89" s="361">
        <f t="shared" si="181"/>
        <v>45.979112271540473</v>
      </c>
      <c r="AD89" s="361">
        <f t="shared" si="181"/>
        <v>21.159135559921413</v>
      </c>
      <c r="AE89" s="361">
        <f t="shared" si="181"/>
        <v>13.788819875776397</v>
      </c>
      <c r="AF89" s="361">
        <f t="shared" si="181"/>
        <v>76.204379562043798</v>
      </c>
      <c r="AG89" s="361">
        <f t="shared" si="181"/>
        <v>68.741379310344826</v>
      </c>
      <c r="AH89" s="361">
        <f t="shared" si="181"/>
        <v>21.902654867256636</v>
      </c>
      <c r="AI89" s="361">
        <f t="shared" si="181"/>
        <v>29.366754617414248</v>
      </c>
      <c r="AJ89" s="361">
        <f t="shared" si="181"/>
        <v>67.604976671850693</v>
      </c>
      <c r="AK89" s="361">
        <f t="shared" si="181"/>
        <v>56.276183087664862</v>
      </c>
      <c r="AL89" s="361">
        <f t="shared" si="181"/>
        <v>45.290791599353796</v>
      </c>
      <c r="AM89" s="361">
        <f t="shared" si="181"/>
        <v>24.491315136476427</v>
      </c>
      <c r="AN89" s="361">
        <f t="shared" si="181"/>
        <v>57.151335311572709</v>
      </c>
      <c r="AO89" s="361">
        <f t="shared" si="181"/>
        <v>45.084745762711869</v>
      </c>
      <c r="AP89" s="361">
        <f t="shared" si="181"/>
        <v>29.913482335976926</v>
      </c>
      <c r="AQ89" s="361">
        <f t="shared" si="181"/>
        <v>31.274845784784102</v>
      </c>
      <c r="AR89" s="361">
        <f t="shared" si="181"/>
        <v>33.075586446568202</v>
      </c>
      <c r="AS89" s="361">
        <f t="shared" si="181"/>
        <v>41.852958756724448</v>
      </c>
      <c r="AT89" s="361">
        <f t="shared" si="181"/>
        <v>34.836552748885588</v>
      </c>
      <c r="AU89" s="361">
        <f t="shared" si="181"/>
        <v>32.321083172146999</v>
      </c>
      <c r="AV89" s="361">
        <f t="shared" ref="AV89" si="182">(AV73/AV66)*$A$88</f>
        <v>50.815991237677984</v>
      </c>
      <c r="AW89" s="362">
        <v>60</v>
      </c>
      <c r="AX89" s="362">
        <v>60</v>
      </c>
      <c r="AY89" s="362">
        <f>AU89</f>
        <v>32.321083172146999</v>
      </c>
      <c r="AZ89" s="362">
        <f>AV89</f>
        <v>50.815991237677984</v>
      </c>
      <c r="BA89" s="362">
        <f>AW89</f>
        <v>60</v>
      </c>
      <c r="BB89" s="362">
        <f>AX89-2</f>
        <v>58</v>
      </c>
      <c r="BC89" s="362">
        <f>AY89</f>
        <v>32.321083172146999</v>
      </c>
      <c r="BD89" s="362">
        <f>AZ89</f>
        <v>50.815991237677984</v>
      </c>
      <c r="BE89" s="362">
        <f>BA89</f>
        <v>60</v>
      </c>
      <c r="BF89" s="362">
        <f>BB89+3</f>
        <v>61</v>
      </c>
      <c r="BG89" s="362">
        <f t="shared" ref="BG89:BN89" si="183">BC89</f>
        <v>32.321083172146999</v>
      </c>
      <c r="BH89" s="362">
        <f t="shared" si="183"/>
        <v>50.815991237677984</v>
      </c>
      <c r="BI89" s="362">
        <f t="shared" si="183"/>
        <v>60</v>
      </c>
      <c r="BJ89" s="362">
        <f t="shared" si="183"/>
        <v>61</v>
      </c>
      <c r="BK89" s="362">
        <f t="shared" si="183"/>
        <v>32.321083172146999</v>
      </c>
      <c r="BL89" s="362">
        <f t="shared" si="183"/>
        <v>50.815991237677984</v>
      </c>
      <c r="BM89" s="362">
        <f t="shared" si="183"/>
        <v>60</v>
      </c>
      <c r="BN89" s="362">
        <f t="shared" si="183"/>
        <v>61</v>
      </c>
      <c r="BO89" s="362"/>
      <c r="BP89" s="341"/>
      <c r="BQ89" s="341"/>
      <c r="BR89" s="341"/>
      <c r="BS89" s="341"/>
      <c r="BT89" s="341"/>
      <c r="BU89" s="341"/>
      <c r="BV89" s="341"/>
      <c r="BW89" s="341"/>
      <c r="BX89" s="341"/>
      <c r="BY89" s="341"/>
      <c r="BZ89" s="341"/>
      <c r="CA89" s="341"/>
      <c r="CB89" s="341"/>
      <c r="CC89" s="341"/>
      <c r="CD89" s="341"/>
      <c r="CE89" s="341"/>
      <c r="CF89" s="341"/>
    </row>
    <row r="90" spans="1:84" ht="16">
      <c r="A90" s="341" t="s">
        <v>107</v>
      </c>
      <c r="B90" s="361">
        <f t="shared" ref="B90:AC90" si="184">B67/B74</f>
        <v>2.96</v>
      </c>
      <c r="C90" s="361">
        <f t="shared" si="184"/>
        <v>2.6585365853658538</v>
      </c>
      <c r="D90" s="361">
        <f t="shared" si="184"/>
        <v>2.3290322580645162</v>
      </c>
      <c r="E90" s="361">
        <f t="shared" si="184"/>
        <v>5.5428571428571427</v>
      </c>
      <c r="F90" s="361">
        <f t="shared" si="184"/>
        <v>4.220779220779221</v>
      </c>
      <c r="G90" s="361">
        <f t="shared" si="184"/>
        <v>3.1466666666666665</v>
      </c>
      <c r="H90" s="361">
        <f t="shared" si="184"/>
        <v>4.7111111111111112</v>
      </c>
      <c r="I90" s="361">
        <f t="shared" si="184"/>
        <v>7.7971014492753623</v>
      </c>
      <c r="J90" s="361">
        <f t="shared" si="184"/>
        <v>5.8644067796610173</v>
      </c>
      <c r="K90" s="361">
        <f t="shared" si="184"/>
        <v>3.15</v>
      </c>
      <c r="L90" s="361">
        <f t="shared" si="184"/>
        <v>6.070422535211268</v>
      </c>
      <c r="M90" s="361">
        <f t="shared" si="184"/>
        <v>6.8813559322033901</v>
      </c>
      <c r="N90" s="361">
        <f t="shared" si="184"/>
        <v>6.3571428571428568</v>
      </c>
      <c r="O90" s="361">
        <f t="shared" si="184"/>
        <v>4.3658536585365857</v>
      </c>
      <c r="P90" s="361">
        <f t="shared" si="184"/>
        <v>6.8620689655172411</v>
      </c>
      <c r="Q90" s="361">
        <f t="shared" si="184"/>
        <v>9.1090909090909093</v>
      </c>
      <c r="R90" s="361">
        <f t="shared" si="184"/>
        <v>3.6964285714285716</v>
      </c>
      <c r="S90" s="361">
        <f t="shared" si="184"/>
        <v>6.243243243243243</v>
      </c>
      <c r="T90" s="361">
        <f t="shared" si="184"/>
        <v>6.1791044776119399</v>
      </c>
      <c r="U90" s="361">
        <f t="shared" si="184"/>
        <v>9.9487179487179489</v>
      </c>
      <c r="V90" s="361">
        <f t="shared" si="184"/>
        <v>6.1111111111111107</v>
      </c>
      <c r="W90" s="361">
        <f t="shared" si="184"/>
        <v>4.7352941176470589</v>
      </c>
      <c r="X90" s="361">
        <f t="shared" si="184"/>
        <v>6.403225806451613</v>
      </c>
      <c r="Y90" s="361">
        <f t="shared" si="184"/>
        <v>12.714285714285714</v>
      </c>
      <c r="Z90" s="361">
        <f t="shared" si="184"/>
        <v>6.4545454545454541</v>
      </c>
      <c r="AA90" s="361">
        <f t="shared" si="184"/>
        <v>6.3461538461538458</v>
      </c>
      <c r="AB90" s="361">
        <f t="shared" si="184"/>
        <v>7.76</v>
      </c>
      <c r="AC90" s="361">
        <f t="shared" si="184"/>
        <v>14.228571428571428</v>
      </c>
      <c r="AD90" s="363" t="s">
        <v>17</v>
      </c>
      <c r="AE90" s="363" t="s">
        <v>17</v>
      </c>
      <c r="AF90" s="363" t="s">
        <v>17</v>
      </c>
      <c r="AG90" s="363" t="s">
        <v>17</v>
      </c>
      <c r="AH90" s="363" t="s">
        <v>17</v>
      </c>
      <c r="AI90" s="363" t="s">
        <v>17</v>
      </c>
      <c r="AJ90" s="363" t="s">
        <v>17</v>
      </c>
      <c r="AK90" s="363" t="s">
        <v>17</v>
      </c>
      <c r="AL90" s="363" t="s">
        <v>17</v>
      </c>
      <c r="AM90" s="363" t="s">
        <v>17</v>
      </c>
      <c r="AN90" s="363" t="s">
        <v>17</v>
      </c>
      <c r="AO90" s="363" t="s">
        <v>17</v>
      </c>
      <c r="AP90" s="363" t="s">
        <v>17</v>
      </c>
      <c r="AQ90" s="363" t="s">
        <v>17</v>
      </c>
      <c r="AR90" s="363" t="s">
        <v>17</v>
      </c>
      <c r="AS90" s="363" t="s">
        <v>17</v>
      </c>
      <c r="AT90" s="363" t="s">
        <v>17</v>
      </c>
      <c r="AU90" s="363" t="s">
        <v>17</v>
      </c>
      <c r="AV90" s="363" t="s">
        <v>17</v>
      </c>
      <c r="AW90" s="363" t="s">
        <v>17</v>
      </c>
      <c r="AX90" s="363" t="s">
        <v>17</v>
      </c>
      <c r="AY90" s="363" t="s">
        <v>17</v>
      </c>
      <c r="AZ90" s="363" t="s">
        <v>17</v>
      </c>
      <c r="BA90" s="363" t="s">
        <v>17</v>
      </c>
      <c r="BB90" s="363" t="s">
        <v>17</v>
      </c>
      <c r="BC90" s="363" t="s">
        <v>17</v>
      </c>
      <c r="BD90" s="363" t="s">
        <v>17</v>
      </c>
      <c r="BE90" s="363" t="s">
        <v>17</v>
      </c>
      <c r="BF90" s="363" t="s">
        <v>17</v>
      </c>
      <c r="BG90" s="363" t="s">
        <v>17</v>
      </c>
      <c r="BH90" s="363" t="s">
        <v>17</v>
      </c>
      <c r="BI90" s="363" t="s">
        <v>17</v>
      </c>
      <c r="BJ90" s="363" t="s">
        <v>17</v>
      </c>
      <c r="BK90" s="363" t="s">
        <v>17</v>
      </c>
      <c r="BL90" s="363" t="s">
        <v>17</v>
      </c>
      <c r="BM90" s="363" t="s">
        <v>17</v>
      </c>
      <c r="BN90" s="363" t="s">
        <v>17</v>
      </c>
      <c r="BO90" s="363"/>
      <c r="BP90" s="341"/>
      <c r="BQ90" s="341"/>
      <c r="BR90" s="341"/>
      <c r="BS90" s="341"/>
      <c r="BT90" s="341"/>
      <c r="BU90" s="341"/>
      <c r="BV90" s="341"/>
      <c r="BW90" s="341"/>
      <c r="BX90" s="341"/>
      <c r="BY90" s="341"/>
      <c r="BZ90" s="341"/>
      <c r="CA90" s="341"/>
      <c r="CB90" s="341"/>
      <c r="CC90" s="341"/>
      <c r="CD90" s="341"/>
      <c r="CE90" s="341"/>
      <c r="CF90" s="341"/>
    </row>
    <row r="91" spans="1:84" ht="16">
      <c r="A91" s="341" t="s">
        <v>106</v>
      </c>
      <c r="B91" s="361">
        <f t="shared" ref="B91:AU91" si="185">B74/B67*$A$88</f>
        <v>30.405405405405403</v>
      </c>
      <c r="C91" s="361">
        <f t="shared" si="185"/>
        <v>33.853211009174316</v>
      </c>
      <c r="D91" s="361">
        <f t="shared" si="185"/>
        <v>38.642659279778393</v>
      </c>
      <c r="E91" s="361">
        <f t="shared" si="185"/>
        <v>16.237113402061855</v>
      </c>
      <c r="F91" s="361">
        <f t="shared" si="185"/>
        <v>21.323076923076925</v>
      </c>
      <c r="G91" s="361">
        <f t="shared" si="185"/>
        <v>28.601694915254235</v>
      </c>
      <c r="H91" s="361">
        <f t="shared" si="185"/>
        <v>19.10377358490566</v>
      </c>
      <c r="I91" s="361">
        <f t="shared" si="185"/>
        <v>11.542750929368029</v>
      </c>
      <c r="J91" s="361">
        <f t="shared" si="185"/>
        <v>15.346820809248555</v>
      </c>
      <c r="K91" s="361">
        <f t="shared" si="185"/>
        <v>28.571428571428569</v>
      </c>
      <c r="L91" s="361">
        <f t="shared" si="185"/>
        <v>14.825986078886311</v>
      </c>
      <c r="M91" s="361">
        <f t="shared" si="185"/>
        <v>13.078817733990146</v>
      </c>
      <c r="N91" s="361">
        <f t="shared" si="185"/>
        <v>14.157303370786517</v>
      </c>
      <c r="O91" s="361">
        <f t="shared" si="185"/>
        <v>20.614525139664806</v>
      </c>
      <c r="P91" s="361">
        <f t="shared" si="185"/>
        <v>13.115577889447236</v>
      </c>
      <c r="Q91" s="361">
        <f t="shared" si="185"/>
        <v>9.8802395209580833</v>
      </c>
      <c r="R91" s="361">
        <f t="shared" si="185"/>
        <v>24.34782608695652</v>
      </c>
      <c r="S91" s="361">
        <f t="shared" si="185"/>
        <v>14.415584415584414</v>
      </c>
      <c r="T91" s="361">
        <f t="shared" si="185"/>
        <v>14.565217391304348</v>
      </c>
      <c r="U91" s="361">
        <f t="shared" si="185"/>
        <v>9.0463917525773194</v>
      </c>
      <c r="V91" s="361">
        <f t="shared" si="185"/>
        <v>14.727272727272727</v>
      </c>
      <c r="W91" s="361">
        <f t="shared" si="185"/>
        <v>19.006211180124225</v>
      </c>
      <c r="X91" s="361">
        <f t="shared" si="185"/>
        <v>14.055415617128464</v>
      </c>
      <c r="Y91" s="361">
        <f t="shared" si="185"/>
        <v>7.0786516853932584</v>
      </c>
      <c r="Z91" s="361">
        <f t="shared" si="185"/>
        <v>13.943661971830984</v>
      </c>
      <c r="AA91" s="361">
        <f t="shared" si="185"/>
        <v>14.18181818181818</v>
      </c>
      <c r="AB91" s="361">
        <f t="shared" si="185"/>
        <v>11.597938144329895</v>
      </c>
      <c r="AC91" s="361">
        <f t="shared" si="185"/>
        <v>6.3253012048192767</v>
      </c>
      <c r="AD91" s="361">
        <f t="shared" si="185"/>
        <v>0</v>
      </c>
      <c r="AE91" s="361">
        <f t="shared" si="185"/>
        <v>0</v>
      </c>
      <c r="AF91" s="361">
        <f t="shared" si="185"/>
        <v>0</v>
      </c>
      <c r="AG91" s="361">
        <f t="shared" si="185"/>
        <v>0</v>
      </c>
      <c r="AH91" s="361">
        <f t="shared" si="185"/>
        <v>0</v>
      </c>
      <c r="AI91" s="361">
        <f t="shared" si="185"/>
        <v>0</v>
      </c>
      <c r="AJ91" s="361">
        <f t="shared" si="185"/>
        <v>0</v>
      </c>
      <c r="AK91" s="361">
        <f t="shared" si="185"/>
        <v>0</v>
      </c>
      <c r="AL91" s="361">
        <f t="shared" si="185"/>
        <v>0</v>
      </c>
      <c r="AM91" s="361">
        <f t="shared" si="185"/>
        <v>0</v>
      </c>
      <c r="AN91" s="361">
        <f t="shared" si="185"/>
        <v>0</v>
      </c>
      <c r="AO91" s="361">
        <f t="shared" si="185"/>
        <v>0</v>
      </c>
      <c r="AP91" s="361">
        <f t="shared" si="185"/>
        <v>0</v>
      </c>
      <c r="AQ91" s="361">
        <f t="shared" si="185"/>
        <v>0</v>
      </c>
      <c r="AR91" s="361">
        <f t="shared" si="185"/>
        <v>0</v>
      </c>
      <c r="AS91" s="361">
        <f t="shared" si="185"/>
        <v>0</v>
      </c>
      <c r="AT91" s="361">
        <f t="shared" si="185"/>
        <v>0</v>
      </c>
      <c r="AU91" s="361">
        <f t="shared" si="185"/>
        <v>0</v>
      </c>
      <c r="AV91" s="361">
        <f t="shared" ref="AV91" si="186">AV74/AV67*$A$88</f>
        <v>0</v>
      </c>
      <c r="AW91" s="362">
        <v>0</v>
      </c>
      <c r="AX91" s="362">
        <v>0</v>
      </c>
      <c r="AY91" s="362">
        <v>0</v>
      </c>
      <c r="AZ91" s="362">
        <v>0</v>
      </c>
      <c r="BA91" s="362">
        <v>0</v>
      </c>
      <c r="BB91" s="362">
        <v>0</v>
      </c>
      <c r="BC91" s="362">
        <v>0</v>
      </c>
      <c r="BD91" s="362">
        <v>0</v>
      </c>
      <c r="BE91" s="362">
        <v>0</v>
      </c>
      <c r="BF91" s="362">
        <v>0</v>
      </c>
      <c r="BG91" s="362">
        <v>0</v>
      </c>
      <c r="BH91" s="362">
        <v>0</v>
      </c>
      <c r="BI91" s="362">
        <v>0</v>
      </c>
      <c r="BJ91" s="362">
        <v>0</v>
      </c>
      <c r="BK91" s="362">
        <v>0</v>
      </c>
      <c r="BL91" s="362">
        <v>0</v>
      </c>
      <c r="BM91" s="362">
        <v>0</v>
      </c>
      <c r="BN91" s="362">
        <v>0</v>
      </c>
      <c r="BO91" s="362"/>
      <c r="BP91" s="341"/>
      <c r="BQ91" s="341"/>
      <c r="BR91" s="341"/>
      <c r="BS91" s="341"/>
      <c r="BT91" s="341"/>
      <c r="BU91" s="341"/>
      <c r="BV91" s="341"/>
      <c r="BW91" s="341"/>
      <c r="BX91" s="341"/>
      <c r="BY91" s="341"/>
      <c r="BZ91" s="341"/>
      <c r="CA91" s="341"/>
      <c r="CB91" s="341"/>
      <c r="CC91" s="341"/>
      <c r="CD91" s="341"/>
      <c r="CE91" s="341"/>
      <c r="CF91" s="341"/>
    </row>
    <row r="92" spans="1:84" ht="16">
      <c r="A92" s="326" t="s">
        <v>161</v>
      </c>
      <c r="B92" s="342">
        <f t="shared" ref="B92:AU92" si="187">B75/B68</f>
        <v>1.2571428571428571</v>
      </c>
      <c r="C92" s="342">
        <f t="shared" si="187"/>
        <v>1.303030303030303</v>
      </c>
      <c r="D92" s="342">
        <f t="shared" si="187"/>
        <v>0.70967741935483875</v>
      </c>
      <c r="E92" s="342">
        <f t="shared" si="187"/>
        <v>0.73333333333333328</v>
      </c>
      <c r="F92" s="342">
        <f t="shared" si="187"/>
        <v>1.9310344827586208</v>
      </c>
      <c r="G92" s="342">
        <f t="shared" si="187"/>
        <v>1.9333333333333333</v>
      </c>
      <c r="H92" s="342">
        <f t="shared" si="187"/>
        <v>2.5526315789473686</v>
      </c>
      <c r="I92" s="342">
        <f t="shared" si="187"/>
        <v>2.13953488372093</v>
      </c>
      <c r="J92" s="342">
        <f t="shared" si="187"/>
        <v>1.0806451612903225</v>
      </c>
      <c r="K92" s="342">
        <f t="shared" si="187"/>
        <v>1.3877551020408163</v>
      </c>
      <c r="L92" s="342">
        <f t="shared" si="187"/>
        <v>1.3061224489795917</v>
      </c>
      <c r="M92" s="342">
        <f t="shared" si="187"/>
        <v>1.1355932203389831</v>
      </c>
      <c r="N92" s="342">
        <f t="shared" si="187"/>
        <v>0.67532467532467533</v>
      </c>
      <c r="O92" s="342">
        <f t="shared" si="187"/>
        <v>0.98076923076923073</v>
      </c>
      <c r="P92" s="342">
        <f t="shared" si="187"/>
        <v>0.98076923076923073</v>
      </c>
      <c r="Q92" s="342">
        <f t="shared" si="187"/>
        <v>0.94444444444444442</v>
      </c>
      <c r="R92" s="342">
        <f t="shared" si="187"/>
        <v>1.3962264150943395</v>
      </c>
      <c r="S92" s="342">
        <f t="shared" si="187"/>
        <v>1.0943396226415094</v>
      </c>
      <c r="T92" s="342">
        <f t="shared" si="187"/>
        <v>1.1153846153846154</v>
      </c>
      <c r="U92" s="342">
        <f t="shared" si="187"/>
        <v>1.1632653061224489</v>
      </c>
      <c r="V92" s="342">
        <f t="shared" si="187"/>
        <v>1.0384615384615385</v>
      </c>
      <c r="W92" s="342">
        <f t="shared" si="187"/>
        <v>1.1041666666666667</v>
      </c>
      <c r="X92" s="342">
        <f t="shared" si="187"/>
        <v>0.97872340425531912</v>
      </c>
      <c r="Y92" s="342">
        <f t="shared" si="187"/>
        <v>0.95833333333333337</v>
      </c>
      <c r="Z92" s="342">
        <f t="shared" si="187"/>
        <v>0</v>
      </c>
      <c r="AA92" s="342">
        <f t="shared" si="187"/>
        <v>0</v>
      </c>
      <c r="AB92" s="342">
        <f t="shared" si="187"/>
        <v>0</v>
      </c>
      <c r="AC92" s="342">
        <f t="shared" si="187"/>
        <v>0</v>
      </c>
      <c r="AD92" s="342">
        <f t="shared" si="187"/>
        <v>0</v>
      </c>
      <c r="AE92" s="342">
        <f t="shared" si="187"/>
        <v>0</v>
      </c>
      <c r="AF92" s="342">
        <f t="shared" si="187"/>
        <v>0</v>
      </c>
      <c r="AG92" s="342">
        <f t="shared" si="187"/>
        <v>0</v>
      </c>
      <c r="AH92" s="342">
        <f t="shared" si="187"/>
        <v>0</v>
      </c>
      <c r="AI92" s="342">
        <f t="shared" si="187"/>
        <v>0</v>
      </c>
      <c r="AJ92" s="342">
        <f t="shared" si="187"/>
        <v>0</v>
      </c>
      <c r="AK92" s="342">
        <f t="shared" si="187"/>
        <v>0</v>
      </c>
      <c r="AL92" s="342">
        <f t="shared" si="187"/>
        <v>0</v>
      </c>
      <c r="AM92" s="342">
        <f t="shared" si="187"/>
        <v>0</v>
      </c>
      <c r="AN92" s="342">
        <f t="shared" si="187"/>
        <v>0</v>
      </c>
      <c r="AO92" s="342">
        <f t="shared" si="187"/>
        <v>0</v>
      </c>
      <c r="AP92" s="342">
        <f t="shared" si="187"/>
        <v>0</v>
      </c>
      <c r="AQ92" s="342">
        <f t="shared" si="187"/>
        <v>0</v>
      </c>
      <c r="AR92" s="342">
        <f t="shared" si="187"/>
        <v>0</v>
      </c>
      <c r="AS92" s="342">
        <f t="shared" si="187"/>
        <v>0</v>
      </c>
      <c r="AT92" s="342">
        <f t="shared" si="187"/>
        <v>0</v>
      </c>
      <c r="AU92" s="342">
        <f t="shared" si="187"/>
        <v>0</v>
      </c>
      <c r="AV92" s="342">
        <f t="shared" ref="AV92" si="188">AV75/AV68</f>
        <v>0</v>
      </c>
      <c r="AW92" s="364">
        <f t="shared" ref="AW92:BN92" si="189">AV92</f>
        <v>0</v>
      </c>
      <c r="AX92" s="364">
        <f t="shared" si="189"/>
        <v>0</v>
      </c>
      <c r="AY92" s="364">
        <f t="shared" si="189"/>
        <v>0</v>
      </c>
      <c r="AZ92" s="364">
        <f t="shared" si="189"/>
        <v>0</v>
      </c>
      <c r="BA92" s="364">
        <f t="shared" si="189"/>
        <v>0</v>
      </c>
      <c r="BB92" s="364">
        <f t="shared" si="189"/>
        <v>0</v>
      </c>
      <c r="BC92" s="364">
        <f t="shared" si="189"/>
        <v>0</v>
      </c>
      <c r="BD92" s="364">
        <f t="shared" si="189"/>
        <v>0</v>
      </c>
      <c r="BE92" s="364">
        <f t="shared" si="189"/>
        <v>0</v>
      </c>
      <c r="BF92" s="364">
        <f t="shared" si="189"/>
        <v>0</v>
      </c>
      <c r="BG92" s="364">
        <f t="shared" si="189"/>
        <v>0</v>
      </c>
      <c r="BH92" s="364">
        <f t="shared" si="189"/>
        <v>0</v>
      </c>
      <c r="BI92" s="364">
        <f t="shared" si="189"/>
        <v>0</v>
      </c>
      <c r="BJ92" s="364">
        <f t="shared" si="189"/>
        <v>0</v>
      </c>
      <c r="BK92" s="364">
        <f t="shared" si="189"/>
        <v>0</v>
      </c>
      <c r="BL92" s="364">
        <f t="shared" si="189"/>
        <v>0</v>
      </c>
      <c r="BM92" s="364">
        <f t="shared" si="189"/>
        <v>0</v>
      </c>
      <c r="BN92" s="364">
        <f t="shared" si="189"/>
        <v>0</v>
      </c>
      <c r="BO92" s="365"/>
      <c r="BP92" s="341"/>
      <c r="BQ92" s="341"/>
      <c r="BR92" s="341"/>
      <c r="BS92" s="341"/>
      <c r="BT92" s="341"/>
      <c r="BU92" s="341"/>
      <c r="BV92" s="341"/>
      <c r="BW92" s="341"/>
      <c r="BX92" s="341"/>
      <c r="BY92" s="341"/>
      <c r="BZ92" s="341"/>
      <c r="CA92" s="341"/>
      <c r="CB92" s="341"/>
      <c r="CC92" s="341"/>
      <c r="CD92" s="341"/>
      <c r="CE92" s="341"/>
      <c r="CF92" s="341"/>
    </row>
    <row r="93" spans="1:84" ht="16">
      <c r="A93" s="326" t="s">
        <v>160</v>
      </c>
      <c r="B93" s="342">
        <f t="shared" ref="B93:AU93" si="190">B76/B66</f>
        <v>0.24412665985699694</v>
      </c>
      <c r="C93" s="342">
        <f t="shared" si="190"/>
        <v>0.33128834355828218</v>
      </c>
      <c r="D93" s="342">
        <f t="shared" si="190"/>
        <v>0.32805071315372425</v>
      </c>
      <c r="E93" s="342">
        <f t="shared" si="190"/>
        <v>0.21462488129154797</v>
      </c>
      <c r="F93" s="342">
        <f t="shared" si="190"/>
        <v>0.3</v>
      </c>
      <c r="G93" s="342">
        <f t="shared" si="190"/>
        <v>0.34334334334334332</v>
      </c>
      <c r="H93" s="342">
        <f t="shared" si="190"/>
        <v>0.44755244755244755</v>
      </c>
      <c r="I93" s="342">
        <f t="shared" si="190"/>
        <v>0.30914231856738927</v>
      </c>
      <c r="J93" s="342">
        <f t="shared" si="190"/>
        <v>0.195906432748538</v>
      </c>
      <c r="K93" s="342">
        <f t="shared" si="190"/>
        <v>0.28586387434554972</v>
      </c>
      <c r="L93" s="342">
        <f t="shared" si="190"/>
        <v>0.3361462728551336</v>
      </c>
      <c r="M93" s="342">
        <f t="shared" si="190"/>
        <v>0.24837310195227766</v>
      </c>
      <c r="N93" s="342">
        <f t="shared" si="190"/>
        <v>0.19768403639371382</v>
      </c>
      <c r="O93" s="342">
        <f t="shared" si="190"/>
        <v>0.27502634351949423</v>
      </c>
      <c r="P93" s="342">
        <f t="shared" si="190"/>
        <v>0.31510791366906477</v>
      </c>
      <c r="Q93" s="342">
        <f t="shared" si="190"/>
        <v>0.27103960396039606</v>
      </c>
      <c r="R93" s="342">
        <f t="shared" si="190"/>
        <v>0.28138913624220835</v>
      </c>
      <c r="S93" s="342">
        <f t="shared" si="190"/>
        <v>0.24711696869851729</v>
      </c>
      <c r="T93" s="342">
        <f t="shared" si="190"/>
        <v>0.19191919191919191</v>
      </c>
      <c r="U93" s="342">
        <f t="shared" si="190"/>
        <v>0.20426287744227353</v>
      </c>
      <c r="V93" s="342">
        <f t="shared" si="190"/>
        <v>0.20843881856540084</v>
      </c>
      <c r="W93" s="342">
        <f t="shared" si="190"/>
        <v>0.17955112219451372</v>
      </c>
      <c r="X93" s="342">
        <f t="shared" si="190"/>
        <v>0.26134969325153373</v>
      </c>
      <c r="Y93" s="342">
        <f t="shared" si="190"/>
        <v>0.2</v>
      </c>
      <c r="Z93" s="342">
        <f t="shared" si="190"/>
        <v>0.19418960244648317</v>
      </c>
      <c r="AA93" s="342">
        <f t="shared" si="190"/>
        <v>0.21479150275373721</v>
      </c>
      <c r="AB93" s="342">
        <f t="shared" si="190"/>
        <v>0.24610244988864144</v>
      </c>
      <c r="AC93" s="342">
        <f t="shared" si="190"/>
        <v>0.22628372497824195</v>
      </c>
      <c r="AD93" s="342">
        <f t="shared" si="190"/>
        <v>0.2017026850032744</v>
      </c>
      <c r="AE93" s="342">
        <f t="shared" si="190"/>
        <v>0.14492753623188406</v>
      </c>
      <c r="AF93" s="342">
        <f t="shared" si="190"/>
        <v>0.2586027111574557</v>
      </c>
      <c r="AG93" s="342">
        <f t="shared" si="190"/>
        <v>0.16896551724137931</v>
      </c>
      <c r="AH93" s="342">
        <f t="shared" si="190"/>
        <v>0.1820480404551201</v>
      </c>
      <c r="AI93" s="342">
        <f t="shared" si="190"/>
        <v>0.24802110817941952</v>
      </c>
      <c r="AJ93" s="342">
        <f t="shared" si="190"/>
        <v>0.22706065318818042</v>
      </c>
      <c r="AK93" s="342">
        <f t="shared" si="190"/>
        <v>0.21722265321955003</v>
      </c>
      <c r="AL93" s="342">
        <f t="shared" si="190"/>
        <v>0.25282714054927302</v>
      </c>
      <c r="AM93" s="342">
        <f t="shared" si="190"/>
        <v>0.23490488006617039</v>
      </c>
      <c r="AN93" s="342">
        <f t="shared" si="190"/>
        <v>0.22329376854599406</v>
      </c>
      <c r="AO93" s="342">
        <f t="shared" si="190"/>
        <v>0.14375392341494037</v>
      </c>
      <c r="AP93" s="342">
        <f t="shared" si="190"/>
        <v>0.23143475126171592</v>
      </c>
      <c r="AQ93" s="342">
        <f t="shared" si="190"/>
        <v>0.15284441398217957</v>
      </c>
      <c r="AR93" s="342">
        <f t="shared" si="190"/>
        <v>0.32667245873153777</v>
      </c>
      <c r="AS93" s="342">
        <f t="shared" si="190"/>
        <v>0.13927077106993424</v>
      </c>
      <c r="AT93" s="342">
        <f t="shared" si="190"/>
        <v>0.24219910846953938</v>
      </c>
      <c r="AU93" s="342">
        <f t="shared" si="190"/>
        <v>0.25854287556415217</v>
      </c>
      <c r="AV93" s="342">
        <f t="shared" ref="AV93" si="191">AV76/AV66</f>
        <v>0.21193866374589265</v>
      </c>
      <c r="AW93" s="364">
        <f t="shared" ref="AW93:BE94" si="192">AS93</f>
        <v>0.13927077106993424</v>
      </c>
      <c r="AX93" s="364">
        <f t="shared" si="192"/>
        <v>0.24219910846953938</v>
      </c>
      <c r="AY93" s="364">
        <f t="shared" si="192"/>
        <v>0.25854287556415217</v>
      </c>
      <c r="AZ93" s="364">
        <f t="shared" si="192"/>
        <v>0.21193866374589265</v>
      </c>
      <c r="BA93" s="364">
        <f t="shared" si="192"/>
        <v>0.13927077106993424</v>
      </c>
      <c r="BB93" s="364">
        <v>0.2</v>
      </c>
      <c r="BC93" s="364">
        <f t="shared" si="192"/>
        <v>0.25854287556415217</v>
      </c>
      <c r="BD93" s="364">
        <f t="shared" si="192"/>
        <v>0.21193866374589265</v>
      </c>
      <c r="BE93" s="364">
        <f t="shared" si="192"/>
        <v>0.13927077106993424</v>
      </c>
      <c r="BF93" s="364">
        <v>0.19</v>
      </c>
      <c r="BG93" s="364">
        <f t="shared" ref="BF93:BN94" si="193">BC93</f>
        <v>0.25854287556415217</v>
      </c>
      <c r="BH93" s="364">
        <f t="shared" si="193"/>
        <v>0.21193866374589265</v>
      </c>
      <c r="BI93" s="364">
        <f t="shared" si="193"/>
        <v>0.13927077106993424</v>
      </c>
      <c r="BJ93" s="364">
        <f t="shared" si="193"/>
        <v>0.19</v>
      </c>
      <c r="BK93" s="364">
        <f t="shared" si="193"/>
        <v>0.25854287556415217</v>
      </c>
      <c r="BL93" s="364">
        <f t="shared" si="193"/>
        <v>0.21193866374589265</v>
      </c>
      <c r="BM93" s="364">
        <f t="shared" si="193"/>
        <v>0.13927077106993424</v>
      </c>
      <c r="BN93" s="364">
        <f t="shared" si="193"/>
        <v>0.19</v>
      </c>
      <c r="BO93" s="365"/>
      <c r="BP93" s="341"/>
      <c r="BQ93" s="341"/>
      <c r="BR93" s="341"/>
      <c r="BS93" s="341"/>
      <c r="BT93" s="341"/>
      <c r="BU93" s="341"/>
      <c r="BV93" s="341"/>
      <c r="BW93" s="341"/>
      <c r="BX93" s="341"/>
      <c r="BY93" s="341"/>
      <c r="BZ93" s="341"/>
      <c r="CA93" s="341"/>
      <c r="CB93" s="341"/>
      <c r="CC93" s="341"/>
      <c r="CD93" s="341"/>
      <c r="CE93" s="341"/>
      <c r="CF93" s="341"/>
    </row>
    <row r="94" spans="1:84" ht="16">
      <c r="A94" s="341" t="s">
        <v>30</v>
      </c>
      <c r="B94" s="366">
        <f t="shared" ref="B94:AU94" si="194">(B79/B67)*$A$88</f>
        <v>27.668918918918919</v>
      </c>
      <c r="C94" s="366">
        <f t="shared" si="194"/>
        <v>22.706422018348622</v>
      </c>
      <c r="D94" s="366">
        <f t="shared" si="194"/>
        <v>51.10803324099723</v>
      </c>
      <c r="E94" s="366">
        <f t="shared" si="194"/>
        <v>25.051546391752577</v>
      </c>
      <c r="F94" s="366">
        <f t="shared" si="194"/>
        <v>63.138461538461542</v>
      </c>
      <c r="G94" s="366">
        <f t="shared" si="194"/>
        <v>34.703389830508478</v>
      </c>
      <c r="H94" s="366">
        <f t="shared" si="194"/>
        <v>45.212264150943398</v>
      </c>
      <c r="I94" s="366">
        <f t="shared" si="194"/>
        <v>18.736059479553905</v>
      </c>
      <c r="J94" s="366">
        <f t="shared" si="194"/>
        <v>55.924855491329481</v>
      </c>
      <c r="K94" s="366">
        <f t="shared" si="194"/>
        <v>23.809523809523807</v>
      </c>
      <c r="L94" s="366">
        <f t="shared" si="194"/>
        <v>45.730858468677489</v>
      </c>
      <c r="M94" s="366">
        <f t="shared" si="194"/>
        <v>20.615763546798028</v>
      </c>
      <c r="N94" s="366">
        <f t="shared" si="194"/>
        <v>45.842696629213485</v>
      </c>
      <c r="O94" s="366">
        <f t="shared" si="194"/>
        <v>24.134078212290504</v>
      </c>
      <c r="P94" s="366">
        <f t="shared" si="194"/>
        <v>47.035175879396988</v>
      </c>
      <c r="Q94" s="366">
        <f t="shared" si="194"/>
        <v>24.610778443113773</v>
      </c>
      <c r="R94" s="366">
        <f t="shared" si="194"/>
        <v>51.739130434782609</v>
      </c>
      <c r="S94" s="366">
        <f t="shared" si="194"/>
        <v>26.883116883116884</v>
      </c>
      <c r="T94" s="366">
        <f t="shared" si="194"/>
        <v>41.521739130434781</v>
      </c>
      <c r="U94" s="366">
        <f t="shared" si="194"/>
        <v>17.86082474226804</v>
      </c>
      <c r="V94" s="366">
        <f t="shared" si="194"/>
        <v>27.818181818181817</v>
      </c>
      <c r="W94" s="366">
        <f t="shared" si="194"/>
        <v>24.037267080745341</v>
      </c>
      <c r="X94" s="366">
        <f t="shared" si="194"/>
        <v>42.619647355163728</v>
      </c>
      <c r="Y94" s="366">
        <f t="shared" si="194"/>
        <v>21.573033707865168</v>
      </c>
      <c r="Z94" s="366">
        <f t="shared" si="194"/>
        <v>37.605633802816897</v>
      </c>
      <c r="AA94" s="366">
        <f t="shared" si="194"/>
        <v>24</v>
      </c>
      <c r="AB94" s="366">
        <f t="shared" si="194"/>
        <v>47.783505154639172</v>
      </c>
      <c r="AC94" s="366">
        <f t="shared" si="194"/>
        <v>11.746987951807229</v>
      </c>
      <c r="AD94" s="366">
        <f t="shared" si="194"/>
        <v>38.955223880597011</v>
      </c>
      <c r="AE94" s="366">
        <f t="shared" si="194"/>
        <v>22.352941176470587</v>
      </c>
      <c r="AF94" s="366">
        <f t="shared" si="194"/>
        <v>43.376288659793815</v>
      </c>
      <c r="AG94" s="366">
        <f t="shared" si="194"/>
        <v>16.347305389221557</v>
      </c>
      <c r="AH94" s="366">
        <f t="shared" si="194"/>
        <v>18.714281410905475</v>
      </c>
      <c r="AI94" s="366">
        <f t="shared" si="194"/>
        <v>25.792682926829265</v>
      </c>
      <c r="AJ94" s="366">
        <f t="shared" si="194"/>
        <v>40.645161290322577</v>
      </c>
      <c r="AK94" s="366">
        <f t="shared" si="194"/>
        <v>17.355371900826448</v>
      </c>
      <c r="AL94" s="366">
        <f t="shared" si="194"/>
        <v>44.801762114537446</v>
      </c>
      <c r="AM94" s="366">
        <f t="shared" si="194"/>
        <v>34.758620689655174</v>
      </c>
      <c r="AN94" s="366">
        <f t="shared" si="194"/>
        <v>36.393442622950822</v>
      </c>
      <c r="AO94" s="366">
        <f t="shared" si="194"/>
        <v>11.96078431372549</v>
      </c>
      <c r="AP94" s="366">
        <f t="shared" si="194"/>
        <v>27.567567567567565</v>
      </c>
      <c r="AQ94" s="366">
        <f t="shared" si="194"/>
        <v>15.993031358885018</v>
      </c>
      <c r="AR94" s="366">
        <f t="shared" si="194"/>
        <v>51.971830985915496</v>
      </c>
      <c r="AS94" s="366">
        <f t="shared" si="194"/>
        <v>13.350000000000001</v>
      </c>
      <c r="AT94" s="366">
        <f t="shared" si="194"/>
        <v>27.515923566878978</v>
      </c>
      <c r="AU94" s="366">
        <f t="shared" si="194"/>
        <v>22.5</v>
      </c>
      <c r="AV94" s="366">
        <f t="shared" ref="AV94" si="195">(AV79/AV67)*$A$88</f>
        <v>26.042553191489361</v>
      </c>
      <c r="AW94" s="362">
        <f>AV94</f>
        <v>26.042553191489361</v>
      </c>
      <c r="AX94" s="362">
        <f t="shared" si="192"/>
        <v>27.515923566878978</v>
      </c>
      <c r="AY94" s="362">
        <f t="shared" si="192"/>
        <v>22.5</v>
      </c>
      <c r="AZ94" s="362">
        <f t="shared" si="192"/>
        <v>26.042553191489361</v>
      </c>
      <c r="BA94" s="362">
        <f t="shared" si="192"/>
        <v>26.042553191489361</v>
      </c>
      <c r="BB94" s="362">
        <f t="shared" si="192"/>
        <v>27.515923566878978</v>
      </c>
      <c r="BC94" s="362">
        <f t="shared" si="192"/>
        <v>22.5</v>
      </c>
      <c r="BD94" s="362">
        <f t="shared" si="192"/>
        <v>26.042553191489361</v>
      </c>
      <c r="BE94" s="362">
        <f t="shared" si="192"/>
        <v>26.042553191489361</v>
      </c>
      <c r="BF94" s="362">
        <f t="shared" si="193"/>
        <v>27.515923566878978</v>
      </c>
      <c r="BG94" s="362">
        <f t="shared" si="193"/>
        <v>22.5</v>
      </c>
      <c r="BH94" s="362">
        <f t="shared" si="193"/>
        <v>26.042553191489361</v>
      </c>
      <c r="BI94" s="362">
        <f t="shared" si="193"/>
        <v>26.042553191489361</v>
      </c>
      <c r="BJ94" s="362">
        <f t="shared" si="193"/>
        <v>27.515923566878978</v>
      </c>
      <c r="BK94" s="362">
        <f t="shared" si="193"/>
        <v>22.5</v>
      </c>
      <c r="BL94" s="362">
        <f t="shared" si="193"/>
        <v>26.042553191489361</v>
      </c>
      <c r="BM94" s="362">
        <f t="shared" si="193"/>
        <v>26.042553191489361</v>
      </c>
      <c r="BN94" s="362">
        <f t="shared" si="193"/>
        <v>27.515923566878978</v>
      </c>
      <c r="BO94" s="362"/>
      <c r="BP94" s="341"/>
      <c r="BQ94" s="341"/>
      <c r="BR94" s="341"/>
      <c r="BS94" s="341"/>
      <c r="BT94" s="341"/>
      <c r="BU94" s="341"/>
      <c r="BV94" s="341"/>
      <c r="BW94" s="341"/>
      <c r="BX94" s="341"/>
      <c r="BY94" s="341"/>
      <c r="BZ94" s="341"/>
      <c r="CA94" s="341"/>
      <c r="CB94" s="341"/>
      <c r="CC94" s="341"/>
      <c r="CD94" s="341"/>
      <c r="CE94" s="341"/>
      <c r="CF94" s="341"/>
    </row>
    <row r="95" spans="1:84" ht="16">
      <c r="A95" s="326" t="s">
        <v>108</v>
      </c>
      <c r="B95" s="342">
        <f t="shared" ref="B95:AU95" si="196">B80/B66</f>
        <v>0.73237997957099077</v>
      </c>
      <c r="C95" s="342">
        <f t="shared" si="196"/>
        <v>0.76073619631901845</v>
      </c>
      <c r="D95" s="342">
        <f t="shared" si="196"/>
        <v>0.98256735340729007</v>
      </c>
      <c r="E95" s="342">
        <f t="shared" si="196"/>
        <v>0.70845204178537513</v>
      </c>
      <c r="F95" s="342">
        <f t="shared" si="196"/>
        <v>0.70458715596330279</v>
      </c>
      <c r="G95" s="342">
        <f t="shared" si="196"/>
        <v>0.60460460460460463</v>
      </c>
      <c r="H95" s="342">
        <f t="shared" si="196"/>
        <v>1.1076923076923078</v>
      </c>
      <c r="I95" s="342">
        <f t="shared" si="196"/>
        <v>0.79736098020735158</v>
      </c>
      <c r="J95" s="342">
        <f t="shared" si="196"/>
        <v>0.62646198830409361</v>
      </c>
      <c r="K95" s="342">
        <f t="shared" si="196"/>
        <v>0.73507853403141366</v>
      </c>
      <c r="L95" s="342">
        <f t="shared" si="196"/>
        <v>1.2292545710267229</v>
      </c>
      <c r="M95" s="342">
        <f t="shared" si="196"/>
        <v>0.91106290672451196</v>
      </c>
      <c r="N95" s="342">
        <f t="shared" si="196"/>
        <v>0.6095947063688999</v>
      </c>
      <c r="O95" s="342">
        <f t="shared" si="196"/>
        <v>0.61959957850368808</v>
      </c>
      <c r="P95" s="342">
        <f t="shared" si="196"/>
        <v>1.0187050359712231</v>
      </c>
      <c r="Q95" s="342">
        <f t="shared" si="196"/>
        <v>1.0185643564356435</v>
      </c>
      <c r="R95" s="342">
        <f t="shared" si="196"/>
        <v>0.69545859305431879</v>
      </c>
      <c r="S95" s="342">
        <f t="shared" si="196"/>
        <v>0.54859967051070835</v>
      </c>
      <c r="T95" s="342">
        <f t="shared" si="196"/>
        <v>0.9242424242424242</v>
      </c>
      <c r="U95" s="342">
        <f t="shared" si="196"/>
        <v>0.72202486678507993</v>
      </c>
      <c r="V95" s="342">
        <f t="shared" si="196"/>
        <v>0.67004219409282706</v>
      </c>
      <c r="W95" s="342">
        <f t="shared" si="196"/>
        <v>0.50124688279301743</v>
      </c>
      <c r="X95" s="342">
        <f t="shared" si="196"/>
        <v>0.98404907975460121</v>
      </c>
      <c r="Y95" s="342">
        <f t="shared" si="196"/>
        <v>0.78504672897196259</v>
      </c>
      <c r="Z95" s="342">
        <f t="shared" si="196"/>
        <v>0.54281345565749239</v>
      </c>
      <c r="AA95" s="342">
        <f t="shared" si="196"/>
        <v>0.46970889063729349</v>
      </c>
      <c r="AB95" s="342">
        <f t="shared" si="196"/>
        <v>0.86525612472160351</v>
      </c>
      <c r="AC95" s="342">
        <f t="shared" si="196"/>
        <v>0.78416013925152306</v>
      </c>
      <c r="AD95" s="342">
        <f t="shared" si="196"/>
        <v>0.51669941060903735</v>
      </c>
      <c r="AE95" s="342">
        <f t="shared" si="196"/>
        <v>0.48930296756383712</v>
      </c>
      <c r="AF95" s="342">
        <f t="shared" si="196"/>
        <v>1.0104275286757038</v>
      </c>
      <c r="AG95" s="342">
        <f t="shared" si="196"/>
        <v>0.92241379310344829</v>
      </c>
      <c r="AH95" s="342">
        <f t="shared" si="196"/>
        <v>0.51896333754740831</v>
      </c>
      <c r="AI95" s="342">
        <f t="shared" si="196"/>
        <v>0.67282321899736153</v>
      </c>
      <c r="AJ95" s="342">
        <f t="shared" si="196"/>
        <v>0.70528771384136857</v>
      </c>
      <c r="AK95" s="342">
        <f t="shared" si="196"/>
        <v>0.84716834755624515</v>
      </c>
      <c r="AL95" s="342">
        <f t="shared" si="196"/>
        <v>0.84975767366720512</v>
      </c>
      <c r="AM95" s="342">
        <f t="shared" si="196"/>
        <v>0.75682382133995041</v>
      </c>
      <c r="AN95" s="342">
        <f t="shared" si="196"/>
        <v>0.75964391691394662</v>
      </c>
      <c r="AO95" s="342">
        <f t="shared" si="196"/>
        <v>0.75580665411173886</v>
      </c>
      <c r="AP95" s="342">
        <f t="shared" si="196"/>
        <v>0.7584715212689257</v>
      </c>
      <c r="AQ95" s="342">
        <f t="shared" si="196"/>
        <v>0.71281699794379716</v>
      </c>
      <c r="AR95" s="342">
        <f t="shared" si="196"/>
        <v>0.94092093831450907</v>
      </c>
      <c r="AS95" s="342">
        <f t="shared" si="196"/>
        <v>0.85056784219964132</v>
      </c>
      <c r="AT95" s="342">
        <f t="shared" si="196"/>
        <v>0.99628528974739972</v>
      </c>
      <c r="AU95" s="342">
        <f t="shared" si="196"/>
        <v>0.70470664087685364</v>
      </c>
      <c r="AV95" s="342">
        <f t="shared" ref="AV95" si="197">AV80/AV66</f>
        <v>0.61281489594742611</v>
      </c>
      <c r="AW95" s="364">
        <f t="shared" ref="AW95:BN95" si="198">+AS95</f>
        <v>0.85056784219964132</v>
      </c>
      <c r="AX95" s="364">
        <f t="shared" si="198"/>
        <v>0.99628528974739972</v>
      </c>
      <c r="AY95" s="364">
        <f t="shared" si="198"/>
        <v>0.70470664087685364</v>
      </c>
      <c r="AZ95" s="364">
        <f t="shared" si="198"/>
        <v>0.61281489594742611</v>
      </c>
      <c r="BA95" s="364">
        <f t="shared" si="198"/>
        <v>0.85056784219964132</v>
      </c>
      <c r="BB95" s="364">
        <f t="shared" si="198"/>
        <v>0.99628528974739972</v>
      </c>
      <c r="BC95" s="364">
        <f t="shared" si="198"/>
        <v>0.70470664087685364</v>
      </c>
      <c r="BD95" s="364">
        <f t="shared" si="198"/>
        <v>0.61281489594742611</v>
      </c>
      <c r="BE95" s="364">
        <f t="shared" si="198"/>
        <v>0.85056784219964132</v>
      </c>
      <c r="BF95" s="364">
        <f t="shared" si="198"/>
        <v>0.99628528974739972</v>
      </c>
      <c r="BG95" s="364">
        <f t="shared" si="198"/>
        <v>0.70470664087685364</v>
      </c>
      <c r="BH95" s="364">
        <f t="shared" si="198"/>
        <v>0.61281489594742611</v>
      </c>
      <c r="BI95" s="364">
        <f t="shared" si="198"/>
        <v>0.85056784219964132</v>
      </c>
      <c r="BJ95" s="364">
        <f t="shared" si="198"/>
        <v>0.99628528974739972</v>
      </c>
      <c r="BK95" s="364">
        <f t="shared" si="198"/>
        <v>0.70470664087685364</v>
      </c>
      <c r="BL95" s="364">
        <f t="shared" si="198"/>
        <v>0.61281489594742611</v>
      </c>
      <c r="BM95" s="364">
        <f t="shared" si="198"/>
        <v>0.85056784219964132</v>
      </c>
      <c r="BN95" s="364">
        <f t="shared" si="198"/>
        <v>0.99628528974739972</v>
      </c>
      <c r="BO95" s="365"/>
      <c r="BP95" s="341"/>
      <c r="BQ95" s="341"/>
      <c r="BR95" s="341"/>
      <c r="BS95" s="341"/>
      <c r="BT95" s="341"/>
      <c r="BU95" s="341"/>
      <c r="BV95" s="341"/>
      <c r="BW95" s="341"/>
      <c r="BX95" s="341"/>
      <c r="BY95" s="341"/>
      <c r="BZ95" s="341"/>
      <c r="CA95" s="341"/>
      <c r="CB95" s="341"/>
      <c r="CC95" s="341"/>
      <c r="CD95" s="341"/>
      <c r="CE95" s="341"/>
      <c r="CF95" s="341"/>
    </row>
    <row r="96" spans="1:84" ht="16">
      <c r="A96" s="341"/>
      <c r="B96" s="341"/>
      <c r="C96" s="341"/>
      <c r="D96" s="341"/>
      <c r="E96" s="341"/>
      <c r="F96" s="341"/>
      <c r="G96" s="341"/>
      <c r="H96" s="341"/>
      <c r="I96" s="341"/>
      <c r="J96" s="341"/>
      <c r="K96" s="341"/>
      <c r="L96" s="341"/>
      <c r="M96" s="341"/>
      <c r="N96" s="341"/>
      <c r="O96" s="341"/>
      <c r="P96" s="341"/>
      <c r="Q96" s="341"/>
      <c r="R96" s="341"/>
      <c r="S96" s="341"/>
      <c r="T96" s="341"/>
      <c r="U96" s="341"/>
      <c r="V96" s="341"/>
      <c r="W96" s="341"/>
      <c r="X96" s="341"/>
      <c r="Y96" s="341"/>
      <c r="Z96" s="341"/>
      <c r="AA96" s="341"/>
      <c r="AB96" s="341"/>
      <c r="AC96" s="341"/>
      <c r="AD96" s="341"/>
      <c r="AE96" s="341"/>
      <c r="AF96" s="341"/>
      <c r="AG96" s="341"/>
      <c r="AH96" s="341"/>
      <c r="AI96" s="341"/>
      <c r="AJ96" s="341"/>
      <c r="AK96" s="341"/>
      <c r="AL96" s="341"/>
      <c r="AM96" s="341"/>
      <c r="AN96" s="341"/>
      <c r="AO96" s="341"/>
      <c r="AP96" s="341"/>
      <c r="AQ96" s="341"/>
      <c r="AR96" s="341"/>
      <c r="AS96" s="341"/>
      <c r="AT96" s="341"/>
      <c r="AU96" s="341"/>
      <c r="AV96" s="341"/>
      <c r="AW96" s="341"/>
      <c r="AX96" s="341"/>
      <c r="AY96" s="341"/>
      <c r="AZ96" s="341"/>
      <c r="BA96" s="341"/>
      <c r="BB96" s="341"/>
      <c r="BC96" s="341"/>
      <c r="BD96" s="341"/>
      <c r="BE96" s="341"/>
      <c r="BF96" s="341"/>
      <c r="BG96" s="341"/>
      <c r="BH96" s="341"/>
      <c r="BI96" s="341"/>
      <c r="BJ96" s="341"/>
      <c r="BK96" s="341"/>
      <c r="BL96" s="341"/>
      <c r="BM96" s="341"/>
      <c r="BN96" s="341"/>
      <c r="BO96" s="341"/>
      <c r="BP96" s="341"/>
      <c r="BQ96" s="341"/>
      <c r="BR96" s="341"/>
      <c r="BS96" s="341"/>
      <c r="BT96" s="341"/>
      <c r="BU96" s="341"/>
      <c r="BV96" s="341"/>
      <c r="BW96" s="341"/>
      <c r="BX96" s="341"/>
      <c r="BY96" s="341"/>
      <c r="BZ96" s="341"/>
      <c r="CA96" s="341"/>
      <c r="CB96" s="341"/>
      <c r="CC96" s="341"/>
      <c r="CD96" s="341"/>
      <c r="CE96" s="341"/>
      <c r="CF96" s="341"/>
    </row>
    <row r="97" spans="1:84" ht="12.75" customHeight="1">
      <c r="A97" s="354" t="s">
        <v>469</v>
      </c>
      <c r="B97" s="341"/>
      <c r="C97" s="341"/>
      <c r="D97" s="341"/>
      <c r="E97" s="341"/>
      <c r="F97" s="341"/>
      <c r="G97" s="341"/>
      <c r="H97" s="341"/>
      <c r="I97" s="341"/>
      <c r="J97" s="341"/>
      <c r="K97" s="341"/>
      <c r="L97" s="341"/>
      <c r="M97" s="345"/>
      <c r="N97" s="345"/>
      <c r="O97" s="345"/>
      <c r="P97" s="345"/>
      <c r="Q97" s="345"/>
      <c r="R97" s="345"/>
      <c r="S97" s="345"/>
      <c r="T97" s="345"/>
      <c r="U97" s="345"/>
      <c r="V97" s="341"/>
      <c r="W97" s="341"/>
      <c r="X97" s="341"/>
      <c r="Y97" s="341"/>
      <c r="Z97" s="341"/>
      <c r="AA97" s="341"/>
      <c r="AB97" s="341"/>
      <c r="AC97" s="341"/>
      <c r="AD97" s="341"/>
      <c r="AE97" s="341"/>
      <c r="AF97" s="341"/>
      <c r="AG97" s="341"/>
      <c r="AH97" s="341"/>
      <c r="AI97" s="341"/>
      <c r="AJ97" s="341"/>
      <c r="AK97" s="341"/>
      <c r="AL97" s="341"/>
      <c r="AM97" s="341"/>
      <c r="AN97" s="341"/>
      <c r="AO97" s="341"/>
      <c r="AP97" s="341"/>
      <c r="AQ97" s="341"/>
      <c r="AR97" s="341"/>
      <c r="AS97" s="341"/>
      <c r="AT97" s="341"/>
      <c r="AU97" s="341"/>
      <c r="AV97" s="341"/>
      <c r="AW97" s="341"/>
      <c r="AX97" s="341"/>
      <c r="AY97" s="341"/>
      <c r="AZ97" s="341"/>
      <c r="BA97" s="341"/>
      <c r="BB97" s="341"/>
      <c r="BC97" s="341"/>
      <c r="BD97" s="341"/>
      <c r="BE97" s="341"/>
      <c r="BF97" s="341"/>
      <c r="BG97" s="341"/>
      <c r="BH97" s="341"/>
      <c r="BI97" s="341"/>
      <c r="BJ97" s="341"/>
      <c r="BK97" s="341"/>
      <c r="BL97" s="341"/>
      <c r="BM97" s="341"/>
      <c r="BN97" s="341"/>
      <c r="BO97" s="341"/>
      <c r="BP97" s="341"/>
      <c r="BQ97" s="341"/>
      <c r="BR97" s="341"/>
      <c r="BS97" s="341"/>
      <c r="BT97" s="341"/>
      <c r="BU97" s="341"/>
      <c r="BV97" s="341"/>
      <c r="BW97" s="341"/>
      <c r="BX97" s="341"/>
      <c r="BY97" s="341"/>
      <c r="BZ97" s="341"/>
      <c r="CA97" s="341"/>
      <c r="CB97" s="341"/>
      <c r="CC97" s="341"/>
      <c r="CD97" s="341"/>
      <c r="CE97" s="341"/>
      <c r="CF97" s="341"/>
    </row>
    <row r="98" spans="1:84" s="369" customFormat="1" ht="16">
      <c r="A98" s="367" t="s">
        <v>69</v>
      </c>
      <c r="B98" s="348">
        <f>Drivers!B128</f>
        <v>979</v>
      </c>
      <c r="C98" s="348">
        <f>Drivers!C128</f>
        <v>815</v>
      </c>
      <c r="D98" s="348">
        <f>Drivers!D128</f>
        <v>631</v>
      </c>
      <c r="E98" s="348">
        <f>Drivers!E128</f>
        <v>1053</v>
      </c>
      <c r="F98" s="348">
        <f>Drivers!F128</f>
        <v>1090</v>
      </c>
      <c r="G98" s="348">
        <f>Drivers!G128</f>
        <v>999</v>
      </c>
      <c r="H98" s="348">
        <f>Drivers!H128</f>
        <v>715</v>
      </c>
      <c r="I98" s="348">
        <f>Drivers!I128</f>
        <v>1061</v>
      </c>
      <c r="J98" s="348">
        <f>Drivers!J128</f>
        <v>1368</v>
      </c>
      <c r="K98" s="348">
        <f>Drivers!K128</f>
        <v>955</v>
      </c>
      <c r="L98" s="348">
        <f>Drivers!L128</f>
        <v>711</v>
      </c>
      <c r="M98" s="348">
        <f>Drivers!M128</f>
        <v>922</v>
      </c>
      <c r="N98" s="348">
        <f>Drivers!N128</f>
        <v>1209</v>
      </c>
      <c r="O98" s="348">
        <f>Drivers!O128</f>
        <v>949</v>
      </c>
      <c r="P98" s="348">
        <f>Drivers!P128</f>
        <v>695</v>
      </c>
      <c r="Q98" s="348">
        <f>Drivers!Q128</f>
        <v>808</v>
      </c>
      <c r="R98" s="348">
        <f>Drivers!R128</f>
        <v>1123</v>
      </c>
      <c r="S98" s="348">
        <f>Drivers!S128</f>
        <v>1214</v>
      </c>
      <c r="T98" s="348">
        <f>Drivers!T128</f>
        <v>990</v>
      </c>
      <c r="U98" s="348">
        <f>Drivers!U128</f>
        <v>1126</v>
      </c>
      <c r="V98" s="348">
        <f>Drivers!V128</f>
        <v>1185</v>
      </c>
      <c r="W98" s="348">
        <f>Drivers!W128</f>
        <v>1203</v>
      </c>
      <c r="X98" s="348">
        <f>Drivers!X128</f>
        <v>815</v>
      </c>
      <c r="Y98" s="348">
        <f>Drivers!Y128</f>
        <v>1070</v>
      </c>
      <c r="Z98" s="348">
        <f>Drivers!Z128</f>
        <v>1308</v>
      </c>
      <c r="AA98" s="348">
        <f>Drivers!AA128</f>
        <v>1271</v>
      </c>
      <c r="AB98" s="348">
        <f>Drivers!AB128</f>
        <v>898</v>
      </c>
      <c r="AC98" s="348">
        <f>Drivers!AC128</f>
        <v>1149</v>
      </c>
      <c r="AD98" s="348">
        <f>Drivers!AD128</f>
        <v>1527</v>
      </c>
      <c r="AE98" s="348">
        <f>Drivers!AE128</f>
        <v>1449</v>
      </c>
      <c r="AF98" s="348">
        <f>Drivers!AF128</f>
        <v>959</v>
      </c>
      <c r="AG98" s="348">
        <f>Drivers!AG128</f>
        <v>1160</v>
      </c>
      <c r="AH98" s="348">
        <f>Drivers!AH128</f>
        <v>1582</v>
      </c>
      <c r="AI98" s="348">
        <f>Drivers!AI128</f>
        <v>1137</v>
      </c>
      <c r="AJ98" s="348">
        <f>Drivers!AJ128</f>
        <v>1286</v>
      </c>
      <c r="AK98" s="348">
        <f>Drivers!AK128</f>
        <v>1289</v>
      </c>
      <c r="AL98" s="348">
        <f>Drivers!AL128</f>
        <v>1238</v>
      </c>
      <c r="AM98" s="348">
        <f>Drivers!AM128</f>
        <v>1209</v>
      </c>
      <c r="AN98" s="348">
        <f>Drivers!AN128</f>
        <v>1348</v>
      </c>
      <c r="AO98" s="348">
        <f>Drivers!AO128</f>
        <v>1593</v>
      </c>
      <c r="AP98" s="348">
        <f>Drivers!AP128</f>
        <v>1387</v>
      </c>
      <c r="AQ98" s="348">
        <f>Drivers!AQ128</f>
        <v>1459</v>
      </c>
      <c r="AR98" s="348">
        <f>Drivers!AR128</f>
        <v>1151</v>
      </c>
      <c r="AS98" s="348">
        <f>Drivers!AS128</f>
        <v>1673</v>
      </c>
      <c r="AT98" s="348">
        <f>Drivers!AT128</f>
        <v>1346</v>
      </c>
      <c r="AU98" s="348">
        <f>Drivers!AU128</f>
        <v>1551</v>
      </c>
      <c r="AV98" s="348">
        <f>Drivers!AV128</f>
        <v>1826</v>
      </c>
      <c r="AW98" s="348">
        <f>Drivers!AW128</f>
        <v>1742.456375</v>
      </c>
      <c r="AX98" s="348">
        <f>Drivers!AX128</f>
        <v>1805.6809125000002</v>
      </c>
      <c r="AY98" s="348">
        <f>Drivers!AY128</f>
        <v>2072.781291175977</v>
      </c>
      <c r="AZ98" s="348">
        <f>Drivers!AZ128</f>
        <v>2135.3248136714528</v>
      </c>
      <c r="BA98" s="348">
        <f>Drivers!BA128</f>
        <v>1972.4247845653997</v>
      </c>
      <c r="BB98" s="348">
        <f>Drivers!BB128</f>
        <v>1895.6888299576624</v>
      </c>
      <c r="BC98" s="348">
        <f>Drivers!BC128</f>
        <v>2119.8728715696661</v>
      </c>
      <c r="BD98" s="348">
        <f>Drivers!BD128</f>
        <v>2202.0845685619574</v>
      </c>
      <c r="BE98" s="348">
        <f>Drivers!BE128</f>
        <v>2061.9841337372745</v>
      </c>
      <c r="BF98" s="348">
        <f>Drivers!BF128</f>
        <v>1983.4168406001677</v>
      </c>
      <c r="BG98" s="348">
        <f>Drivers!BG128</f>
        <v>2204.7476833921846</v>
      </c>
      <c r="BH98" s="348">
        <f>Drivers!BH128</f>
        <v>2517.8829683654326</v>
      </c>
      <c r="BI98" s="348">
        <f>Drivers!BI128</f>
        <v>2294.282038937396</v>
      </c>
      <c r="BJ98" s="348">
        <f>Drivers!BJ128</f>
        <v>2166.097481786046</v>
      </c>
      <c r="BK98" s="348">
        <f>Drivers!BK128</f>
        <v>2363.0341196285335</v>
      </c>
      <c r="BL98" s="348">
        <f>Drivers!BL128</f>
        <v>2445.3659054554155</v>
      </c>
      <c r="BM98" s="348">
        <f>Drivers!BM128</f>
        <v>2346.7974976630576</v>
      </c>
      <c r="BN98" s="348">
        <f>Drivers!BN128</f>
        <v>2238.6733909351592</v>
      </c>
      <c r="BO98" s="348"/>
      <c r="BP98" s="350">
        <v>3654</v>
      </c>
      <c r="BQ98" s="349">
        <f>SUM(C98:F98)</f>
        <v>3589</v>
      </c>
      <c r="BR98" s="349">
        <f>SUM(G98:J98)</f>
        <v>4143</v>
      </c>
      <c r="BS98" s="349">
        <f>SUM(K98:N98)</f>
        <v>3797</v>
      </c>
      <c r="BT98" s="349">
        <f>SUM(O98:R98)</f>
        <v>3575</v>
      </c>
      <c r="BU98" s="349">
        <f>SUM(S98:V98)</f>
        <v>4515</v>
      </c>
      <c r="BV98" s="349">
        <f>SUM(W98:Z98)</f>
        <v>4396</v>
      </c>
      <c r="BW98" s="349">
        <f>SUM(AA98:AD98)</f>
        <v>4845</v>
      </c>
      <c r="BX98" s="349">
        <f>SUM(AE98:AH98)</f>
        <v>5150</v>
      </c>
      <c r="BY98" s="368">
        <f>SUM(AI98:AL98)</f>
        <v>4950</v>
      </c>
      <c r="BZ98" s="368">
        <f>SUM(AM98:AP98)</f>
        <v>5537</v>
      </c>
      <c r="CA98" s="368">
        <f>SUM(AQ98:AT98)</f>
        <v>5629</v>
      </c>
      <c r="CB98" s="368">
        <f>SUM(AU98:AX98)</f>
        <v>6925.1372874999997</v>
      </c>
      <c r="CC98" s="368">
        <f>SUM(AY98:BB98)</f>
        <v>8076.2197193704915</v>
      </c>
      <c r="CD98" s="368">
        <f>SUM(BC98:BF98)</f>
        <v>8367.3584144690667</v>
      </c>
      <c r="CE98" s="368">
        <f>SUM(BG98:BJ98)</f>
        <v>9183.0101724810593</v>
      </c>
      <c r="CF98" s="368">
        <f>SUM(BK98:BN98)</f>
        <v>9393.8709136821653</v>
      </c>
    </row>
    <row r="99" spans="1:84" s="351" customFormat="1" ht="16">
      <c r="A99" s="346" t="s">
        <v>8</v>
      </c>
      <c r="B99" s="370">
        <f>CF!B22</f>
        <v>-22</v>
      </c>
      <c r="C99" s="370">
        <f>CF!C22</f>
        <v>-11</v>
      </c>
      <c r="D99" s="370">
        <f>CF!D22</f>
        <v>-12</v>
      </c>
      <c r="E99" s="370">
        <f>CF!E22</f>
        <v>-15</v>
      </c>
      <c r="F99" s="370">
        <f>CF!F22</f>
        <v>-21</v>
      </c>
      <c r="G99" s="370">
        <f>CF!G22</f>
        <v>-32</v>
      </c>
      <c r="H99" s="370">
        <f>CF!H22</f>
        <v>-52</v>
      </c>
      <c r="I99" s="370">
        <f>CF!I22</f>
        <v>-44</v>
      </c>
      <c r="J99" s="370">
        <f>CF!J22</f>
        <v>-44</v>
      </c>
      <c r="K99" s="370">
        <f>CF!K22</f>
        <v>-31</v>
      </c>
      <c r="L99" s="370">
        <f>CF!L22</f>
        <v>-25</v>
      </c>
      <c r="M99" s="370">
        <f>CF!M22</f>
        <v>-25</v>
      </c>
      <c r="N99" s="370">
        <f>CF!N22</f>
        <v>-25</v>
      </c>
      <c r="O99" s="370">
        <f>CF!O22</f>
        <v>-29</v>
      </c>
      <c r="P99" s="370">
        <f>CF!P22</f>
        <v>-24</v>
      </c>
      <c r="Q99" s="370">
        <f>CF!Q22</f>
        <v>-28</v>
      </c>
      <c r="R99" s="370">
        <f>CF!R22</f>
        <v>-16</v>
      </c>
      <c r="S99" s="370">
        <f>CF!S22</f>
        <v>-27</v>
      </c>
      <c r="T99" s="370">
        <f>CF!T22</f>
        <v>-21</v>
      </c>
      <c r="U99" s="370">
        <f>CF!U22</f>
        <v>-15</v>
      </c>
      <c r="V99" s="370">
        <f>CF!V22</f>
        <v>-32</v>
      </c>
      <c r="W99" s="370">
        <f>CF!W22</f>
        <v>-24</v>
      </c>
      <c r="X99" s="370">
        <f>CF!X22</f>
        <v>-18</v>
      </c>
      <c r="Y99" s="370">
        <f>CF!Y22</f>
        <v>-21</v>
      </c>
      <c r="Z99" s="370">
        <f>CF!Z22</f>
        <v>-30</v>
      </c>
      <c r="AA99" s="370">
        <f>CF!AA22</f>
        <v>-40</v>
      </c>
      <c r="AB99" s="370">
        <f>CF!AB22</f>
        <v>-29</v>
      </c>
      <c r="AC99" s="370">
        <f>CF!AC22</f>
        <v>-25</v>
      </c>
      <c r="AD99" s="370">
        <f>CF!AD22</f>
        <v>-29</v>
      </c>
      <c r="AE99" s="370">
        <f>CF!AE22</f>
        <v>-33</v>
      </c>
      <c r="AF99" s="370">
        <f>CF!AF22</f>
        <v>-30</v>
      </c>
      <c r="AG99" s="370">
        <f>CF!AG22</f>
        <v>-24</v>
      </c>
      <c r="AH99" s="370">
        <f>CF!AH22</f>
        <v>-20</v>
      </c>
      <c r="AI99" s="370">
        <f>CF!AI22</f>
        <v>-32</v>
      </c>
      <c r="AJ99" s="370">
        <f>CF!AJ22</f>
        <v>-31</v>
      </c>
      <c r="AK99" s="370">
        <f>CF!AK22</f>
        <v>-21</v>
      </c>
      <c r="AL99" s="370">
        <f>CF!AL22</f>
        <v>-35</v>
      </c>
      <c r="AM99" s="370">
        <f>CF!AM22</f>
        <v>-45</v>
      </c>
      <c r="AN99" s="370">
        <f>CF!AN22</f>
        <v>-27</v>
      </c>
      <c r="AO99" s="370">
        <f>CF!AO22</f>
        <v>-28</v>
      </c>
      <c r="AP99" s="370">
        <f>CF!AP22</f>
        <v>-40</v>
      </c>
      <c r="AQ99" s="370">
        <f>CF!AQ22</f>
        <v>-38</v>
      </c>
      <c r="AR99" s="370">
        <f>CF!AR22</f>
        <v>-25</v>
      </c>
      <c r="AS99" s="370">
        <f>CF!AS22</f>
        <v>-30</v>
      </c>
      <c r="AT99" s="370">
        <f>CF!AT22</f>
        <v>-31</v>
      </c>
      <c r="AU99" s="370">
        <f>CF!AU22</f>
        <v>-44</v>
      </c>
      <c r="AV99" s="370">
        <f>CF!AV22</f>
        <v>-43</v>
      </c>
      <c r="AW99" s="348">
        <f t="shared" ref="AW99:BN99" si="199">AW98*AW100</f>
        <v>-53.02618660620891</v>
      </c>
      <c r="AX99" s="348">
        <f t="shared" si="199"/>
        <v>-86.729027483748155</v>
      </c>
      <c r="AY99" s="348">
        <f t="shared" si="199"/>
        <v>-46.637579051459483</v>
      </c>
      <c r="AZ99" s="348">
        <f t="shared" si="199"/>
        <v>-48.044808307607688</v>
      </c>
      <c r="BA99" s="348">
        <f t="shared" si="199"/>
        <v>-44.379557652721495</v>
      </c>
      <c r="BB99" s="348">
        <f t="shared" si="199"/>
        <v>-42.652998674047403</v>
      </c>
      <c r="BC99" s="347">
        <f t="shared" si="199"/>
        <v>-47.697139610317485</v>
      </c>
      <c r="BD99" s="347">
        <f t="shared" si="199"/>
        <v>-49.54690279264404</v>
      </c>
      <c r="BE99" s="347">
        <f t="shared" si="199"/>
        <v>-46.394643009088675</v>
      </c>
      <c r="BF99" s="347">
        <f t="shared" si="199"/>
        <v>-44.626878913503774</v>
      </c>
      <c r="BG99" s="347">
        <f t="shared" si="199"/>
        <v>-49.606822876324152</v>
      </c>
      <c r="BH99" s="347">
        <f t="shared" si="199"/>
        <v>-56.652366788222231</v>
      </c>
      <c r="BI99" s="347">
        <f t="shared" si="199"/>
        <v>-51.621345876091411</v>
      </c>
      <c r="BJ99" s="347">
        <f t="shared" si="199"/>
        <v>-48.737193340186032</v>
      </c>
      <c r="BK99" s="347">
        <f t="shared" si="199"/>
        <v>-53.168267691642001</v>
      </c>
      <c r="BL99" s="347">
        <f t="shared" si="199"/>
        <v>-55.020732872746848</v>
      </c>
      <c r="BM99" s="347">
        <f t="shared" si="199"/>
        <v>-52.80294369741879</v>
      </c>
      <c r="BN99" s="347">
        <f t="shared" si="199"/>
        <v>-50.37015129604108</v>
      </c>
      <c r="BO99" s="347"/>
      <c r="BP99" s="353">
        <v>-72</v>
      </c>
      <c r="BQ99" s="352">
        <f>SUM(C99:F99)</f>
        <v>-59</v>
      </c>
      <c r="BR99" s="352">
        <f>SUM(G99:J99)</f>
        <v>-172</v>
      </c>
      <c r="BS99" s="352">
        <f>SUM(K99:N99)</f>
        <v>-106</v>
      </c>
      <c r="BT99" s="352">
        <f>SUM(O99:R99)</f>
        <v>-97</v>
      </c>
      <c r="BU99" s="352">
        <f>SUM(S99:V99)</f>
        <v>-95</v>
      </c>
      <c r="BV99" s="352">
        <f>SUM(W99:Z99)</f>
        <v>-93</v>
      </c>
      <c r="BW99" s="352">
        <f>SUM(AA99:AD99)</f>
        <v>-123</v>
      </c>
      <c r="BX99" s="352">
        <f>SUM(AE99:AH99)</f>
        <v>-107</v>
      </c>
      <c r="BY99" s="368">
        <f>SUM(AI99:AL99)</f>
        <v>-119</v>
      </c>
      <c r="BZ99" s="368">
        <f>SUM(AM99:AP99)</f>
        <v>-140</v>
      </c>
      <c r="CA99" s="368">
        <f>SUM(AQ99:AT99)</f>
        <v>-124</v>
      </c>
      <c r="CB99" s="368">
        <f>SUM(AU99:AX99)</f>
        <v>-226.75521408995706</v>
      </c>
      <c r="CC99" s="368">
        <f>SUM(AY99:BB99)</f>
        <v>-181.71494368583609</v>
      </c>
      <c r="CD99" s="368">
        <f>SUM(BC99:BF99)</f>
        <v>-188.26556432555395</v>
      </c>
      <c r="CE99" s="368">
        <f>SUM(BG99:BJ99)</f>
        <v>-206.61772888082382</v>
      </c>
      <c r="CF99" s="368">
        <f>SUM(BK99:BN99)</f>
        <v>-211.36209555784873</v>
      </c>
    </row>
    <row r="100" spans="1:84" ht="16">
      <c r="A100" s="341" t="s">
        <v>32</v>
      </c>
      <c r="B100" s="371">
        <f t="shared" ref="B100:AU100" si="200">B99/B98</f>
        <v>-2.247191011235955E-2</v>
      </c>
      <c r="C100" s="371">
        <f t="shared" si="200"/>
        <v>-1.3496932515337423E-2</v>
      </c>
      <c r="D100" s="371">
        <f t="shared" si="200"/>
        <v>-1.9017432646592711E-2</v>
      </c>
      <c r="E100" s="371">
        <f t="shared" si="200"/>
        <v>-1.4245014245014245E-2</v>
      </c>
      <c r="F100" s="371">
        <f t="shared" si="200"/>
        <v>-1.9266055045871561E-2</v>
      </c>
      <c r="G100" s="371">
        <f t="shared" si="200"/>
        <v>-3.2032032032032032E-2</v>
      </c>
      <c r="H100" s="371">
        <f t="shared" si="200"/>
        <v>-7.2727272727272724E-2</v>
      </c>
      <c r="I100" s="371">
        <f t="shared" si="200"/>
        <v>-4.1470311027332708E-2</v>
      </c>
      <c r="J100" s="371">
        <f t="shared" si="200"/>
        <v>-3.2163742690058478E-2</v>
      </c>
      <c r="K100" s="371">
        <f t="shared" si="200"/>
        <v>-3.2460732984293195E-2</v>
      </c>
      <c r="L100" s="371">
        <f t="shared" si="200"/>
        <v>-3.5161744022503515E-2</v>
      </c>
      <c r="M100" s="371">
        <f t="shared" si="200"/>
        <v>-2.7114967462039046E-2</v>
      </c>
      <c r="N100" s="371">
        <f t="shared" si="200"/>
        <v>-2.0678246484698098E-2</v>
      </c>
      <c r="O100" s="371">
        <f t="shared" si="200"/>
        <v>-3.0558482613277135E-2</v>
      </c>
      <c r="P100" s="371">
        <f t="shared" si="200"/>
        <v>-3.4532374100719423E-2</v>
      </c>
      <c r="Q100" s="371">
        <f t="shared" si="200"/>
        <v>-3.4653465346534656E-2</v>
      </c>
      <c r="R100" s="371">
        <f t="shared" si="200"/>
        <v>-1.4247551202137132E-2</v>
      </c>
      <c r="S100" s="371">
        <f t="shared" si="200"/>
        <v>-2.2240527182866558E-2</v>
      </c>
      <c r="T100" s="371">
        <f t="shared" si="200"/>
        <v>-2.1212121212121213E-2</v>
      </c>
      <c r="U100" s="371">
        <f t="shared" si="200"/>
        <v>-1.3321492007104795E-2</v>
      </c>
      <c r="V100" s="371">
        <f t="shared" si="200"/>
        <v>-2.7004219409282701E-2</v>
      </c>
      <c r="W100" s="371">
        <f t="shared" si="200"/>
        <v>-1.9950124688279301E-2</v>
      </c>
      <c r="X100" s="371">
        <f t="shared" si="200"/>
        <v>-2.2085889570552148E-2</v>
      </c>
      <c r="Y100" s="371">
        <f t="shared" si="200"/>
        <v>-1.9626168224299065E-2</v>
      </c>
      <c r="Z100" s="371">
        <f t="shared" si="200"/>
        <v>-2.2935779816513763E-2</v>
      </c>
      <c r="AA100" s="371">
        <f t="shared" si="200"/>
        <v>-3.1471282454760031E-2</v>
      </c>
      <c r="AB100" s="371">
        <f t="shared" si="200"/>
        <v>-3.2293986636971049E-2</v>
      </c>
      <c r="AC100" s="371">
        <f t="shared" si="200"/>
        <v>-2.1758050478677109E-2</v>
      </c>
      <c r="AD100" s="371">
        <f t="shared" si="200"/>
        <v>-1.8991486574983629E-2</v>
      </c>
      <c r="AE100" s="371">
        <f t="shared" si="200"/>
        <v>-2.2774327122153208E-2</v>
      </c>
      <c r="AF100" s="371">
        <f t="shared" si="200"/>
        <v>-3.1282586027111578E-2</v>
      </c>
      <c r="AG100" s="371">
        <f t="shared" si="200"/>
        <v>-2.0689655172413793E-2</v>
      </c>
      <c r="AH100" s="371">
        <f t="shared" si="200"/>
        <v>-1.2642225031605562E-2</v>
      </c>
      <c r="AI100" s="371">
        <f t="shared" si="200"/>
        <v>-2.8144239226033423E-2</v>
      </c>
      <c r="AJ100" s="371">
        <f t="shared" si="200"/>
        <v>-2.410575427682737E-2</v>
      </c>
      <c r="AK100" s="371">
        <f t="shared" si="200"/>
        <v>-1.6291698991466253E-2</v>
      </c>
      <c r="AL100" s="371">
        <f t="shared" si="200"/>
        <v>-2.827140549273021E-2</v>
      </c>
      <c r="AM100" s="371">
        <f t="shared" si="200"/>
        <v>-3.7220843672456573E-2</v>
      </c>
      <c r="AN100" s="371">
        <f t="shared" si="200"/>
        <v>-2.0029673590504452E-2</v>
      </c>
      <c r="AO100" s="371">
        <f t="shared" si="200"/>
        <v>-1.7576898932831136E-2</v>
      </c>
      <c r="AP100" s="371">
        <f t="shared" si="200"/>
        <v>-2.8839221341023791E-2</v>
      </c>
      <c r="AQ100" s="371">
        <f t="shared" si="200"/>
        <v>-2.604523646333105E-2</v>
      </c>
      <c r="AR100" s="371">
        <f t="shared" si="200"/>
        <v>-2.1720243266724587E-2</v>
      </c>
      <c r="AS100" s="371">
        <f t="shared" si="200"/>
        <v>-1.7931858936043037E-2</v>
      </c>
      <c r="AT100" s="371">
        <f t="shared" si="200"/>
        <v>-2.3031203566121844E-2</v>
      </c>
      <c r="AU100" s="371">
        <f t="shared" si="200"/>
        <v>-2.8368794326241134E-2</v>
      </c>
      <c r="AV100" s="371">
        <f t="shared" ref="AV100" si="201">AV99/AV98</f>
        <v>-2.3548740416210297E-2</v>
      </c>
      <c r="AW100" s="372">
        <f>AS100-0.0125</f>
        <v>-3.0431858936043037E-2</v>
      </c>
      <c r="AX100" s="372">
        <f>AT100-0.025</f>
        <v>-4.8031203566121845E-2</v>
      </c>
      <c r="AY100" s="372">
        <v>-2.2499999999999999E-2</v>
      </c>
      <c r="AZ100" s="372">
        <v>-2.2499999999999999E-2</v>
      </c>
      <c r="BA100" s="372">
        <v>-2.2499999999999999E-2</v>
      </c>
      <c r="BB100" s="372">
        <v>-2.2499999999999999E-2</v>
      </c>
      <c r="BC100" s="372">
        <f t="shared" ref="BC100:BN100" si="202">AY100</f>
        <v>-2.2499999999999999E-2</v>
      </c>
      <c r="BD100" s="372">
        <f t="shared" si="202"/>
        <v>-2.2499999999999999E-2</v>
      </c>
      <c r="BE100" s="372">
        <f t="shared" si="202"/>
        <v>-2.2499999999999999E-2</v>
      </c>
      <c r="BF100" s="372">
        <f t="shared" si="202"/>
        <v>-2.2499999999999999E-2</v>
      </c>
      <c r="BG100" s="372">
        <f t="shared" si="202"/>
        <v>-2.2499999999999999E-2</v>
      </c>
      <c r="BH100" s="372">
        <f t="shared" si="202"/>
        <v>-2.2499999999999999E-2</v>
      </c>
      <c r="BI100" s="372">
        <f t="shared" si="202"/>
        <v>-2.2499999999999999E-2</v>
      </c>
      <c r="BJ100" s="372">
        <f t="shared" si="202"/>
        <v>-2.2499999999999999E-2</v>
      </c>
      <c r="BK100" s="372">
        <f t="shared" si="202"/>
        <v>-2.2499999999999999E-2</v>
      </c>
      <c r="BL100" s="372">
        <f t="shared" si="202"/>
        <v>-2.2499999999999999E-2</v>
      </c>
      <c r="BM100" s="372">
        <f t="shared" si="202"/>
        <v>-2.2499999999999999E-2</v>
      </c>
      <c r="BN100" s="372">
        <f t="shared" si="202"/>
        <v>-2.2499999999999999E-2</v>
      </c>
      <c r="BO100" s="372"/>
      <c r="BP100" s="373">
        <f t="shared" ref="BP100:CF100" si="203">BP99/BP98</f>
        <v>-1.9704433497536946E-2</v>
      </c>
      <c r="BQ100" s="373">
        <f t="shared" si="203"/>
        <v>-1.6439119531903038E-2</v>
      </c>
      <c r="BR100" s="373">
        <f t="shared" si="203"/>
        <v>-4.151580979966208E-2</v>
      </c>
      <c r="BS100" s="373">
        <f t="shared" si="203"/>
        <v>-2.7916776402422964E-2</v>
      </c>
      <c r="BT100" s="373">
        <f t="shared" si="203"/>
        <v>-2.7132867132867132E-2</v>
      </c>
      <c r="BU100" s="373">
        <f t="shared" si="203"/>
        <v>-2.1040974529346623E-2</v>
      </c>
      <c r="BV100" s="373">
        <f t="shared" si="203"/>
        <v>-2.1155595996360327E-2</v>
      </c>
      <c r="BW100" s="373">
        <f t="shared" si="203"/>
        <v>-2.5386996904024767E-2</v>
      </c>
      <c r="BX100" s="373">
        <f t="shared" si="203"/>
        <v>-2.0776699029126214E-2</v>
      </c>
      <c r="BY100" s="373">
        <f t="shared" si="203"/>
        <v>-2.4040404040404039E-2</v>
      </c>
      <c r="BZ100" s="373">
        <f t="shared" si="203"/>
        <v>-2.5284450063211124E-2</v>
      </c>
      <c r="CA100" s="373">
        <f t="shared" si="203"/>
        <v>-2.2028779534553206E-2</v>
      </c>
      <c r="CB100" s="373">
        <f t="shared" si="203"/>
        <v>-3.2743786105042916E-2</v>
      </c>
      <c r="CC100" s="373">
        <f t="shared" si="203"/>
        <v>-2.2500000000000003E-2</v>
      </c>
      <c r="CD100" s="373">
        <f t="shared" si="203"/>
        <v>-2.2499999999999996E-2</v>
      </c>
      <c r="CE100" s="373">
        <f t="shared" si="203"/>
        <v>-2.2499999999999999E-2</v>
      </c>
      <c r="CF100" s="373">
        <f t="shared" si="203"/>
        <v>-2.2500000000000003E-2</v>
      </c>
    </row>
    <row r="101" spans="1:84" s="376" customFormat="1" ht="16">
      <c r="A101" s="374" t="s">
        <v>1</v>
      </c>
      <c r="B101" s="375" t="s">
        <v>17</v>
      </c>
      <c r="C101" s="375" t="s">
        <v>17</v>
      </c>
      <c r="D101" s="375" t="s">
        <v>17</v>
      </c>
      <c r="E101" s="375" t="s">
        <v>17</v>
      </c>
      <c r="F101" s="375">
        <f t="shared" ref="F101:AK101" si="204">F99/B99-1</f>
        <v>-4.5454545454545414E-2</v>
      </c>
      <c r="G101" s="375">
        <f t="shared" si="204"/>
        <v>1.9090909090909092</v>
      </c>
      <c r="H101" s="375">
        <f t="shared" si="204"/>
        <v>3.333333333333333</v>
      </c>
      <c r="I101" s="375">
        <f t="shared" si="204"/>
        <v>1.9333333333333331</v>
      </c>
      <c r="J101" s="375">
        <f t="shared" si="204"/>
        <v>1.0952380952380953</v>
      </c>
      <c r="K101" s="375">
        <f t="shared" si="204"/>
        <v>-3.125E-2</v>
      </c>
      <c r="L101" s="375">
        <f t="shared" si="204"/>
        <v>-0.51923076923076916</v>
      </c>
      <c r="M101" s="375">
        <f t="shared" si="204"/>
        <v>-0.43181818181818177</v>
      </c>
      <c r="N101" s="375">
        <f t="shared" si="204"/>
        <v>-0.43181818181818177</v>
      </c>
      <c r="O101" s="375">
        <f t="shared" si="204"/>
        <v>-6.4516129032258118E-2</v>
      </c>
      <c r="P101" s="375">
        <f t="shared" si="204"/>
        <v>-4.0000000000000036E-2</v>
      </c>
      <c r="Q101" s="375">
        <f t="shared" si="204"/>
        <v>0.12000000000000011</v>
      </c>
      <c r="R101" s="375">
        <f t="shared" si="204"/>
        <v>-0.36</v>
      </c>
      <c r="S101" s="375">
        <f t="shared" si="204"/>
        <v>-6.8965517241379337E-2</v>
      </c>
      <c r="T101" s="375">
        <f t="shared" si="204"/>
        <v>-0.125</v>
      </c>
      <c r="U101" s="375">
        <f t="shared" si="204"/>
        <v>-0.4642857142857143</v>
      </c>
      <c r="V101" s="375">
        <f t="shared" si="204"/>
        <v>1</v>
      </c>
      <c r="W101" s="375">
        <f t="shared" si="204"/>
        <v>-0.11111111111111116</v>
      </c>
      <c r="X101" s="375">
        <f t="shared" si="204"/>
        <v>-0.1428571428571429</v>
      </c>
      <c r="Y101" s="375">
        <f t="shared" si="204"/>
        <v>0.39999999999999991</v>
      </c>
      <c r="Z101" s="375">
        <f t="shared" si="204"/>
        <v>-6.25E-2</v>
      </c>
      <c r="AA101" s="375">
        <f t="shared" si="204"/>
        <v>0.66666666666666674</v>
      </c>
      <c r="AB101" s="375">
        <f t="shared" si="204"/>
        <v>0.61111111111111116</v>
      </c>
      <c r="AC101" s="375">
        <f t="shared" si="204"/>
        <v>0.19047619047619047</v>
      </c>
      <c r="AD101" s="375">
        <f t="shared" si="204"/>
        <v>-3.3333333333333326E-2</v>
      </c>
      <c r="AE101" s="375">
        <f t="shared" si="204"/>
        <v>-0.17500000000000004</v>
      </c>
      <c r="AF101" s="375">
        <f t="shared" si="204"/>
        <v>3.4482758620689724E-2</v>
      </c>
      <c r="AG101" s="375">
        <f t="shared" si="204"/>
        <v>-4.0000000000000036E-2</v>
      </c>
      <c r="AH101" s="375">
        <f t="shared" si="204"/>
        <v>-0.31034482758620685</v>
      </c>
      <c r="AI101" s="375">
        <f t="shared" si="204"/>
        <v>-3.0303030303030276E-2</v>
      </c>
      <c r="AJ101" s="375">
        <f t="shared" si="204"/>
        <v>3.3333333333333437E-2</v>
      </c>
      <c r="AK101" s="375">
        <f t="shared" si="204"/>
        <v>-0.125</v>
      </c>
      <c r="AL101" s="375">
        <f t="shared" ref="AL101:BN101" si="205">AL99/AH99-1</f>
        <v>0.75</v>
      </c>
      <c r="AM101" s="375">
        <f t="shared" si="205"/>
        <v>0.40625</v>
      </c>
      <c r="AN101" s="375">
        <f t="shared" si="205"/>
        <v>-0.12903225806451613</v>
      </c>
      <c r="AO101" s="375">
        <f t="shared" si="205"/>
        <v>0.33333333333333326</v>
      </c>
      <c r="AP101" s="375">
        <f t="shared" si="205"/>
        <v>0.14285714285714279</v>
      </c>
      <c r="AQ101" s="375">
        <f t="shared" si="205"/>
        <v>-0.15555555555555556</v>
      </c>
      <c r="AR101" s="375">
        <f t="shared" si="205"/>
        <v>-7.407407407407407E-2</v>
      </c>
      <c r="AS101" s="375">
        <f t="shared" si="205"/>
        <v>7.1428571428571397E-2</v>
      </c>
      <c r="AT101" s="375">
        <f t="shared" si="205"/>
        <v>-0.22499999999999998</v>
      </c>
      <c r="AU101" s="375">
        <f t="shared" si="205"/>
        <v>0.15789473684210531</v>
      </c>
      <c r="AV101" s="375">
        <f t="shared" si="205"/>
        <v>0.72</v>
      </c>
      <c r="AW101" s="375">
        <f t="shared" si="205"/>
        <v>0.7675395535402969</v>
      </c>
      <c r="AX101" s="375">
        <f t="shared" si="205"/>
        <v>1.7977105639918758</v>
      </c>
      <c r="AY101" s="375">
        <f t="shared" si="205"/>
        <v>5.9944978442260988E-2</v>
      </c>
      <c r="AZ101" s="375">
        <f t="shared" si="205"/>
        <v>0.11732112343273693</v>
      </c>
      <c r="BA101" s="375">
        <f t="shared" si="205"/>
        <v>-0.1630633750395879</v>
      </c>
      <c r="BB101" s="375">
        <f t="shared" si="205"/>
        <v>-0.50820388615518608</v>
      </c>
      <c r="BC101" s="375">
        <f t="shared" si="205"/>
        <v>2.2719030027028131E-2</v>
      </c>
      <c r="BD101" s="375">
        <f t="shared" si="205"/>
        <v>3.1264449540919559E-2</v>
      </c>
      <c r="BE101" s="375">
        <f t="shared" si="205"/>
        <v>4.5405710713378511E-2</v>
      </c>
      <c r="BF101" s="375">
        <f t="shared" si="205"/>
        <v>4.6277642857907475E-2</v>
      </c>
      <c r="BG101" s="375">
        <f t="shared" si="205"/>
        <v>4.0037689505254548E-2</v>
      </c>
      <c r="BH101" s="375">
        <f t="shared" si="205"/>
        <v>0.14340884283554245</v>
      </c>
      <c r="BI101" s="375">
        <f t="shared" si="205"/>
        <v>0.11265746491418915</v>
      </c>
      <c r="BJ101" s="375">
        <f t="shared" si="205"/>
        <v>9.2104008318594444E-2</v>
      </c>
      <c r="BK101" s="375">
        <f t="shared" si="205"/>
        <v>7.1793447127161514E-2</v>
      </c>
      <c r="BL101" s="375">
        <f t="shared" si="205"/>
        <v>-2.88008075915831E-2</v>
      </c>
      <c r="BM101" s="375">
        <f t="shared" si="205"/>
        <v>2.2889713572435966E-2</v>
      </c>
      <c r="BN101" s="375">
        <f t="shared" si="205"/>
        <v>3.3505375339465848E-2</v>
      </c>
      <c r="BO101" s="375"/>
      <c r="BP101" s="373" t="s">
        <v>17</v>
      </c>
      <c r="BQ101" s="373">
        <f t="shared" ref="BQ101:CF101" si="206">BQ99/BP99-1</f>
        <v>-0.18055555555555558</v>
      </c>
      <c r="BR101" s="373">
        <f t="shared" si="206"/>
        <v>1.9152542372881354</v>
      </c>
      <c r="BS101" s="373">
        <f t="shared" si="206"/>
        <v>-0.38372093023255816</v>
      </c>
      <c r="BT101" s="373">
        <f t="shared" si="206"/>
        <v>-8.4905660377358472E-2</v>
      </c>
      <c r="BU101" s="373">
        <f t="shared" si="206"/>
        <v>-2.0618556701030966E-2</v>
      </c>
      <c r="BV101" s="373">
        <f t="shared" si="206"/>
        <v>-2.1052631578947323E-2</v>
      </c>
      <c r="BW101" s="373">
        <f t="shared" si="206"/>
        <v>0.32258064516129026</v>
      </c>
      <c r="BX101" s="373">
        <f t="shared" si="206"/>
        <v>-0.13008130081300817</v>
      </c>
      <c r="BY101" s="373">
        <f t="shared" si="206"/>
        <v>0.11214953271028039</v>
      </c>
      <c r="BZ101" s="373">
        <f t="shared" si="206"/>
        <v>0.17647058823529416</v>
      </c>
      <c r="CA101" s="373">
        <f t="shared" si="206"/>
        <v>-0.11428571428571432</v>
      </c>
      <c r="CB101" s="373">
        <f t="shared" si="206"/>
        <v>0.82867108137062151</v>
      </c>
      <c r="CC101" s="373">
        <f t="shared" si="206"/>
        <v>-0.19862948062686159</v>
      </c>
      <c r="CD101" s="373">
        <f t="shared" si="206"/>
        <v>3.6048882424568829E-2</v>
      </c>
      <c r="CE101" s="373">
        <f t="shared" si="206"/>
        <v>9.748019836243027E-2</v>
      </c>
      <c r="CF101" s="373">
        <f t="shared" si="206"/>
        <v>2.2962050268984679E-2</v>
      </c>
    </row>
    <row r="102" spans="1:84" s="376" customFormat="1" ht="16">
      <c r="A102" s="374"/>
      <c r="B102" s="375"/>
      <c r="C102" s="375"/>
      <c r="D102" s="375"/>
      <c r="E102" s="375"/>
      <c r="F102" s="375"/>
      <c r="G102" s="375"/>
      <c r="H102" s="375"/>
      <c r="I102" s="375"/>
      <c r="J102" s="375"/>
      <c r="K102" s="375"/>
      <c r="L102" s="375"/>
      <c r="M102" s="375"/>
      <c r="N102" s="375"/>
      <c r="O102" s="375"/>
      <c r="P102" s="375"/>
      <c r="Q102" s="375"/>
      <c r="R102" s="375"/>
      <c r="S102" s="375"/>
      <c r="T102" s="375"/>
      <c r="U102" s="375"/>
      <c r="V102" s="375"/>
      <c r="W102" s="375"/>
      <c r="X102" s="375"/>
      <c r="Y102" s="375"/>
      <c r="Z102" s="375"/>
      <c r="AA102" s="375"/>
      <c r="AB102" s="375"/>
      <c r="AC102" s="375"/>
      <c r="AD102" s="375"/>
      <c r="AE102" s="375"/>
      <c r="AF102" s="375"/>
      <c r="AG102" s="375"/>
      <c r="AH102" s="375"/>
      <c r="AI102" s="375"/>
      <c r="AJ102" s="375"/>
      <c r="AK102" s="375"/>
      <c r="AL102" s="375"/>
      <c r="AM102" s="375"/>
      <c r="AN102" s="375"/>
      <c r="AO102" s="375"/>
      <c r="AP102" s="375"/>
      <c r="AQ102" s="375"/>
      <c r="AR102" s="375"/>
      <c r="AS102" s="375"/>
      <c r="AT102" s="375"/>
      <c r="AU102" s="375"/>
      <c r="AV102" s="375"/>
      <c r="AW102" s="375"/>
      <c r="AX102" s="375"/>
      <c r="AY102" s="375"/>
      <c r="AZ102" s="375"/>
      <c r="BA102" s="375"/>
      <c r="BB102" s="375"/>
      <c r="BC102" s="375"/>
      <c r="BD102" s="375"/>
      <c r="BE102" s="375"/>
      <c r="BF102" s="375"/>
      <c r="BG102" s="375"/>
      <c r="BH102" s="375"/>
      <c r="BI102" s="375"/>
      <c r="BJ102" s="375"/>
      <c r="BK102" s="375"/>
      <c r="BL102" s="375"/>
      <c r="BM102" s="375"/>
      <c r="BN102" s="375"/>
      <c r="BO102" s="375"/>
      <c r="BP102" s="373"/>
      <c r="BQ102" s="373"/>
      <c r="BR102" s="373"/>
      <c r="BS102" s="373"/>
      <c r="BT102" s="373"/>
      <c r="BU102" s="373"/>
      <c r="BV102" s="373"/>
      <c r="BW102" s="373"/>
      <c r="BX102" s="373"/>
      <c r="BY102" s="373"/>
      <c r="BZ102" s="373"/>
      <c r="CA102" s="373"/>
      <c r="CB102" s="373"/>
      <c r="CC102" s="373"/>
      <c r="CD102" s="373"/>
      <c r="CE102" s="373"/>
      <c r="CF102" s="373"/>
    </row>
    <row r="103" spans="1:84" s="351" customFormat="1" ht="16">
      <c r="A103" s="346" t="s">
        <v>77</v>
      </c>
      <c r="B103" s="370">
        <f>CF!B$8</f>
        <v>50</v>
      </c>
      <c r="C103" s="370">
        <f>CF!C$8</f>
        <v>48</v>
      </c>
      <c r="D103" s="370">
        <f>CF!D$8</f>
        <v>46</v>
      </c>
      <c r="E103" s="370">
        <f>CF!E$8</f>
        <v>44</v>
      </c>
      <c r="F103" s="370">
        <f>CF!F$8</f>
        <v>42</v>
      </c>
      <c r="G103" s="370">
        <f>CF!G$8</f>
        <v>43</v>
      </c>
      <c r="H103" s="370">
        <f>CF!H$8</f>
        <v>51</v>
      </c>
      <c r="I103" s="370">
        <f>CF!I$8</f>
        <v>54</v>
      </c>
      <c r="J103" s="370">
        <f>CF!J$8</f>
        <v>68</v>
      </c>
      <c r="K103" s="370">
        <f>CF!K$8</f>
        <v>56</v>
      </c>
      <c r="L103" s="370">
        <f>CF!L$8</f>
        <v>56</v>
      </c>
      <c r="M103" s="370">
        <f>CF!M$8</f>
        <v>66</v>
      </c>
      <c r="N103" s="370">
        <f>CF!N$8</f>
        <v>86</v>
      </c>
      <c r="O103" s="370">
        <f>CF!O$8</f>
        <v>56</v>
      </c>
      <c r="P103" s="370">
        <f>CF!P$8</f>
        <v>56</v>
      </c>
      <c r="Q103" s="370">
        <f>CF!Q$8</f>
        <v>58</v>
      </c>
      <c r="R103" s="370">
        <f>CF!R$8</f>
        <v>57</v>
      </c>
      <c r="S103" s="370">
        <f>CF!S$8</f>
        <v>56</v>
      </c>
      <c r="T103" s="370">
        <f>CF!T$8</f>
        <v>56</v>
      </c>
      <c r="U103" s="370">
        <f>CF!U$8</f>
        <v>53</v>
      </c>
      <c r="V103" s="370">
        <f>CF!V$8</f>
        <v>55</v>
      </c>
      <c r="W103" s="370">
        <f>CF!W$8</f>
        <v>49</v>
      </c>
      <c r="X103" s="370">
        <f>CF!X$8</f>
        <v>50</v>
      </c>
      <c r="Y103" s="370">
        <f>CF!Y$8</f>
        <v>50</v>
      </c>
      <c r="Z103" s="370">
        <f>CF!Z$8</f>
        <v>48</v>
      </c>
      <c r="AA103" s="370">
        <f>CF!AA$8</f>
        <v>46</v>
      </c>
      <c r="AB103" s="370">
        <f>CF!AB$8</f>
        <v>45</v>
      </c>
      <c r="AC103" s="370">
        <f>CF!AC$8</f>
        <v>49</v>
      </c>
      <c r="AD103" s="370">
        <f>CF!AD$8</f>
        <v>32</v>
      </c>
      <c r="AE103" s="370">
        <f>CF!AE$8</f>
        <v>31</v>
      </c>
      <c r="AF103" s="370">
        <f>CF!AF$8</f>
        <v>32</v>
      </c>
      <c r="AG103" s="370">
        <f>CF!AG$8</f>
        <v>34</v>
      </c>
      <c r="AH103" s="370">
        <f>CF!AH$8</f>
        <v>39</v>
      </c>
      <c r="AI103" s="370">
        <f>CF!AI$8</f>
        <v>38</v>
      </c>
      <c r="AJ103" s="370">
        <f>CF!AJ$8</f>
        <v>36</v>
      </c>
      <c r="AK103" s="370">
        <f>CF!AK$8</f>
        <v>34</v>
      </c>
      <c r="AL103" s="370">
        <f>CF!AL$8</f>
        <v>37</v>
      </c>
      <c r="AM103" s="370">
        <f>CF!AM$8</f>
        <v>37</v>
      </c>
      <c r="AN103" s="370">
        <f>CF!AN$8</f>
        <v>35</v>
      </c>
      <c r="AO103" s="370">
        <f>CF!AO$8</f>
        <v>39</v>
      </c>
      <c r="AP103" s="370">
        <f>CF!AP$8</f>
        <v>39</v>
      </c>
      <c r="AQ103" s="370">
        <f>CF!AQ$8</f>
        <v>37</v>
      </c>
      <c r="AR103" s="370">
        <f>CF!AR$8</f>
        <v>40</v>
      </c>
      <c r="AS103" s="370">
        <f>CF!AS$8</f>
        <v>46</v>
      </c>
      <c r="AT103" s="370">
        <f>CF!AT$8</f>
        <v>58</v>
      </c>
      <c r="AU103" s="370">
        <f>CF!AU$8</f>
        <v>105</v>
      </c>
      <c r="AV103" s="370">
        <f>CF!AV$8</f>
        <v>94</v>
      </c>
      <c r="AW103" s="348">
        <f t="shared" ref="AW103:BN103" si="207">AW105-AW104</f>
        <v>100.39650553290622</v>
      </c>
      <c r="AX103" s="348">
        <f t="shared" si="207"/>
        <v>97.748557543232153</v>
      </c>
      <c r="AY103" s="348">
        <f t="shared" si="207"/>
        <v>99.553479729881445</v>
      </c>
      <c r="AZ103" s="348">
        <f t="shared" si="207"/>
        <v>95.995611381149743</v>
      </c>
      <c r="BA103" s="348">
        <f t="shared" si="207"/>
        <v>92.959079503641561</v>
      </c>
      <c r="BB103" s="348">
        <f t="shared" si="207"/>
        <v>89.745272560303533</v>
      </c>
      <c r="BC103" s="347">
        <f t="shared" si="207"/>
        <v>86.622970398931443</v>
      </c>
      <c r="BD103" s="347">
        <f t="shared" si="207"/>
        <v>84.433486138842397</v>
      </c>
      <c r="BE103" s="347">
        <f t="shared" si="207"/>
        <v>82.66193318286949</v>
      </c>
      <c r="BF103" s="347">
        <f t="shared" si="207"/>
        <v>80.631096203945802</v>
      </c>
      <c r="BG103" s="347">
        <f t="shared" si="207"/>
        <v>78.550092346325414</v>
      </c>
      <c r="BH103" s="347">
        <f t="shared" si="207"/>
        <v>77.274733481534668</v>
      </c>
      <c r="BI103" s="347">
        <f t="shared" si="207"/>
        <v>76.965786215755003</v>
      </c>
      <c r="BJ103" s="347">
        <f t="shared" si="207"/>
        <v>75.989051880938376</v>
      </c>
      <c r="BK103" s="347">
        <f t="shared" si="207"/>
        <v>74.700224422033628</v>
      </c>
      <c r="BL103" s="347">
        <f t="shared" si="207"/>
        <v>74.058858080587299</v>
      </c>
      <c r="BM103" s="347">
        <f t="shared" si="207"/>
        <v>73.662433801648177</v>
      </c>
      <c r="BN103" s="347">
        <f t="shared" si="207"/>
        <v>72.971681273299865</v>
      </c>
      <c r="BO103" s="347"/>
      <c r="BP103" s="353">
        <v>192</v>
      </c>
      <c r="BQ103" s="352">
        <f>SUM(C103:F103)</f>
        <v>180</v>
      </c>
      <c r="BR103" s="352">
        <f>SUM(G103:J103)</f>
        <v>216</v>
      </c>
      <c r="BS103" s="352">
        <f>SUM(K103:N103)</f>
        <v>264</v>
      </c>
      <c r="BT103" s="352">
        <f>SUM(O103:R103)</f>
        <v>227</v>
      </c>
      <c r="BU103" s="352">
        <f>SUM(S103:V103)</f>
        <v>220</v>
      </c>
      <c r="BV103" s="352">
        <f>SUM(W103:Z103)</f>
        <v>197</v>
      </c>
      <c r="BW103" s="352">
        <f>SUM(AA103:AD103)</f>
        <v>172</v>
      </c>
      <c r="BX103" s="352">
        <f>SUM(AE103:AH103)</f>
        <v>136</v>
      </c>
      <c r="BY103" s="349">
        <f>SUM(AI103:AL103)</f>
        <v>145</v>
      </c>
      <c r="BZ103" s="349">
        <f>SUM(AM103:AP103)</f>
        <v>150</v>
      </c>
      <c r="CA103" s="349">
        <f>SUM(AQ103:AT103)</f>
        <v>181</v>
      </c>
      <c r="CB103" s="349">
        <f>SUM(AU103:AX103)</f>
        <v>397.14506307613834</v>
      </c>
      <c r="CC103" s="349">
        <f>SUM(AY103:BB103)</f>
        <v>378.25344317497627</v>
      </c>
      <c r="CD103" s="349">
        <f>SUM(BC103:BF103)</f>
        <v>334.34948592458915</v>
      </c>
      <c r="CE103" s="349">
        <f>SUM(BG103:BJ103)</f>
        <v>308.77966392455346</v>
      </c>
      <c r="CF103" s="349">
        <f>SUM(BK103:BN103)</f>
        <v>295.39319757756897</v>
      </c>
    </row>
    <row r="104" spans="1:84" s="351" customFormat="1" ht="16">
      <c r="A104" s="377" t="s">
        <v>78</v>
      </c>
      <c r="B104" s="370">
        <f>Drivers!B275</f>
        <v>-15</v>
      </c>
      <c r="C104" s="370">
        <f>Drivers!C275</f>
        <v>-15</v>
      </c>
      <c r="D104" s="370">
        <f>Drivers!D275</f>
        <v>-15</v>
      </c>
      <c r="E104" s="370">
        <f>Drivers!E275</f>
        <v>-14</v>
      </c>
      <c r="F104" s="370">
        <f>Drivers!F275</f>
        <v>-13</v>
      </c>
      <c r="G104" s="370">
        <f>Drivers!G275</f>
        <v>-13</v>
      </c>
      <c r="H104" s="370">
        <f>Drivers!H275</f>
        <v>-13</v>
      </c>
      <c r="I104" s="370">
        <f>Drivers!I275</f>
        <v>-11</v>
      </c>
      <c r="J104" s="370">
        <f>Drivers!J275</f>
        <v>-6</v>
      </c>
      <c r="K104" s="370">
        <f>Drivers!K275</f>
        <v>-7</v>
      </c>
      <c r="L104" s="370">
        <f>Drivers!L275</f>
        <v>-7</v>
      </c>
      <c r="M104" s="370">
        <f>Drivers!M275</f>
        <v>-7</v>
      </c>
      <c r="N104" s="370">
        <f>Drivers!N275</f>
        <v>-9</v>
      </c>
      <c r="O104" s="370">
        <f>Drivers!O275</f>
        <v>-4</v>
      </c>
      <c r="P104" s="370">
        <f>Drivers!P275</f>
        <v>-4</v>
      </c>
      <c r="Q104" s="370">
        <f>Drivers!Q275</f>
        <v>-4</v>
      </c>
      <c r="R104" s="370">
        <f>Drivers!R275</f>
        <v>-4</v>
      </c>
      <c r="S104" s="370">
        <f>Drivers!S275</f>
        <v>-3</v>
      </c>
      <c r="T104" s="370">
        <f>Drivers!T275</f>
        <v>-4</v>
      </c>
      <c r="U104" s="370">
        <f>Drivers!U275</f>
        <v>-4</v>
      </c>
      <c r="V104" s="370">
        <f>Drivers!V275</f>
        <v>-3</v>
      </c>
      <c r="W104" s="370">
        <f>Drivers!W275</f>
        <v>-1</v>
      </c>
      <c r="X104" s="370">
        <f>Drivers!X275</f>
        <v>-3</v>
      </c>
      <c r="Y104" s="370">
        <f>Drivers!Y275</f>
        <v>-2</v>
      </c>
      <c r="Z104" s="370">
        <f>Drivers!Z275</f>
        <v>-1</v>
      </c>
      <c r="AA104" s="370">
        <f>Drivers!AA275</f>
        <v>-2</v>
      </c>
      <c r="AB104" s="370">
        <f>Drivers!AB275</f>
        <v>-1</v>
      </c>
      <c r="AC104" s="370">
        <f>Drivers!AC275</f>
        <v>-2</v>
      </c>
      <c r="AD104" s="370">
        <f>Drivers!AD275</f>
        <v>-1</v>
      </c>
      <c r="AE104" s="370">
        <f>Drivers!AE275</f>
        <v>-1</v>
      </c>
      <c r="AF104" s="370">
        <f>Drivers!AF275</f>
        <v>-2</v>
      </c>
      <c r="AG104" s="370">
        <f>Drivers!AG275</f>
        <v>-1</v>
      </c>
      <c r="AH104" s="370">
        <f>Drivers!AH275</f>
        <v>-5</v>
      </c>
      <c r="AI104" s="370">
        <f>Drivers!AI275</f>
        <v>-6</v>
      </c>
      <c r="AJ104" s="370">
        <f>Drivers!AJ275</f>
        <v>-6</v>
      </c>
      <c r="AK104" s="370">
        <f>Drivers!AK275</f>
        <v>-6</v>
      </c>
      <c r="AL104" s="370">
        <f>Drivers!AL275</f>
        <v>-5</v>
      </c>
      <c r="AM104" s="370">
        <f>Drivers!AM275</f>
        <v>-5</v>
      </c>
      <c r="AN104" s="370">
        <f>Drivers!AN275</f>
        <v>-6</v>
      </c>
      <c r="AO104" s="370">
        <f>Drivers!AO275</f>
        <v>-5</v>
      </c>
      <c r="AP104" s="370">
        <f>Drivers!AP275</f>
        <v>-6</v>
      </c>
      <c r="AQ104" s="370">
        <f>Drivers!AQ275</f>
        <v>-5</v>
      </c>
      <c r="AR104" s="370">
        <f>Drivers!AR275</f>
        <v>-6</v>
      </c>
      <c r="AS104" s="370">
        <f>Drivers!AS275</f>
        <v>-5</v>
      </c>
      <c r="AT104" s="370">
        <f>Drivers!AT275</f>
        <v>-14</v>
      </c>
      <c r="AU104" s="370">
        <f>Drivers!AU275</f>
        <v>-40</v>
      </c>
      <c r="AV104" s="370">
        <f>Drivers!AV275</f>
        <v>-30</v>
      </c>
      <c r="AW104" s="348">
        <f>Drivers!AW275</f>
        <v>-35.64356435643564</v>
      </c>
      <c r="AX104" s="348">
        <f>Drivers!AX275</f>
        <v>-34.467209097147332</v>
      </c>
      <c r="AY104" s="348">
        <f>Drivers!AY275</f>
        <v>-33.329677443776134</v>
      </c>
      <c r="AZ104" s="348">
        <f>Drivers!AZ275</f>
        <v>-32.22968808919606</v>
      </c>
      <c r="BA104" s="348">
        <f>Drivers!BA275</f>
        <v>-31.166002013645034</v>
      </c>
      <c r="BB104" s="348">
        <f>Drivers!BB275</f>
        <v>-30.137421089102293</v>
      </c>
      <c r="BC104" s="370">
        <f>Drivers!BC275</f>
        <v>-29.14278672972598</v>
      </c>
      <c r="BD104" s="370">
        <f>Drivers!BD275</f>
        <v>-28.180978586830733</v>
      </c>
      <c r="BE104" s="370">
        <f>Drivers!BE275</f>
        <v>-27.250913286935326</v>
      </c>
      <c r="BF104" s="370">
        <f>Drivers!BF275</f>
        <v>-26.351543211458914</v>
      </c>
      <c r="BG104" s="370">
        <f>Drivers!BG275</f>
        <v>-25.481855316691295</v>
      </c>
      <c r="BH104" s="370">
        <f>Drivers!BH275</f>
        <v>-24.640869992708083</v>
      </c>
      <c r="BI104" s="370">
        <f>Drivers!BI275</f>
        <v>-23.82763995994544</v>
      </c>
      <c r="BJ104" s="370">
        <f>Drivers!BJ275</f>
        <v>-23.041249202191466</v>
      </c>
      <c r="BK104" s="370">
        <f>Drivers!BK275</f>
        <v>-22.280811934792407</v>
      </c>
      <c r="BL104" s="370">
        <f>Drivers!BL275</f>
        <v>-21.54547160691147</v>
      </c>
      <c r="BM104" s="370">
        <f>Drivers!BM275</f>
        <v>-20.83439993671637</v>
      </c>
      <c r="BN104" s="370">
        <f>Drivers!BN275</f>
        <v>-20.1467959784089</v>
      </c>
      <c r="BO104" s="370"/>
      <c r="BP104" s="353">
        <v>-53</v>
      </c>
      <c r="BQ104" s="352">
        <f>SUM(C104:F104)</f>
        <v>-57</v>
      </c>
      <c r="BR104" s="352">
        <f>SUM(G104:J104)</f>
        <v>-43</v>
      </c>
      <c r="BS104" s="352">
        <f>SUM(K104:N104)</f>
        <v>-30</v>
      </c>
      <c r="BT104" s="352">
        <f>SUM(O104:R104)</f>
        <v>-16</v>
      </c>
      <c r="BU104" s="352">
        <f>SUM(S104:V104)</f>
        <v>-14</v>
      </c>
      <c r="BV104" s="352">
        <f>SUM(W104:Z104)</f>
        <v>-7</v>
      </c>
      <c r="BW104" s="352">
        <f>SUM(AA104:AD104)</f>
        <v>-6</v>
      </c>
      <c r="BX104" s="352">
        <f>SUM(AE104:AH104)</f>
        <v>-9</v>
      </c>
      <c r="BY104" s="349">
        <f>SUM(AI104:AL104)</f>
        <v>-23</v>
      </c>
      <c r="BZ104" s="349">
        <f>SUM(AM104:AP104)</f>
        <v>-22</v>
      </c>
      <c r="CA104" s="349">
        <f>SUM(AQ104:AT104)</f>
        <v>-30</v>
      </c>
      <c r="CB104" s="349">
        <f>SUM(AU104:AX104)</f>
        <v>-140.11077345358296</v>
      </c>
      <c r="CC104" s="349">
        <f>SUM(AY104:BB104)</f>
        <v>-126.86278863571953</v>
      </c>
      <c r="CD104" s="349">
        <f>SUM(BC104:BF104)</f>
        <v>-110.92622181495096</v>
      </c>
      <c r="CE104" s="349">
        <f>SUM(BG104:BJ104)</f>
        <v>-96.99161447153628</v>
      </c>
      <c r="CF104" s="349">
        <f>SUM(BK104:BN104)</f>
        <v>-84.807479456829142</v>
      </c>
    </row>
    <row r="105" spans="1:84" s="351" customFormat="1" ht="16">
      <c r="A105" s="346" t="s">
        <v>31</v>
      </c>
      <c r="B105" s="370">
        <f t="shared" ref="B105:AU105" si="208">B103+B104</f>
        <v>35</v>
      </c>
      <c r="C105" s="370">
        <f t="shared" si="208"/>
        <v>33</v>
      </c>
      <c r="D105" s="370">
        <f t="shared" si="208"/>
        <v>31</v>
      </c>
      <c r="E105" s="370">
        <f t="shared" si="208"/>
        <v>30</v>
      </c>
      <c r="F105" s="370">
        <f t="shared" si="208"/>
        <v>29</v>
      </c>
      <c r="G105" s="370">
        <f t="shared" si="208"/>
        <v>30</v>
      </c>
      <c r="H105" s="370">
        <f t="shared" si="208"/>
        <v>38</v>
      </c>
      <c r="I105" s="370">
        <f t="shared" si="208"/>
        <v>43</v>
      </c>
      <c r="J105" s="370">
        <f t="shared" si="208"/>
        <v>62</v>
      </c>
      <c r="K105" s="370">
        <f t="shared" si="208"/>
        <v>49</v>
      </c>
      <c r="L105" s="370">
        <f t="shared" si="208"/>
        <v>49</v>
      </c>
      <c r="M105" s="370">
        <f t="shared" si="208"/>
        <v>59</v>
      </c>
      <c r="N105" s="370">
        <f t="shared" si="208"/>
        <v>77</v>
      </c>
      <c r="O105" s="370">
        <f t="shared" si="208"/>
        <v>52</v>
      </c>
      <c r="P105" s="370">
        <f t="shared" si="208"/>
        <v>52</v>
      </c>
      <c r="Q105" s="370">
        <f t="shared" si="208"/>
        <v>54</v>
      </c>
      <c r="R105" s="370">
        <f t="shared" si="208"/>
        <v>53</v>
      </c>
      <c r="S105" s="370">
        <f t="shared" si="208"/>
        <v>53</v>
      </c>
      <c r="T105" s="370">
        <f t="shared" si="208"/>
        <v>52</v>
      </c>
      <c r="U105" s="370">
        <f t="shared" si="208"/>
        <v>49</v>
      </c>
      <c r="V105" s="370">
        <f t="shared" si="208"/>
        <v>52</v>
      </c>
      <c r="W105" s="370">
        <f t="shared" si="208"/>
        <v>48</v>
      </c>
      <c r="X105" s="370">
        <f t="shared" si="208"/>
        <v>47</v>
      </c>
      <c r="Y105" s="370">
        <f t="shared" si="208"/>
        <v>48</v>
      </c>
      <c r="Z105" s="370">
        <f t="shared" si="208"/>
        <v>47</v>
      </c>
      <c r="AA105" s="370">
        <f t="shared" si="208"/>
        <v>44</v>
      </c>
      <c r="AB105" s="370">
        <f t="shared" si="208"/>
        <v>44</v>
      </c>
      <c r="AC105" s="370">
        <f t="shared" si="208"/>
        <v>47</v>
      </c>
      <c r="AD105" s="370">
        <f t="shared" si="208"/>
        <v>31</v>
      </c>
      <c r="AE105" s="370">
        <f t="shared" si="208"/>
        <v>30</v>
      </c>
      <c r="AF105" s="370">
        <f t="shared" si="208"/>
        <v>30</v>
      </c>
      <c r="AG105" s="370">
        <f t="shared" si="208"/>
        <v>33</v>
      </c>
      <c r="AH105" s="370">
        <f t="shared" si="208"/>
        <v>34</v>
      </c>
      <c r="AI105" s="370">
        <f t="shared" si="208"/>
        <v>32</v>
      </c>
      <c r="AJ105" s="370">
        <f t="shared" si="208"/>
        <v>30</v>
      </c>
      <c r="AK105" s="370">
        <f t="shared" si="208"/>
        <v>28</v>
      </c>
      <c r="AL105" s="370">
        <f t="shared" si="208"/>
        <v>32</v>
      </c>
      <c r="AM105" s="370">
        <f t="shared" si="208"/>
        <v>32</v>
      </c>
      <c r="AN105" s="370">
        <f t="shared" si="208"/>
        <v>29</v>
      </c>
      <c r="AO105" s="370">
        <f t="shared" si="208"/>
        <v>34</v>
      </c>
      <c r="AP105" s="370">
        <f t="shared" si="208"/>
        <v>33</v>
      </c>
      <c r="AQ105" s="370">
        <f t="shared" si="208"/>
        <v>32</v>
      </c>
      <c r="AR105" s="370">
        <f t="shared" si="208"/>
        <v>34</v>
      </c>
      <c r="AS105" s="370">
        <f t="shared" si="208"/>
        <v>41</v>
      </c>
      <c r="AT105" s="370">
        <f t="shared" si="208"/>
        <v>44</v>
      </c>
      <c r="AU105" s="370">
        <f t="shared" si="208"/>
        <v>65</v>
      </c>
      <c r="AV105" s="370">
        <f t="shared" ref="AV105" si="209">AV103+AV104</f>
        <v>64</v>
      </c>
      <c r="AW105" s="348">
        <f t="shared" ref="AW105:BN105" si="210">AW107*AW111</f>
        <v>64.752941176470586</v>
      </c>
      <c r="AX105" s="348">
        <f t="shared" si="210"/>
        <v>63.281348446084813</v>
      </c>
      <c r="AY105" s="348">
        <f t="shared" si="210"/>
        <v>66.223802286105311</v>
      </c>
      <c r="AZ105" s="348">
        <f t="shared" si="210"/>
        <v>63.765923291953683</v>
      </c>
      <c r="BA105" s="348">
        <f t="shared" si="210"/>
        <v>61.793077489996534</v>
      </c>
      <c r="BB105" s="348">
        <f t="shared" si="210"/>
        <v>59.607851471201236</v>
      </c>
      <c r="BC105" s="347">
        <f t="shared" si="210"/>
        <v>57.480183669205459</v>
      </c>
      <c r="BD105" s="347">
        <f t="shared" si="210"/>
        <v>56.252507552011672</v>
      </c>
      <c r="BE105" s="347">
        <f t="shared" si="210"/>
        <v>55.411019895934167</v>
      </c>
      <c r="BF105" s="347">
        <f t="shared" si="210"/>
        <v>54.279552992486892</v>
      </c>
      <c r="BG105" s="347">
        <f t="shared" si="210"/>
        <v>53.068237029634112</v>
      </c>
      <c r="BH105" s="347">
        <f t="shared" si="210"/>
        <v>52.633863488826584</v>
      </c>
      <c r="BI105" s="347">
        <f t="shared" si="210"/>
        <v>53.138146255809566</v>
      </c>
      <c r="BJ105" s="347">
        <f t="shared" si="210"/>
        <v>52.947802678746903</v>
      </c>
      <c r="BK105" s="347">
        <f t="shared" si="210"/>
        <v>52.419412487241225</v>
      </c>
      <c r="BL105" s="347">
        <f t="shared" si="210"/>
        <v>52.513386473675837</v>
      </c>
      <c r="BM105" s="347">
        <f t="shared" si="210"/>
        <v>52.828033864931804</v>
      </c>
      <c r="BN105" s="347">
        <f t="shared" si="210"/>
        <v>52.824885294890962</v>
      </c>
      <c r="BO105" s="347"/>
      <c r="BP105" s="352">
        <f t="shared" ref="BP105:CF105" si="211">BP103+BP104</f>
        <v>139</v>
      </c>
      <c r="BQ105" s="352">
        <f t="shared" si="211"/>
        <v>123</v>
      </c>
      <c r="BR105" s="352">
        <f t="shared" si="211"/>
        <v>173</v>
      </c>
      <c r="BS105" s="352">
        <f t="shared" si="211"/>
        <v>234</v>
      </c>
      <c r="BT105" s="352">
        <f t="shared" si="211"/>
        <v>211</v>
      </c>
      <c r="BU105" s="352">
        <f t="shared" si="211"/>
        <v>206</v>
      </c>
      <c r="BV105" s="352">
        <f t="shared" si="211"/>
        <v>190</v>
      </c>
      <c r="BW105" s="352">
        <f t="shared" si="211"/>
        <v>166</v>
      </c>
      <c r="BX105" s="352">
        <f t="shared" si="211"/>
        <v>127</v>
      </c>
      <c r="BY105" s="349">
        <f t="shared" si="211"/>
        <v>122</v>
      </c>
      <c r="BZ105" s="349">
        <f t="shared" si="211"/>
        <v>128</v>
      </c>
      <c r="CA105" s="349">
        <f t="shared" si="211"/>
        <v>151</v>
      </c>
      <c r="CB105" s="349">
        <f t="shared" si="211"/>
        <v>257.03428962255538</v>
      </c>
      <c r="CC105" s="349">
        <f t="shared" si="211"/>
        <v>251.39065453925673</v>
      </c>
      <c r="CD105" s="349">
        <f t="shared" si="211"/>
        <v>223.42326410963818</v>
      </c>
      <c r="CE105" s="349">
        <f t="shared" si="211"/>
        <v>211.78804945301718</v>
      </c>
      <c r="CF105" s="349">
        <f t="shared" si="211"/>
        <v>210.58571812073984</v>
      </c>
    </row>
    <row r="106" spans="1:84" ht="16">
      <c r="A106" s="341" t="s">
        <v>33</v>
      </c>
      <c r="B106" s="378">
        <f t="shared" ref="B106:AG106" si="212">-1*B105/B99</f>
        <v>1.5909090909090908</v>
      </c>
      <c r="C106" s="378">
        <f t="shared" si="212"/>
        <v>3</v>
      </c>
      <c r="D106" s="378">
        <f t="shared" si="212"/>
        <v>2.5833333333333335</v>
      </c>
      <c r="E106" s="378">
        <f t="shared" si="212"/>
        <v>2</v>
      </c>
      <c r="F106" s="378">
        <f t="shared" si="212"/>
        <v>1.3809523809523809</v>
      </c>
      <c r="G106" s="378">
        <f t="shared" si="212"/>
        <v>0.9375</v>
      </c>
      <c r="H106" s="378">
        <f t="shared" si="212"/>
        <v>0.73076923076923073</v>
      </c>
      <c r="I106" s="378">
        <f t="shared" si="212"/>
        <v>0.97727272727272729</v>
      </c>
      <c r="J106" s="378">
        <f t="shared" si="212"/>
        <v>1.4090909090909092</v>
      </c>
      <c r="K106" s="378">
        <f t="shared" si="212"/>
        <v>1.5806451612903225</v>
      </c>
      <c r="L106" s="378">
        <f t="shared" si="212"/>
        <v>1.96</v>
      </c>
      <c r="M106" s="378">
        <f t="shared" si="212"/>
        <v>2.36</v>
      </c>
      <c r="N106" s="378">
        <f t="shared" si="212"/>
        <v>3.08</v>
      </c>
      <c r="O106" s="378">
        <f t="shared" si="212"/>
        <v>1.7931034482758621</v>
      </c>
      <c r="P106" s="378">
        <f t="shared" si="212"/>
        <v>2.1666666666666665</v>
      </c>
      <c r="Q106" s="378">
        <f t="shared" si="212"/>
        <v>1.9285714285714286</v>
      </c>
      <c r="R106" s="378">
        <f t="shared" si="212"/>
        <v>3.3125</v>
      </c>
      <c r="S106" s="378">
        <f t="shared" si="212"/>
        <v>1.962962962962963</v>
      </c>
      <c r="T106" s="378">
        <f t="shared" si="212"/>
        <v>2.4761904761904763</v>
      </c>
      <c r="U106" s="378">
        <f t="shared" si="212"/>
        <v>3.2666666666666666</v>
      </c>
      <c r="V106" s="378">
        <f t="shared" si="212"/>
        <v>1.625</v>
      </c>
      <c r="W106" s="378">
        <f t="shared" si="212"/>
        <v>2</v>
      </c>
      <c r="X106" s="378">
        <f t="shared" si="212"/>
        <v>2.6111111111111112</v>
      </c>
      <c r="Y106" s="378">
        <f t="shared" si="212"/>
        <v>2.2857142857142856</v>
      </c>
      <c r="Z106" s="378">
        <f t="shared" si="212"/>
        <v>1.5666666666666667</v>
      </c>
      <c r="AA106" s="378">
        <f t="shared" si="212"/>
        <v>1.1000000000000001</v>
      </c>
      <c r="AB106" s="378">
        <f t="shared" si="212"/>
        <v>1.5172413793103448</v>
      </c>
      <c r="AC106" s="378">
        <f t="shared" si="212"/>
        <v>1.88</v>
      </c>
      <c r="AD106" s="378">
        <f t="shared" si="212"/>
        <v>1.0689655172413792</v>
      </c>
      <c r="AE106" s="378">
        <f t="shared" si="212"/>
        <v>0.90909090909090906</v>
      </c>
      <c r="AF106" s="378">
        <f t="shared" si="212"/>
        <v>1</v>
      </c>
      <c r="AG106" s="378">
        <f t="shared" si="212"/>
        <v>1.375</v>
      </c>
      <c r="AH106" s="378">
        <f t="shared" ref="AH106:BM106" si="213">-1*AH105/AH99</f>
        <v>1.7</v>
      </c>
      <c r="AI106" s="378">
        <f t="shared" si="213"/>
        <v>1</v>
      </c>
      <c r="AJ106" s="378">
        <f t="shared" si="213"/>
        <v>0.967741935483871</v>
      </c>
      <c r="AK106" s="378">
        <f t="shared" si="213"/>
        <v>1.3333333333333333</v>
      </c>
      <c r="AL106" s="378">
        <f t="shared" si="213"/>
        <v>0.91428571428571426</v>
      </c>
      <c r="AM106" s="378">
        <f t="shared" si="213"/>
        <v>0.71111111111111114</v>
      </c>
      <c r="AN106" s="378">
        <f t="shared" si="213"/>
        <v>1.0740740740740742</v>
      </c>
      <c r="AO106" s="378">
        <f t="shared" si="213"/>
        <v>1.2142857142857142</v>
      </c>
      <c r="AP106" s="378">
        <f t="shared" si="213"/>
        <v>0.82499999999999996</v>
      </c>
      <c r="AQ106" s="378">
        <f t="shared" si="213"/>
        <v>0.84210526315789469</v>
      </c>
      <c r="AR106" s="378">
        <f t="shared" si="213"/>
        <v>1.36</v>
      </c>
      <c r="AS106" s="378">
        <f t="shared" si="213"/>
        <v>1.3666666666666667</v>
      </c>
      <c r="AT106" s="378">
        <f t="shared" si="213"/>
        <v>1.4193548387096775</v>
      </c>
      <c r="AU106" s="378">
        <f t="shared" si="213"/>
        <v>1.4772727272727273</v>
      </c>
      <c r="AV106" s="378">
        <f t="shared" ref="AV106" si="214">-1*AV105/AV99</f>
        <v>1.4883720930232558</v>
      </c>
      <c r="AW106" s="378">
        <f t="shared" si="213"/>
        <v>1.2211502527486782</v>
      </c>
      <c r="AX106" s="378">
        <f t="shared" si="213"/>
        <v>0.72964439106552736</v>
      </c>
      <c r="AY106" s="378">
        <f t="shared" si="213"/>
        <v>1.4199665512876336</v>
      </c>
      <c r="AZ106" s="378">
        <f t="shared" si="213"/>
        <v>1.3272177689562479</v>
      </c>
      <c r="BA106" s="378">
        <f t="shared" si="213"/>
        <v>1.3923770483144324</v>
      </c>
      <c r="BB106" s="378">
        <f t="shared" si="213"/>
        <v>1.397506701151827</v>
      </c>
      <c r="BC106" s="378">
        <f t="shared" si="213"/>
        <v>1.2051075628185424</v>
      </c>
      <c r="BD106" s="378">
        <f t="shared" si="213"/>
        <v>1.1353385253449824</v>
      </c>
      <c r="BE106" s="378">
        <f t="shared" si="213"/>
        <v>1.1943409045108762</v>
      </c>
      <c r="BF106" s="378">
        <f t="shared" si="213"/>
        <v>1.2162973148467771</v>
      </c>
      <c r="BG106" s="378">
        <f t="shared" si="213"/>
        <v>1.069776977290799</v>
      </c>
      <c r="BH106" s="378">
        <f t="shared" si="213"/>
        <v>0.92906733597878433</v>
      </c>
      <c r="BI106" s="378">
        <f t="shared" si="213"/>
        <v>1.0293832009602963</v>
      </c>
      <c r="BJ106" s="378">
        <f t="shared" si="213"/>
        <v>1.0863941694215089</v>
      </c>
      <c r="BK106" s="378">
        <f t="shared" si="213"/>
        <v>0.9859153732684337</v>
      </c>
      <c r="BL106" s="378">
        <f t="shared" si="213"/>
        <v>0.95442906213426748</v>
      </c>
      <c r="BM106" s="378">
        <f t="shared" si="213"/>
        <v>1.000475166075149</v>
      </c>
      <c r="BN106" s="378">
        <f t="shared" ref="BN106" si="215">-1*BN105/BN99</f>
        <v>1.0487339016399344</v>
      </c>
      <c r="BO106" s="378"/>
      <c r="BP106" s="373">
        <f t="shared" ref="BP106:CF106" si="216">-1*BP105/BP99</f>
        <v>1.9305555555555556</v>
      </c>
      <c r="BQ106" s="373">
        <f t="shared" si="216"/>
        <v>2.0847457627118646</v>
      </c>
      <c r="BR106" s="373">
        <f t="shared" si="216"/>
        <v>1.0058139534883721</v>
      </c>
      <c r="BS106" s="373">
        <f t="shared" si="216"/>
        <v>2.2075471698113209</v>
      </c>
      <c r="BT106" s="373">
        <f t="shared" si="216"/>
        <v>2.1752577319587627</v>
      </c>
      <c r="BU106" s="373">
        <f t="shared" si="216"/>
        <v>2.168421052631579</v>
      </c>
      <c r="BV106" s="373">
        <f t="shared" si="216"/>
        <v>2.043010752688172</v>
      </c>
      <c r="BW106" s="373">
        <f t="shared" si="216"/>
        <v>1.3495934959349594</v>
      </c>
      <c r="BX106" s="373">
        <f t="shared" si="216"/>
        <v>1.1869158878504673</v>
      </c>
      <c r="BY106" s="373">
        <f t="shared" si="216"/>
        <v>1.0252100840336134</v>
      </c>
      <c r="BZ106" s="373">
        <f t="shared" si="216"/>
        <v>0.91428571428571426</v>
      </c>
      <c r="CA106" s="373">
        <f t="shared" si="216"/>
        <v>1.217741935483871</v>
      </c>
      <c r="CB106" s="373">
        <f t="shared" si="216"/>
        <v>1.1335319924356233</v>
      </c>
      <c r="CC106" s="373">
        <f t="shared" si="216"/>
        <v>1.383434127321316</v>
      </c>
      <c r="CD106" s="373">
        <f t="shared" si="216"/>
        <v>1.1867452495098285</v>
      </c>
      <c r="CE106" s="373">
        <f t="shared" si="216"/>
        <v>1.0250236056712034</v>
      </c>
      <c r="CF106" s="373">
        <f t="shared" si="216"/>
        <v>0.99632678964948851</v>
      </c>
    </row>
    <row r="107" spans="1:84" ht="16">
      <c r="A107" s="341" t="s">
        <v>34</v>
      </c>
      <c r="B107" s="378">
        <f t="shared" ref="B107:AU107" si="217">B105/B111</f>
        <v>6.363636363636363E-2</v>
      </c>
      <c r="C107" s="378">
        <f t="shared" si="217"/>
        <v>6.1452513966480445E-2</v>
      </c>
      <c r="D107" s="378">
        <f t="shared" si="217"/>
        <v>6.0077519379844964E-2</v>
      </c>
      <c r="E107" s="378">
        <f t="shared" si="217"/>
        <v>5.8823529411764705E-2</v>
      </c>
      <c r="F107" s="378">
        <f t="shared" si="217"/>
        <v>5.7768924302788842E-2</v>
      </c>
      <c r="G107" s="378">
        <f t="shared" si="217"/>
        <v>5.8479532163742687E-2</v>
      </c>
      <c r="H107" s="378">
        <f t="shared" si="217"/>
        <v>7.3643410852713184E-2</v>
      </c>
      <c r="I107" s="378">
        <f t="shared" si="217"/>
        <v>8.0827067669172928E-2</v>
      </c>
      <c r="J107" s="378">
        <f t="shared" si="217"/>
        <v>0.11334552102376599</v>
      </c>
      <c r="K107" s="378">
        <f t="shared" si="217"/>
        <v>8.6267605633802813E-2</v>
      </c>
      <c r="L107" s="378">
        <f t="shared" si="217"/>
        <v>8.7813620071684584E-2</v>
      </c>
      <c r="M107" s="378">
        <f t="shared" si="217"/>
        <v>0.10516934046345811</v>
      </c>
      <c r="N107" s="378">
        <f t="shared" si="217"/>
        <v>0.14000000000000001</v>
      </c>
      <c r="O107" s="378">
        <f t="shared" si="217"/>
        <v>9.4890510948905105E-2</v>
      </c>
      <c r="P107" s="378">
        <f t="shared" si="217"/>
        <v>9.683426443202979E-2</v>
      </c>
      <c r="Q107" s="378">
        <f t="shared" si="217"/>
        <v>0.10150375939849623</v>
      </c>
      <c r="R107" s="378">
        <f t="shared" si="217"/>
        <v>0.10231660231660232</v>
      </c>
      <c r="S107" s="378">
        <f t="shared" si="217"/>
        <v>0.10392156862745099</v>
      </c>
      <c r="T107" s="378">
        <f t="shared" si="217"/>
        <v>0.10337972166998012</v>
      </c>
      <c r="U107" s="378">
        <f t="shared" si="217"/>
        <v>0.10144927536231885</v>
      </c>
      <c r="V107" s="378">
        <f t="shared" si="217"/>
        <v>0.11279826464208242</v>
      </c>
      <c r="W107" s="378">
        <f t="shared" si="217"/>
        <v>0.10457516339869281</v>
      </c>
      <c r="X107" s="378">
        <f t="shared" si="217"/>
        <v>0.10585585585585586</v>
      </c>
      <c r="Y107" s="378">
        <f t="shared" si="217"/>
        <v>0.11162790697674418</v>
      </c>
      <c r="Z107" s="378">
        <f t="shared" si="217"/>
        <v>0.11325301204819277</v>
      </c>
      <c r="AA107" s="378">
        <f t="shared" si="217"/>
        <v>0.10022779043280182</v>
      </c>
      <c r="AB107" s="378">
        <f t="shared" si="217"/>
        <v>0.10114942528735632</v>
      </c>
      <c r="AC107" s="378">
        <f t="shared" si="217"/>
        <v>0.10904872389791183</v>
      </c>
      <c r="AD107" s="378">
        <f t="shared" si="217"/>
        <v>7.3113207547169809E-2</v>
      </c>
      <c r="AE107" s="378">
        <f t="shared" si="217"/>
        <v>6.9124423963133647E-2</v>
      </c>
      <c r="AF107" s="378">
        <f t="shared" si="217"/>
        <v>6.8807339449541288E-2</v>
      </c>
      <c r="AG107" s="378">
        <f t="shared" si="217"/>
        <v>7.4324324324324328E-2</v>
      </c>
      <c r="AH107" s="378">
        <f t="shared" si="217"/>
        <v>7.6062639821029079E-2</v>
      </c>
      <c r="AI107" s="378">
        <f t="shared" si="217"/>
        <v>7.0640176600441501E-2</v>
      </c>
      <c r="AJ107" s="378">
        <f t="shared" si="217"/>
        <v>6.8181818181818177E-2</v>
      </c>
      <c r="AK107" s="378">
        <f t="shared" si="217"/>
        <v>6.363636363636363E-2</v>
      </c>
      <c r="AL107" s="378">
        <f t="shared" si="217"/>
        <v>7.5117370892018781E-2</v>
      </c>
      <c r="AM107" s="378">
        <f t="shared" si="217"/>
        <v>7.1428571428571425E-2</v>
      </c>
      <c r="AN107" s="378">
        <f t="shared" si="217"/>
        <v>6.5022421524663671E-2</v>
      </c>
      <c r="AO107" s="378">
        <f t="shared" si="217"/>
        <v>7.6923076923076927E-2</v>
      </c>
      <c r="AP107" s="378">
        <f t="shared" si="217"/>
        <v>7.5170842824601361E-2</v>
      </c>
      <c r="AQ107" s="378">
        <f t="shared" si="217"/>
        <v>7.126948775055679E-2</v>
      </c>
      <c r="AR107" s="378">
        <f t="shared" si="217"/>
        <v>7.5555555555555556E-2</v>
      </c>
      <c r="AS107" s="378">
        <f t="shared" si="217"/>
        <v>8.9519650655021835E-2</v>
      </c>
      <c r="AT107" s="378">
        <f t="shared" si="217"/>
        <v>9.421841541755889E-2</v>
      </c>
      <c r="AU107" s="378">
        <f t="shared" si="217"/>
        <v>0.13238289205702647</v>
      </c>
      <c r="AV107" s="378">
        <f t="shared" ref="AV107" si="218">AV105/AV111</f>
        <v>0.12549019607843137</v>
      </c>
      <c r="AW107" s="379">
        <f t="shared" ref="AW107:BN107" si="219">AV107</f>
        <v>0.12549019607843137</v>
      </c>
      <c r="AX107" s="379">
        <f t="shared" si="219"/>
        <v>0.12549019607843137</v>
      </c>
      <c r="AY107" s="379">
        <f t="shared" si="219"/>
        <v>0.12549019607843137</v>
      </c>
      <c r="AZ107" s="379">
        <f t="shared" si="219"/>
        <v>0.12549019607843137</v>
      </c>
      <c r="BA107" s="379">
        <f t="shared" si="219"/>
        <v>0.12549019607843137</v>
      </c>
      <c r="BB107" s="379">
        <f t="shared" si="219"/>
        <v>0.12549019607843137</v>
      </c>
      <c r="BC107" s="379">
        <f t="shared" si="219"/>
        <v>0.12549019607843137</v>
      </c>
      <c r="BD107" s="379">
        <f t="shared" si="219"/>
        <v>0.12549019607843137</v>
      </c>
      <c r="BE107" s="379">
        <f t="shared" si="219"/>
        <v>0.12549019607843137</v>
      </c>
      <c r="BF107" s="379">
        <f t="shared" si="219"/>
        <v>0.12549019607843137</v>
      </c>
      <c r="BG107" s="379">
        <f t="shared" si="219"/>
        <v>0.12549019607843137</v>
      </c>
      <c r="BH107" s="379">
        <f t="shared" si="219"/>
        <v>0.12549019607843137</v>
      </c>
      <c r="BI107" s="379">
        <f t="shared" si="219"/>
        <v>0.12549019607843137</v>
      </c>
      <c r="BJ107" s="379">
        <f t="shared" si="219"/>
        <v>0.12549019607843137</v>
      </c>
      <c r="BK107" s="379">
        <f t="shared" si="219"/>
        <v>0.12549019607843137</v>
      </c>
      <c r="BL107" s="379">
        <f t="shared" si="219"/>
        <v>0.12549019607843137</v>
      </c>
      <c r="BM107" s="379">
        <f t="shared" si="219"/>
        <v>0.12549019607843137</v>
      </c>
      <c r="BN107" s="379">
        <f t="shared" si="219"/>
        <v>0.12549019607843137</v>
      </c>
      <c r="BO107" s="379"/>
      <c r="BP107" s="373">
        <f t="shared" ref="BP107:CF107" si="220">BP105/BP111</f>
        <v>0.39265536723163841</v>
      </c>
      <c r="BQ107" s="373">
        <f t="shared" si="220"/>
        <v>0.22905027932960895</v>
      </c>
      <c r="BR107" s="373">
        <f t="shared" si="220"/>
        <v>0.33723196881091616</v>
      </c>
      <c r="BS107" s="373">
        <f t="shared" si="220"/>
        <v>0.4119718309859155</v>
      </c>
      <c r="BT107" s="373">
        <f t="shared" si="220"/>
        <v>0.38503649635036497</v>
      </c>
      <c r="BU107" s="373">
        <f t="shared" si="220"/>
        <v>0.40392156862745099</v>
      </c>
      <c r="BV107" s="373">
        <f t="shared" si="220"/>
        <v>0.41394335511982572</v>
      </c>
      <c r="BW107" s="373">
        <f t="shared" si="220"/>
        <v>0.37813211845102507</v>
      </c>
      <c r="BX107" s="373">
        <f t="shared" si="220"/>
        <v>0.29262672811059909</v>
      </c>
      <c r="BY107" s="373">
        <f t="shared" si="220"/>
        <v>0.26931567328918321</v>
      </c>
      <c r="BZ107" s="373">
        <f t="shared" si="220"/>
        <v>0.2857142857142857</v>
      </c>
      <c r="CA107" s="373">
        <f t="shared" si="220"/>
        <v>0.33630289532293989</v>
      </c>
      <c r="CB107" s="373">
        <f t="shared" si="220"/>
        <v>0.52349142489318812</v>
      </c>
      <c r="CC107" s="373">
        <f t="shared" si="220"/>
        <v>0.47637045052358085</v>
      </c>
      <c r="CD107" s="373">
        <f t="shared" si="220"/>
        <v>0.48777556771486935</v>
      </c>
      <c r="CE107" s="373">
        <f t="shared" si="220"/>
        <v>0.50081414685184411</v>
      </c>
      <c r="CF107" s="373">
        <f t="shared" si="220"/>
        <v>0.50413466699423737</v>
      </c>
    </row>
    <row r="108" spans="1:84" ht="16">
      <c r="A108" s="341"/>
      <c r="B108" s="371"/>
      <c r="C108" s="371"/>
      <c r="D108" s="371"/>
      <c r="E108" s="371"/>
      <c r="F108" s="371"/>
      <c r="G108" s="371"/>
      <c r="H108" s="371"/>
      <c r="I108" s="371"/>
      <c r="J108" s="371"/>
      <c r="K108" s="371"/>
      <c r="L108" s="371"/>
      <c r="M108" s="371"/>
      <c r="N108" s="371"/>
      <c r="O108" s="371"/>
      <c r="P108" s="371"/>
      <c r="Q108" s="371"/>
      <c r="R108" s="371"/>
      <c r="S108" s="371"/>
      <c r="T108" s="371"/>
      <c r="U108" s="371"/>
      <c r="V108" s="371"/>
      <c r="W108" s="371"/>
      <c r="X108" s="371"/>
      <c r="Y108" s="371"/>
      <c r="Z108" s="371"/>
      <c r="AA108" s="371"/>
      <c r="AB108" s="371"/>
      <c r="AC108" s="371"/>
      <c r="AD108" s="371"/>
      <c r="AE108" s="371"/>
      <c r="AF108" s="371"/>
      <c r="AG108" s="371"/>
      <c r="AH108" s="371"/>
      <c r="AI108" s="371"/>
      <c r="AJ108" s="371"/>
      <c r="AK108" s="371"/>
      <c r="AL108" s="371"/>
      <c r="AM108" s="371"/>
      <c r="AN108" s="371"/>
      <c r="AO108" s="371"/>
      <c r="AP108" s="371"/>
      <c r="AQ108" s="371"/>
      <c r="AR108" s="371"/>
      <c r="AS108" s="371"/>
      <c r="AT108" s="371"/>
      <c r="AU108" s="371"/>
      <c r="AV108" s="371"/>
      <c r="AW108" s="371"/>
      <c r="AX108" s="371"/>
      <c r="AY108" s="371"/>
      <c r="AZ108" s="371"/>
      <c r="BA108" s="371"/>
      <c r="BB108" s="371"/>
      <c r="BC108" s="371"/>
      <c r="BD108" s="371"/>
      <c r="BE108" s="371"/>
      <c r="BF108" s="371"/>
      <c r="BG108" s="371"/>
      <c r="BH108" s="371"/>
      <c r="BI108" s="371"/>
      <c r="BJ108" s="371"/>
      <c r="BK108" s="371"/>
      <c r="BL108" s="371"/>
      <c r="BM108" s="371"/>
      <c r="BN108" s="371"/>
      <c r="BO108" s="371"/>
      <c r="BP108" s="373"/>
      <c r="BQ108" s="373"/>
      <c r="BR108" s="373"/>
      <c r="BS108" s="373"/>
      <c r="BT108" s="373"/>
      <c r="BU108" s="373"/>
      <c r="BV108" s="373"/>
      <c r="BW108" s="373"/>
      <c r="BX108" s="373"/>
      <c r="BY108" s="373"/>
      <c r="BZ108" s="373"/>
      <c r="CA108" s="373"/>
      <c r="CB108" s="373"/>
      <c r="CC108" s="373"/>
      <c r="CD108" s="373"/>
      <c r="CE108" s="373"/>
      <c r="CF108" s="373"/>
    </row>
    <row r="109" spans="1:84" ht="16">
      <c r="A109" s="341" t="s">
        <v>50</v>
      </c>
      <c r="B109" s="380">
        <f t="shared" ref="B109:AG109" si="221">B115/B105/4</f>
        <v>3.8357142857142859</v>
      </c>
      <c r="C109" s="380">
        <f t="shared" si="221"/>
        <v>3.9090909090909092</v>
      </c>
      <c r="D109" s="380">
        <f t="shared" si="221"/>
        <v>4.112903225806452</v>
      </c>
      <c r="E109" s="380">
        <f t="shared" si="221"/>
        <v>4.1833333333333336</v>
      </c>
      <c r="F109" s="380">
        <f t="shared" si="221"/>
        <v>4.4224137931034484</v>
      </c>
      <c r="G109" s="380">
        <f t="shared" si="221"/>
        <v>4.3</v>
      </c>
      <c r="H109" s="380">
        <f t="shared" si="221"/>
        <v>3.5</v>
      </c>
      <c r="I109" s="380">
        <f t="shared" si="221"/>
        <v>3.1802325581395348</v>
      </c>
      <c r="J109" s="380">
        <f t="shared" si="221"/>
        <v>2.2903225806451615</v>
      </c>
      <c r="K109" s="380">
        <f t="shared" si="221"/>
        <v>2.8469387755102042</v>
      </c>
      <c r="L109" s="380">
        <f t="shared" si="221"/>
        <v>2.8622448979591835</v>
      </c>
      <c r="M109" s="380">
        <f t="shared" si="221"/>
        <v>2.3305084745762712</v>
      </c>
      <c r="N109" s="380">
        <f t="shared" si="221"/>
        <v>1.7792207792207793</v>
      </c>
      <c r="O109" s="380">
        <f t="shared" si="221"/>
        <v>2.5817307692307692</v>
      </c>
      <c r="P109" s="380">
        <f t="shared" si="221"/>
        <v>2.5576923076923075</v>
      </c>
      <c r="Q109" s="380">
        <f t="shared" si="221"/>
        <v>2.3981481481481484</v>
      </c>
      <c r="R109" s="380">
        <f t="shared" si="221"/>
        <v>2.4056603773584904</v>
      </c>
      <c r="S109" s="380">
        <f t="shared" si="221"/>
        <v>2.3726415094339623</v>
      </c>
      <c r="T109" s="380">
        <f t="shared" si="221"/>
        <v>2.3221153846153846</v>
      </c>
      <c r="U109" s="380">
        <f t="shared" si="221"/>
        <v>2.3520408163265305</v>
      </c>
      <c r="V109" s="380">
        <f t="shared" si="221"/>
        <v>2.2067307692307692</v>
      </c>
      <c r="W109" s="380">
        <f t="shared" si="221"/>
        <v>2.3125</v>
      </c>
      <c r="X109" s="380">
        <f t="shared" si="221"/>
        <v>2.2872340425531914</v>
      </c>
      <c r="Y109" s="380">
        <f t="shared" si="221"/>
        <v>2.1614583333333335</v>
      </c>
      <c r="Z109" s="380">
        <f t="shared" si="221"/>
        <v>2.3351063829787235</v>
      </c>
      <c r="AA109" s="380">
        <f t="shared" si="221"/>
        <v>2.4715909090909092</v>
      </c>
      <c r="AB109" s="380">
        <f t="shared" si="221"/>
        <v>2.4488636363636362</v>
      </c>
      <c r="AC109" s="380">
        <f t="shared" si="221"/>
        <v>2.2553191489361701</v>
      </c>
      <c r="AD109" s="380">
        <f t="shared" si="221"/>
        <v>3.5</v>
      </c>
      <c r="AE109" s="380">
        <f t="shared" si="221"/>
        <v>3.6333333333333333</v>
      </c>
      <c r="AF109" s="380">
        <f t="shared" si="221"/>
        <v>3.7</v>
      </c>
      <c r="AG109" s="380">
        <f t="shared" si="221"/>
        <v>3.3863636363636362</v>
      </c>
      <c r="AH109" s="380">
        <f t="shared" ref="AH109:BN109" si="222">AH115/AH105/4</f>
        <v>3.3308823529411766</v>
      </c>
      <c r="AI109" s="380">
        <f t="shared" si="222"/>
        <v>3.4375</v>
      </c>
      <c r="AJ109" s="380">
        <f t="shared" si="222"/>
        <v>3.6666666666666665</v>
      </c>
      <c r="AK109" s="380">
        <f t="shared" si="222"/>
        <v>3.8035714285714284</v>
      </c>
      <c r="AL109" s="380">
        <f t="shared" si="222"/>
        <v>3.5</v>
      </c>
      <c r="AM109" s="380">
        <f t="shared" si="222"/>
        <v>3.484375</v>
      </c>
      <c r="AN109" s="380">
        <f t="shared" si="222"/>
        <v>3.8103448275862069</v>
      </c>
      <c r="AO109" s="380">
        <f t="shared" si="222"/>
        <v>3.2279411764705883</v>
      </c>
      <c r="AP109" s="380">
        <f t="shared" si="222"/>
        <v>3.4015151515151514</v>
      </c>
      <c r="AQ109" s="380">
        <f t="shared" si="222"/>
        <v>3.515625</v>
      </c>
      <c r="AR109" s="380">
        <f t="shared" si="222"/>
        <v>3.3676470588235294</v>
      </c>
      <c r="AS109" s="380">
        <f t="shared" si="222"/>
        <v>2.8475609756097562</v>
      </c>
      <c r="AT109" s="380">
        <f t="shared" si="222"/>
        <v>2.7897727272727271</v>
      </c>
      <c r="AU109" s="380">
        <f t="shared" si="222"/>
        <v>1.9615384615384615</v>
      </c>
      <c r="AV109" s="380">
        <f t="shared" ref="AV109" si="223">AV115/AV105/4</f>
        <v>2.015625</v>
      </c>
      <c r="AW109" s="380">
        <f t="shared" si="222"/>
        <v>1.9469125118789863</v>
      </c>
      <c r="AX109" s="380">
        <f t="shared" si="222"/>
        <v>2.0848201619669009</v>
      </c>
      <c r="AY109" s="380">
        <f t="shared" si="222"/>
        <v>1.9182479852088232</v>
      </c>
      <c r="AZ109" s="380">
        <f t="shared" si="222"/>
        <v>1.9305514639609445</v>
      </c>
      <c r="BA109" s="380">
        <f t="shared" si="222"/>
        <v>1.921736567045196</v>
      </c>
      <c r="BB109" s="380">
        <f t="shared" si="222"/>
        <v>1.9210775187698201</v>
      </c>
      <c r="BC109" s="380">
        <f t="shared" si="222"/>
        <v>1.9496378618708461</v>
      </c>
      <c r="BD109" s="380">
        <f t="shared" si="222"/>
        <v>1.9623861406865173</v>
      </c>
      <c r="BE109" s="380">
        <f t="shared" si="222"/>
        <v>1.9515079704417151</v>
      </c>
      <c r="BF109" s="380">
        <f t="shared" si="222"/>
        <v>1.9477293497996881</v>
      </c>
      <c r="BG109" s="380">
        <f t="shared" si="222"/>
        <v>1.9758810691335615</v>
      </c>
      <c r="BH109" s="380">
        <f t="shared" si="222"/>
        <v>2.0112745621736172</v>
      </c>
      <c r="BI109" s="380">
        <f t="shared" si="222"/>
        <v>1.9850513817563555</v>
      </c>
      <c r="BJ109" s="380">
        <f t="shared" si="222"/>
        <v>1.9723065553453742</v>
      </c>
      <c r="BK109" s="380">
        <f t="shared" si="222"/>
        <v>1.9957589593547909</v>
      </c>
      <c r="BL109" s="380">
        <f t="shared" si="222"/>
        <v>2.0041242011320435</v>
      </c>
      <c r="BM109" s="380">
        <f t="shared" si="222"/>
        <v>1.9920687649001043</v>
      </c>
      <c r="BN109" s="380">
        <f t="shared" si="222"/>
        <v>1.9805701818309849</v>
      </c>
      <c r="BO109" s="380"/>
      <c r="BP109" s="381">
        <v>0.96582733812949639</v>
      </c>
      <c r="BQ109" s="382">
        <f>I109</f>
        <v>3.1802325581395348</v>
      </c>
      <c r="BR109" s="382">
        <f>M109</f>
        <v>2.3305084745762712</v>
      </c>
      <c r="BS109" s="382">
        <f>Q109</f>
        <v>2.3981481481481484</v>
      </c>
      <c r="BT109" s="382">
        <f>U109</f>
        <v>2.3520408163265305</v>
      </c>
      <c r="BU109" s="382">
        <f>Y109</f>
        <v>2.1614583333333335</v>
      </c>
      <c r="BV109" s="382">
        <f>AC109</f>
        <v>2.2553191489361701</v>
      </c>
      <c r="BW109" s="382">
        <f>AG109</f>
        <v>3.3863636363636362</v>
      </c>
      <c r="BX109" s="382">
        <f>AH109</f>
        <v>3.3308823529411766</v>
      </c>
      <c r="BY109" s="382">
        <f>AL109</f>
        <v>3.5</v>
      </c>
      <c r="BZ109" s="382">
        <f>AP109</f>
        <v>3.4015151515151514</v>
      </c>
      <c r="CA109" s="382">
        <f>AT109</f>
        <v>2.7897727272727271</v>
      </c>
      <c r="CB109" s="382">
        <f>AX109</f>
        <v>2.0848201619669009</v>
      </c>
      <c r="CC109" s="382">
        <f>BB109</f>
        <v>1.9210775187698201</v>
      </c>
      <c r="CD109" s="382">
        <f>BF109</f>
        <v>1.9477293497996881</v>
      </c>
      <c r="CE109" s="382">
        <f>BJ109</f>
        <v>1.9723065553453742</v>
      </c>
      <c r="CF109" s="382">
        <f>BN109</f>
        <v>1.9805701818309849</v>
      </c>
    </row>
    <row r="110" spans="1:84" ht="16">
      <c r="A110" s="341"/>
      <c r="B110" s="341"/>
      <c r="C110" s="341"/>
      <c r="D110" s="341"/>
      <c r="E110" s="341"/>
      <c r="F110" s="341"/>
      <c r="G110" s="341"/>
      <c r="H110" s="341"/>
      <c r="I110" s="341"/>
      <c r="J110" s="341"/>
      <c r="K110" s="341"/>
      <c r="L110" s="341"/>
      <c r="M110" s="341"/>
      <c r="N110" s="341"/>
      <c r="O110" s="341"/>
      <c r="P110" s="341"/>
      <c r="Q110" s="341"/>
      <c r="R110" s="341"/>
      <c r="S110" s="341"/>
      <c r="T110" s="341"/>
      <c r="U110" s="341"/>
      <c r="V110" s="341"/>
      <c r="W110" s="341"/>
      <c r="X110" s="341"/>
      <c r="Y110" s="341"/>
      <c r="Z110" s="341"/>
      <c r="AA110" s="341"/>
      <c r="AB110" s="341"/>
      <c r="AC110" s="341"/>
      <c r="AD110" s="341"/>
      <c r="AE110" s="341"/>
      <c r="AF110" s="341"/>
      <c r="AG110" s="341"/>
      <c r="AH110" s="341"/>
      <c r="AI110" s="341"/>
      <c r="AJ110" s="341"/>
      <c r="AK110" s="341"/>
      <c r="AL110" s="341"/>
      <c r="AM110" s="341"/>
      <c r="AN110" s="341"/>
      <c r="AO110" s="341"/>
      <c r="AP110" s="341"/>
      <c r="AQ110" s="341"/>
      <c r="AR110" s="341"/>
      <c r="AS110" s="341"/>
      <c r="AT110" s="341"/>
      <c r="AU110" s="341"/>
      <c r="AV110" s="341"/>
      <c r="AW110" s="341"/>
      <c r="AX110" s="341"/>
      <c r="AY110" s="341"/>
      <c r="AZ110" s="341"/>
      <c r="BA110" s="341"/>
      <c r="BB110" s="341"/>
      <c r="BC110" s="341"/>
      <c r="BD110" s="341"/>
      <c r="BE110" s="341"/>
      <c r="BF110" s="341"/>
      <c r="BG110" s="341"/>
      <c r="BH110" s="341"/>
      <c r="BI110" s="341"/>
      <c r="BJ110" s="341"/>
      <c r="BK110" s="341"/>
      <c r="BL110" s="341"/>
      <c r="BM110" s="341"/>
      <c r="BN110" s="341"/>
      <c r="BO110" s="341"/>
      <c r="BP110" s="373"/>
      <c r="BQ110" s="373"/>
      <c r="BR110" s="373"/>
      <c r="BS110" s="373"/>
      <c r="BT110" s="373"/>
      <c r="BU110" s="373"/>
      <c r="BV110" s="373"/>
      <c r="BW110" s="373"/>
      <c r="BX110" s="373"/>
      <c r="BY110" s="373"/>
      <c r="BZ110" s="373"/>
      <c r="CA110" s="373"/>
      <c r="CB110" s="373"/>
      <c r="CC110" s="373"/>
      <c r="CD110" s="373"/>
      <c r="CE110" s="373"/>
      <c r="CF110" s="373"/>
    </row>
    <row r="111" spans="1:84" s="351" customFormat="1" ht="16">
      <c r="A111" s="346" t="s">
        <v>35</v>
      </c>
      <c r="B111" s="383">
        <v>550</v>
      </c>
      <c r="C111" s="370">
        <f t="shared" ref="C111:AH111" si="224">B115</f>
        <v>537</v>
      </c>
      <c r="D111" s="370">
        <f t="shared" si="224"/>
        <v>516</v>
      </c>
      <c r="E111" s="370">
        <f t="shared" si="224"/>
        <v>510</v>
      </c>
      <c r="F111" s="370">
        <f t="shared" si="224"/>
        <v>502</v>
      </c>
      <c r="G111" s="370">
        <f t="shared" si="224"/>
        <v>513</v>
      </c>
      <c r="H111" s="370">
        <f t="shared" si="224"/>
        <v>516</v>
      </c>
      <c r="I111" s="370">
        <f t="shared" si="224"/>
        <v>532</v>
      </c>
      <c r="J111" s="370">
        <f t="shared" si="224"/>
        <v>547</v>
      </c>
      <c r="K111" s="370">
        <f t="shared" si="224"/>
        <v>568</v>
      </c>
      <c r="L111" s="370">
        <f t="shared" si="224"/>
        <v>558</v>
      </c>
      <c r="M111" s="370">
        <f t="shared" si="224"/>
        <v>561</v>
      </c>
      <c r="N111" s="370">
        <f t="shared" si="224"/>
        <v>550</v>
      </c>
      <c r="O111" s="370">
        <f t="shared" si="224"/>
        <v>548</v>
      </c>
      <c r="P111" s="370">
        <f t="shared" si="224"/>
        <v>537</v>
      </c>
      <c r="Q111" s="370">
        <f t="shared" si="224"/>
        <v>532</v>
      </c>
      <c r="R111" s="370">
        <f t="shared" si="224"/>
        <v>518</v>
      </c>
      <c r="S111" s="370">
        <f t="shared" si="224"/>
        <v>510</v>
      </c>
      <c r="T111" s="370">
        <f t="shared" si="224"/>
        <v>503</v>
      </c>
      <c r="U111" s="370">
        <f t="shared" si="224"/>
        <v>483</v>
      </c>
      <c r="V111" s="370">
        <f t="shared" si="224"/>
        <v>461</v>
      </c>
      <c r="W111" s="370">
        <f t="shared" si="224"/>
        <v>459</v>
      </c>
      <c r="X111" s="370">
        <f t="shared" si="224"/>
        <v>444</v>
      </c>
      <c r="Y111" s="370">
        <f t="shared" si="224"/>
        <v>430</v>
      </c>
      <c r="Z111" s="370">
        <f t="shared" si="224"/>
        <v>415</v>
      </c>
      <c r="AA111" s="370">
        <f t="shared" si="224"/>
        <v>439</v>
      </c>
      <c r="AB111" s="370">
        <f t="shared" si="224"/>
        <v>435</v>
      </c>
      <c r="AC111" s="370">
        <f t="shared" si="224"/>
        <v>431</v>
      </c>
      <c r="AD111" s="370">
        <f t="shared" si="224"/>
        <v>424</v>
      </c>
      <c r="AE111" s="370">
        <f t="shared" si="224"/>
        <v>434</v>
      </c>
      <c r="AF111" s="370">
        <f t="shared" si="224"/>
        <v>436</v>
      </c>
      <c r="AG111" s="370">
        <f t="shared" si="224"/>
        <v>444</v>
      </c>
      <c r="AH111" s="370">
        <f t="shared" si="224"/>
        <v>447</v>
      </c>
      <c r="AI111" s="370">
        <f t="shared" ref="AI111:BN111" si="225">AH115</f>
        <v>453</v>
      </c>
      <c r="AJ111" s="370">
        <f t="shared" si="225"/>
        <v>440</v>
      </c>
      <c r="AK111" s="370">
        <f t="shared" si="225"/>
        <v>440</v>
      </c>
      <c r="AL111" s="370">
        <f t="shared" si="225"/>
        <v>426</v>
      </c>
      <c r="AM111" s="370">
        <f t="shared" si="225"/>
        <v>448</v>
      </c>
      <c r="AN111" s="370">
        <f t="shared" si="225"/>
        <v>446</v>
      </c>
      <c r="AO111" s="370">
        <f t="shared" si="225"/>
        <v>442</v>
      </c>
      <c r="AP111" s="370">
        <f t="shared" si="225"/>
        <v>439</v>
      </c>
      <c r="AQ111" s="370">
        <f t="shared" si="225"/>
        <v>449</v>
      </c>
      <c r="AR111" s="370">
        <f t="shared" si="225"/>
        <v>450</v>
      </c>
      <c r="AS111" s="370">
        <f t="shared" si="225"/>
        <v>458</v>
      </c>
      <c r="AT111" s="370">
        <f t="shared" si="225"/>
        <v>467</v>
      </c>
      <c r="AU111" s="370">
        <f t="shared" si="225"/>
        <v>491</v>
      </c>
      <c r="AV111" s="370">
        <f t="shared" si="225"/>
        <v>510</v>
      </c>
      <c r="AW111" s="370">
        <f t="shared" si="225"/>
        <v>516</v>
      </c>
      <c r="AX111" s="370">
        <f t="shared" si="225"/>
        <v>504.27324542973838</v>
      </c>
      <c r="AY111" s="370">
        <f t="shared" si="225"/>
        <v>527.72092446740169</v>
      </c>
      <c r="AZ111" s="370">
        <f t="shared" si="225"/>
        <v>508.1347012327559</v>
      </c>
      <c r="BA111" s="370">
        <f t="shared" si="225"/>
        <v>492.4135862484099</v>
      </c>
      <c r="BB111" s="370">
        <f t="shared" si="225"/>
        <v>475.00006641113487</v>
      </c>
      <c r="BC111" s="370">
        <f t="shared" si="225"/>
        <v>458.04521361398099</v>
      </c>
      <c r="BD111" s="370">
        <f t="shared" si="225"/>
        <v>448.26216955509301</v>
      </c>
      <c r="BE111" s="370">
        <f t="shared" si="225"/>
        <v>441.55656479572542</v>
      </c>
      <c r="BF111" s="370">
        <f t="shared" si="225"/>
        <v>432.54018790887994</v>
      </c>
      <c r="BG111" s="370">
        <f t="shared" si="225"/>
        <v>422.88751382989682</v>
      </c>
      <c r="BH111" s="370">
        <f t="shared" si="225"/>
        <v>419.42609967658683</v>
      </c>
      <c r="BI111" s="370">
        <f t="shared" si="225"/>
        <v>423.44460297598249</v>
      </c>
      <c r="BJ111" s="370">
        <f t="shared" si="225"/>
        <v>421.92780259626437</v>
      </c>
      <c r="BK111" s="370">
        <f t="shared" si="225"/>
        <v>417.71719325770351</v>
      </c>
      <c r="BL111" s="370">
        <f t="shared" si="225"/>
        <v>418.46604846210431</v>
      </c>
      <c r="BM111" s="370">
        <f t="shared" si="225"/>
        <v>420.97339486117534</v>
      </c>
      <c r="BN111" s="370">
        <f t="shared" si="225"/>
        <v>420.94830469366235</v>
      </c>
      <c r="BO111" s="370"/>
      <c r="BP111" s="355">
        <v>354</v>
      </c>
      <c r="BQ111" s="320">
        <f>C111</f>
        <v>537</v>
      </c>
      <c r="BR111" s="320">
        <f>G111</f>
        <v>513</v>
      </c>
      <c r="BS111" s="320">
        <f>K111</f>
        <v>568</v>
      </c>
      <c r="BT111" s="320">
        <f>O111</f>
        <v>548</v>
      </c>
      <c r="BU111" s="320">
        <f>S111</f>
        <v>510</v>
      </c>
      <c r="BV111" s="320">
        <f>W111</f>
        <v>459</v>
      </c>
      <c r="BW111" s="320">
        <f>AA111</f>
        <v>439</v>
      </c>
      <c r="BX111" s="320">
        <f>AE111</f>
        <v>434</v>
      </c>
      <c r="BY111" s="384">
        <f>AI111</f>
        <v>453</v>
      </c>
      <c r="BZ111" s="384">
        <f>AM111</f>
        <v>448</v>
      </c>
      <c r="CA111" s="384">
        <f>AQ111</f>
        <v>449</v>
      </c>
      <c r="CB111" s="384">
        <f>AU111</f>
        <v>491</v>
      </c>
      <c r="CC111" s="384">
        <f>AY111</f>
        <v>527.72092446740169</v>
      </c>
      <c r="CD111" s="384">
        <f>BC111</f>
        <v>458.04521361398099</v>
      </c>
      <c r="CE111" s="384">
        <f>BG111</f>
        <v>422.88751382989682</v>
      </c>
      <c r="CF111" s="384">
        <f>BK111</f>
        <v>417.71719325770351</v>
      </c>
    </row>
    <row r="112" spans="1:84" s="351" customFormat="1" ht="16">
      <c r="A112" s="346" t="s">
        <v>8</v>
      </c>
      <c r="B112" s="346">
        <f t="shared" ref="B112:AG112" si="226">-B99</f>
        <v>22</v>
      </c>
      <c r="C112" s="346">
        <f t="shared" si="226"/>
        <v>11</v>
      </c>
      <c r="D112" s="346">
        <f t="shared" si="226"/>
        <v>12</v>
      </c>
      <c r="E112" s="346">
        <f t="shared" si="226"/>
        <v>15</v>
      </c>
      <c r="F112" s="346">
        <f t="shared" si="226"/>
        <v>21</v>
      </c>
      <c r="G112" s="346">
        <f t="shared" si="226"/>
        <v>32</v>
      </c>
      <c r="H112" s="346">
        <f t="shared" si="226"/>
        <v>52</v>
      </c>
      <c r="I112" s="346">
        <f t="shared" si="226"/>
        <v>44</v>
      </c>
      <c r="J112" s="346">
        <f t="shared" si="226"/>
        <v>44</v>
      </c>
      <c r="K112" s="346">
        <f t="shared" si="226"/>
        <v>31</v>
      </c>
      <c r="L112" s="346">
        <f t="shared" si="226"/>
        <v>25</v>
      </c>
      <c r="M112" s="346">
        <f t="shared" si="226"/>
        <v>25</v>
      </c>
      <c r="N112" s="346">
        <f t="shared" si="226"/>
        <v>25</v>
      </c>
      <c r="O112" s="346">
        <f t="shared" si="226"/>
        <v>29</v>
      </c>
      <c r="P112" s="346">
        <f t="shared" si="226"/>
        <v>24</v>
      </c>
      <c r="Q112" s="346">
        <f t="shared" si="226"/>
        <v>28</v>
      </c>
      <c r="R112" s="346">
        <f t="shared" si="226"/>
        <v>16</v>
      </c>
      <c r="S112" s="346">
        <f t="shared" si="226"/>
        <v>27</v>
      </c>
      <c r="T112" s="346">
        <f t="shared" si="226"/>
        <v>21</v>
      </c>
      <c r="U112" s="346">
        <f t="shared" si="226"/>
        <v>15</v>
      </c>
      <c r="V112" s="346">
        <f t="shared" si="226"/>
        <v>32</v>
      </c>
      <c r="W112" s="346">
        <f t="shared" si="226"/>
        <v>24</v>
      </c>
      <c r="X112" s="346">
        <f t="shared" si="226"/>
        <v>18</v>
      </c>
      <c r="Y112" s="346">
        <f t="shared" si="226"/>
        <v>21</v>
      </c>
      <c r="Z112" s="346">
        <f t="shared" si="226"/>
        <v>30</v>
      </c>
      <c r="AA112" s="346">
        <f t="shared" si="226"/>
        <v>40</v>
      </c>
      <c r="AB112" s="346">
        <f t="shared" si="226"/>
        <v>29</v>
      </c>
      <c r="AC112" s="346">
        <f t="shared" si="226"/>
        <v>25</v>
      </c>
      <c r="AD112" s="346">
        <f t="shared" si="226"/>
        <v>29</v>
      </c>
      <c r="AE112" s="346">
        <f t="shared" si="226"/>
        <v>33</v>
      </c>
      <c r="AF112" s="346">
        <f t="shared" si="226"/>
        <v>30</v>
      </c>
      <c r="AG112" s="346">
        <f t="shared" si="226"/>
        <v>24</v>
      </c>
      <c r="AH112" s="346">
        <f t="shared" ref="AH112:BN112" si="227">-AH99</f>
        <v>20</v>
      </c>
      <c r="AI112" s="346">
        <f t="shared" si="227"/>
        <v>32</v>
      </c>
      <c r="AJ112" s="346">
        <f t="shared" si="227"/>
        <v>31</v>
      </c>
      <c r="AK112" s="346">
        <f t="shared" si="227"/>
        <v>21</v>
      </c>
      <c r="AL112" s="346">
        <f t="shared" si="227"/>
        <v>35</v>
      </c>
      <c r="AM112" s="346">
        <f t="shared" si="227"/>
        <v>45</v>
      </c>
      <c r="AN112" s="346">
        <f t="shared" si="227"/>
        <v>27</v>
      </c>
      <c r="AO112" s="346">
        <f t="shared" si="227"/>
        <v>28</v>
      </c>
      <c r="AP112" s="346">
        <f t="shared" si="227"/>
        <v>40</v>
      </c>
      <c r="AQ112" s="346">
        <f t="shared" si="227"/>
        <v>38</v>
      </c>
      <c r="AR112" s="346">
        <f t="shared" si="227"/>
        <v>25</v>
      </c>
      <c r="AS112" s="346">
        <f t="shared" si="227"/>
        <v>30</v>
      </c>
      <c r="AT112" s="346">
        <f t="shared" si="227"/>
        <v>31</v>
      </c>
      <c r="AU112" s="346">
        <f t="shared" si="227"/>
        <v>44</v>
      </c>
      <c r="AV112" s="346">
        <f t="shared" ref="AV112" si="228">-AV99</f>
        <v>43</v>
      </c>
      <c r="AW112" s="346">
        <f t="shared" si="227"/>
        <v>53.02618660620891</v>
      </c>
      <c r="AX112" s="346">
        <f t="shared" si="227"/>
        <v>86.729027483748155</v>
      </c>
      <c r="AY112" s="346">
        <f t="shared" si="227"/>
        <v>46.637579051459483</v>
      </c>
      <c r="AZ112" s="346">
        <f t="shared" si="227"/>
        <v>48.044808307607688</v>
      </c>
      <c r="BA112" s="346">
        <f t="shared" si="227"/>
        <v>44.379557652721495</v>
      </c>
      <c r="BB112" s="346">
        <f t="shared" si="227"/>
        <v>42.652998674047403</v>
      </c>
      <c r="BC112" s="346">
        <f t="shared" si="227"/>
        <v>47.697139610317485</v>
      </c>
      <c r="BD112" s="346">
        <f t="shared" si="227"/>
        <v>49.54690279264404</v>
      </c>
      <c r="BE112" s="346">
        <f t="shared" si="227"/>
        <v>46.394643009088675</v>
      </c>
      <c r="BF112" s="346">
        <f t="shared" si="227"/>
        <v>44.626878913503774</v>
      </c>
      <c r="BG112" s="346">
        <f t="shared" si="227"/>
        <v>49.606822876324152</v>
      </c>
      <c r="BH112" s="346">
        <f t="shared" si="227"/>
        <v>56.652366788222231</v>
      </c>
      <c r="BI112" s="346">
        <f t="shared" si="227"/>
        <v>51.621345876091411</v>
      </c>
      <c r="BJ112" s="346">
        <f t="shared" si="227"/>
        <v>48.737193340186032</v>
      </c>
      <c r="BK112" s="346">
        <f t="shared" si="227"/>
        <v>53.168267691642001</v>
      </c>
      <c r="BL112" s="346">
        <f t="shared" si="227"/>
        <v>55.020732872746848</v>
      </c>
      <c r="BM112" s="346">
        <f t="shared" si="227"/>
        <v>52.80294369741879</v>
      </c>
      <c r="BN112" s="346">
        <f t="shared" si="227"/>
        <v>50.37015129604108</v>
      </c>
      <c r="BO112" s="346"/>
      <c r="BP112" s="352">
        <f t="shared" ref="BP112:BQ114" si="229">SUM(B112:E112)</f>
        <v>60</v>
      </c>
      <c r="BQ112" s="352">
        <f t="shared" si="229"/>
        <v>59</v>
      </c>
      <c r="BR112" s="352">
        <f>SUM(G112:J112)</f>
        <v>172</v>
      </c>
      <c r="BS112" s="352">
        <f>SUM(K112:N112)</f>
        <v>106</v>
      </c>
      <c r="BT112" s="352">
        <f>SUM(O112:R112)</f>
        <v>97</v>
      </c>
      <c r="BU112" s="352">
        <f>SUM(S112:V112)</f>
        <v>95</v>
      </c>
      <c r="BV112" s="352">
        <f>SUM(W112:Z112)</f>
        <v>93</v>
      </c>
      <c r="BW112" s="352">
        <f>SUM(AA112:AD112)</f>
        <v>123</v>
      </c>
      <c r="BX112" s="352">
        <f>SUM(AE112:AH112)</f>
        <v>107</v>
      </c>
      <c r="BY112" s="349">
        <f>SUM(AI112:AL112)</f>
        <v>119</v>
      </c>
      <c r="BZ112" s="349">
        <f>SUM(AM112:AP112)</f>
        <v>140</v>
      </c>
      <c r="CA112" s="349">
        <f>SUM(AQ112:AT112)</f>
        <v>124</v>
      </c>
      <c r="CB112" s="349">
        <f>SUM(AU112:AX112)</f>
        <v>226.75521408995706</v>
      </c>
      <c r="CC112" s="349">
        <f>SUM(AY112:BB112)</f>
        <v>181.71494368583609</v>
      </c>
      <c r="CD112" s="349">
        <f>SUM(BC112:BF112)</f>
        <v>188.26556432555395</v>
      </c>
      <c r="CE112" s="349">
        <f>SUM(BG112:BJ112)</f>
        <v>206.61772888082382</v>
      </c>
      <c r="CF112" s="349">
        <f>SUM(BK112:BN112)</f>
        <v>211.36209555784873</v>
      </c>
    </row>
    <row r="113" spans="1:84" s="351" customFormat="1" ht="16">
      <c r="A113" s="346" t="s">
        <v>36</v>
      </c>
      <c r="B113" s="346">
        <f t="shared" ref="B113:AG113" si="230">-B105</f>
        <v>-35</v>
      </c>
      <c r="C113" s="346">
        <f t="shared" si="230"/>
        <v>-33</v>
      </c>
      <c r="D113" s="346">
        <f t="shared" si="230"/>
        <v>-31</v>
      </c>
      <c r="E113" s="346">
        <f t="shared" si="230"/>
        <v>-30</v>
      </c>
      <c r="F113" s="346">
        <f t="shared" si="230"/>
        <v>-29</v>
      </c>
      <c r="G113" s="346">
        <f t="shared" si="230"/>
        <v>-30</v>
      </c>
      <c r="H113" s="346">
        <f t="shared" si="230"/>
        <v>-38</v>
      </c>
      <c r="I113" s="346">
        <f t="shared" si="230"/>
        <v>-43</v>
      </c>
      <c r="J113" s="346">
        <f t="shared" si="230"/>
        <v>-62</v>
      </c>
      <c r="K113" s="346">
        <f t="shared" si="230"/>
        <v>-49</v>
      </c>
      <c r="L113" s="346">
        <f t="shared" si="230"/>
        <v>-49</v>
      </c>
      <c r="M113" s="346">
        <f t="shared" si="230"/>
        <v>-59</v>
      </c>
      <c r="N113" s="346">
        <f t="shared" si="230"/>
        <v>-77</v>
      </c>
      <c r="O113" s="346">
        <f t="shared" si="230"/>
        <v>-52</v>
      </c>
      <c r="P113" s="346">
        <f t="shared" si="230"/>
        <v>-52</v>
      </c>
      <c r="Q113" s="346">
        <f t="shared" si="230"/>
        <v>-54</v>
      </c>
      <c r="R113" s="346">
        <f t="shared" si="230"/>
        <v>-53</v>
      </c>
      <c r="S113" s="346">
        <f t="shared" si="230"/>
        <v>-53</v>
      </c>
      <c r="T113" s="346">
        <f t="shared" si="230"/>
        <v>-52</v>
      </c>
      <c r="U113" s="346">
        <f t="shared" si="230"/>
        <v>-49</v>
      </c>
      <c r="V113" s="346">
        <f t="shared" si="230"/>
        <v>-52</v>
      </c>
      <c r="W113" s="346">
        <f t="shared" si="230"/>
        <v>-48</v>
      </c>
      <c r="X113" s="346">
        <f t="shared" si="230"/>
        <v>-47</v>
      </c>
      <c r="Y113" s="346">
        <f t="shared" si="230"/>
        <v>-48</v>
      </c>
      <c r="Z113" s="346">
        <f t="shared" si="230"/>
        <v>-47</v>
      </c>
      <c r="AA113" s="346">
        <f t="shared" si="230"/>
        <v>-44</v>
      </c>
      <c r="AB113" s="346">
        <f t="shared" si="230"/>
        <v>-44</v>
      </c>
      <c r="AC113" s="346">
        <f t="shared" si="230"/>
        <v>-47</v>
      </c>
      <c r="AD113" s="346">
        <f t="shared" si="230"/>
        <v>-31</v>
      </c>
      <c r="AE113" s="346">
        <f t="shared" si="230"/>
        <v>-30</v>
      </c>
      <c r="AF113" s="346">
        <f t="shared" si="230"/>
        <v>-30</v>
      </c>
      <c r="AG113" s="346">
        <f t="shared" si="230"/>
        <v>-33</v>
      </c>
      <c r="AH113" s="346">
        <f t="shared" ref="AH113:BN113" si="231">-AH105</f>
        <v>-34</v>
      </c>
      <c r="AI113" s="346">
        <f t="shared" si="231"/>
        <v>-32</v>
      </c>
      <c r="AJ113" s="346">
        <f t="shared" si="231"/>
        <v>-30</v>
      </c>
      <c r="AK113" s="346">
        <f t="shared" si="231"/>
        <v>-28</v>
      </c>
      <c r="AL113" s="346">
        <f t="shared" si="231"/>
        <v>-32</v>
      </c>
      <c r="AM113" s="346">
        <f t="shared" si="231"/>
        <v>-32</v>
      </c>
      <c r="AN113" s="346">
        <f t="shared" si="231"/>
        <v>-29</v>
      </c>
      <c r="AO113" s="346">
        <f t="shared" si="231"/>
        <v>-34</v>
      </c>
      <c r="AP113" s="346">
        <f t="shared" si="231"/>
        <v>-33</v>
      </c>
      <c r="AQ113" s="346">
        <f t="shared" si="231"/>
        <v>-32</v>
      </c>
      <c r="AR113" s="346">
        <f t="shared" si="231"/>
        <v>-34</v>
      </c>
      <c r="AS113" s="346">
        <f t="shared" si="231"/>
        <v>-41</v>
      </c>
      <c r="AT113" s="346">
        <f t="shared" si="231"/>
        <v>-44</v>
      </c>
      <c r="AU113" s="346">
        <f t="shared" si="231"/>
        <v>-65</v>
      </c>
      <c r="AV113" s="346">
        <f t="shared" ref="AV113" si="232">-AV105</f>
        <v>-64</v>
      </c>
      <c r="AW113" s="346">
        <f t="shared" si="231"/>
        <v>-64.752941176470586</v>
      </c>
      <c r="AX113" s="346">
        <f t="shared" si="231"/>
        <v>-63.281348446084813</v>
      </c>
      <c r="AY113" s="346">
        <f t="shared" si="231"/>
        <v>-66.223802286105311</v>
      </c>
      <c r="AZ113" s="346">
        <f t="shared" si="231"/>
        <v>-63.765923291953683</v>
      </c>
      <c r="BA113" s="346">
        <f t="shared" si="231"/>
        <v>-61.793077489996534</v>
      </c>
      <c r="BB113" s="346">
        <f t="shared" si="231"/>
        <v>-59.607851471201236</v>
      </c>
      <c r="BC113" s="346">
        <f t="shared" si="231"/>
        <v>-57.480183669205459</v>
      </c>
      <c r="BD113" s="346">
        <f t="shared" si="231"/>
        <v>-56.252507552011672</v>
      </c>
      <c r="BE113" s="346">
        <f t="shared" si="231"/>
        <v>-55.411019895934167</v>
      </c>
      <c r="BF113" s="346">
        <f t="shared" si="231"/>
        <v>-54.279552992486892</v>
      </c>
      <c r="BG113" s="346">
        <f t="shared" si="231"/>
        <v>-53.068237029634112</v>
      </c>
      <c r="BH113" s="346">
        <f t="shared" si="231"/>
        <v>-52.633863488826584</v>
      </c>
      <c r="BI113" s="346">
        <f t="shared" si="231"/>
        <v>-53.138146255809566</v>
      </c>
      <c r="BJ113" s="346">
        <f t="shared" si="231"/>
        <v>-52.947802678746903</v>
      </c>
      <c r="BK113" s="346">
        <f t="shared" si="231"/>
        <v>-52.419412487241225</v>
      </c>
      <c r="BL113" s="346">
        <f t="shared" si="231"/>
        <v>-52.513386473675837</v>
      </c>
      <c r="BM113" s="346">
        <f t="shared" si="231"/>
        <v>-52.828033864931804</v>
      </c>
      <c r="BN113" s="346">
        <f t="shared" si="231"/>
        <v>-52.824885294890962</v>
      </c>
      <c r="BO113" s="346"/>
      <c r="BP113" s="352">
        <f t="shared" si="229"/>
        <v>-129</v>
      </c>
      <c r="BQ113" s="352">
        <f t="shared" si="229"/>
        <v>-123</v>
      </c>
      <c r="BR113" s="352">
        <f>SUM(G113:J113)</f>
        <v>-173</v>
      </c>
      <c r="BS113" s="352">
        <f>SUM(K113:N113)</f>
        <v>-234</v>
      </c>
      <c r="BT113" s="352">
        <f>SUM(O113:R113)</f>
        <v>-211</v>
      </c>
      <c r="BU113" s="352">
        <f>SUM(S113:V113)</f>
        <v>-206</v>
      </c>
      <c r="BV113" s="352">
        <f>SUM(W113:Z113)</f>
        <v>-190</v>
      </c>
      <c r="BW113" s="352">
        <f>SUM(AA113:AD113)</f>
        <v>-166</v>
      </c>
      <c r="BX113" s="352">
        <f>SUM(AE113:AH113)</f>
        <v>-127</v>
      </c>
      <c r="BY113" s="349">
        <f>SUM(AI113:AL113)</f>
        <v>-122</v>
      </c>
      <c r="BZ113" s="349">
        <f>SUM(AM113:AP113)</f>
        <v>-128</v>
      </c>
      <c r="CA113" s="349">
        <f>SUM(AQ113:AT113)</f>
        <v>-151</v>
      </c>
      <c r="CB113" s="349">
        <f>SUM(AU113:AX113)</f>
        <v>-257.03428962255538</v>
      </c>
      <c r="CC113" s="349">
        <f>SUM(AY113:BB113)</f>
        <v>-251.39065453925676</v>
      </c>
      <c r="CD113" s="349">
        <f>SUM(BC113:BF113)</f>
        <v>-223.42326410963818</v>
      </c>
      <c r="CE113" s="349">
        <f>SUM(BG113:BJ113)</f>
        <v>-211.78804945301718</v>
      </c>
      <c r="CF113" s="349">
        <f>SUM(BK113:BN113)</f>
        <v>-210.58571812073984</v>
      </c>
    </row>
    <row r="114" spans="1:84" s="351" customFormat="1" ht="16">
      <c r="A114" s="346" t="s">
        <v>45</v>
      </c>
      <c r="B114" s="346">
        <f t="shared" ref="B114:AU114" si="233">B115-SUM(B111:B113)</f>
        <v>0</v>
      </c>
      <c r="C114" s="346">
        <f t="shared" si="233"/>
        <v>1</v>
      </c>
      <c r="D114" s="346">
        <f t="shared" si="233"/>
        <v>13</v>
      </c>
      <c r="E114" s="346">
        <f t="shared" si="233"/>
        <v>7</v>
      </c>
      <c r="F114" s="346">
        <f t="shared" si="233"/>
        <v>19</v>
      </c>
      <c r="G114" s="346">
        <f t="shared" si="233"/>
        <v>1</v>
      </c>
      <c r="H114" s="346">
        <f t="shared" si="233"/>
        <v>2</v>
      </c>
      <c r="I114" s="346">
        <f t="shared" si="233"/>
        <v>14</v>
      </c>
      <c r="J114" s="346">
        <f t="shared" si="233"/>
        <v>39</v>
      </c>
      <c r="K114" s="346">
        <f t="shared" si="233"/>
        <v>8</v>
      </c>
      <c r="L114" s="346">
        <f t="shared" si="233"/>
        <v>27</v>
      </c>
      <c r="M114" s="346">
        <f t="shared" si="233"/>
        <v>23</v>
      </c>
      <c r="N114" s="346">
        <f t="shared" si="233"/>
        <v>50</v>
      </c>
      <c r="O114" s="346">
        <f t="shared" si="233"/>
        <v>12</v>
      </c>
      <c r="P114" s="346">
        <f t="shared" si="233"/>
        <v>23</v>
      </c>
      <c r="Q114" s="346">
        <f t="shared" si="233"/>
        <v>12</v>
      </c>
      <c r="R114" s="346">
        <f t="shared" si="233"/>
        <v>29</v>
      </c>
      <c r="S114" s="346">
        <f t="shared" si="233"/>
        <v>19</v>
      </c>
      <c r="T114" s="346">
        <f t="shared" si="233"/>
        <v>11</v>
      </c>
      <c r="U114" s="346">
        <f t="shared" si="233"/>
        <v>12</v>
      </c>
      <c r="V114" s="346">
        <f t="shared" si="233"/>
        <v>18</v>
      </c>
      <c r="W114" s="346">
        <f t="shared" si="233"/>
        <v>9</v>
      </c>
      <c r="X114" s="346">
        <f t="shared" si="233"/>
        <v>15</v>
      </c>
      <c r="Y114" s="346">
        <f t="shared" si="233"/>
        <v>12</v>
      </c>
      <c r="Z114" s="346">
        <f t="shared" si="233"/>
        <v>41</v>
      </c>
      <c r="AA114" s="346">
        <f t="shared" si="233"/>
        <v>0</v>
      </c>
      <c r="AB114" s="346">
        <f t="shared" si="233"/>
        <v>11</v>
      </c>
      <c r="AC114" s="346">
        <f t="shared" si="233"/>
        <v>15</v>
      </c>
      <c r="AD114" s="346">
        <f t="shared" si="233"/>
        <v>12</v>
      </c>
      <c r="AE114" s="346">
        <f t="shared" si="233"/>
        <v>-1</v>
      </c>
      <c r="AF114" s="346">
        <f t="shared" si="233"/>
        <v>8</v>
      </c>
      <c r="AG114" s="346">
        <f t="shared" si="233"/>
        <v>12</v>
      </c>
      <c r="AH114" s="346">
        <f t="shared" si="233"/>
        <v>20</v>
      </c>
      <c r="AI114" s="346">
        <f t="shared" si="233"/>
        <v>-13</v>
      </c>
      <c r="AJ114" s="346">
        <f t="shared" si="233"/>
        <v>-1</v>
      </c>
      <c r="AK114" s="346">
        <f t="shared" si="233"/>
        <v>-7</v>
      </c>
      <c r="AL114" s="346">
        <f t="shared" si="233"/>
        <v>19</v>
      </c>
      <c r="AM114" s="346">
        <f t="shared" si="233"/>
        <v>-15</v>
      </c>
      <c r="AN114" s="346">
        <f t="shared" si="233"/>
        <v>-2</v>
      </c>
      <c r="AO114" s="346">
        <f t="shared" si="233"/>
        <v>3</v>
      </c>
      <c r="AP114" s="346">
        <f t="shared" si="233"/>
        <v>3</v>
      </c>
      <c r="AQ114" s="346">
        <f t="shared" si="233"/>
        <v>-5</v>
      </c>
      <c r="AR114" s="346">
        <f t="shared" si="233"/>
        <v>17</v>
      </c>
      <c r="AS114" s="346">
        <f t="shared" si="233"/>
        <v>20</v>
      </c>
      <c r="AT114" s="346">
        <f t="shared" si="233"/>
        <v>37</v>
      </c>
      <c r="AU114" s="346">
        <f t="shared" si="233"/>
        <v>40</v>
      </c>
      <c r="AV114" s="346">
        <f t="shared" ref="AV114" si="234">AV115-SUM(AV111:AV113)</f>
        <v>27</v>
      </c>
      <c r="AW114" s="346">
        <f>-CF!AW23</f>
        <v>0</v>
      </c>
      <c r="AX114" s="346">
        <f>-CF!AX23</f>
        <v>0</v>
      </c>
      <c r="AY114" s="346">
        <f>-CF!AY23</f>
        <v>0</v>
      </c>
      <c r="AZ114" s="346">
        <f>-CF!AZ23</f>
        <v>0</v>
      </c>
      <c r="BA114" s="346">
        <f>-CF!BA23</f>
        <v>0</v>
      </c>
      <c r="BB114" s="346">
        <f>-CF!BB23</f>
        <v>0</v>
      </c>
      <c r="BC114" s="346">
        <f>-CF!BC23</f>
        <v>0</v>
      </c>
      <c r="BD114" s="346">
        <f>-CF!BD23</f>
        <v>0</v>
      </c>
      <c r="BE114" s="346">
        <f>-CF!BE23</f>
        <v>0</v>
      </c>
      <c r="BF114" s="346">
        <f>-CF!BF23</f>
        <v>0</v>
      </c>
      <c r="BG114" s="346">
        <f>-CF!BG23</f>
        <v>0</v>
      </c>
      <c r="BH114" s="346">
        <f>-CF!BH23</f>
        <v>0</v>
      </c>
      <c r="BI114" s="346">
        <f>-CF!BI23</f>
        <v>0</v>
      </c>
      <c r="BJ114" s="346">
        <f>-CF!BJ23</f>
        <v>0</v>
      </c>
      <c r="BK114" s="346">
        <f>-CF!BK23</f>
        <v>0</v>
      </c>
      <c r="BL114" s="346">
        <f>-CF!BL23</f>
        <v>0</v>
      </c>
      <c r="BM114" s="346">
        <f>-CF!BM23</f>
        <v>0</v>
      </c>
      <c r="BN114" s="346">
        <f>-CF!BN23</f>
        <v>0</v>
      </c>
      <c r="BO114" s="346"/>
      <c r="BP114" s="352">
        <f t="shared" si="229"/>
        <v>21</v>
      </c>
      <c r="BQ114" s="352">
        <f t="shared" si="229"/>
        <v>40</v>
      </c>
      <c r="BR114" s="352">
        <f>SUM(G114:J114)</f>
        <v>56</v>
      </c>
      <c r="BS114" s="352">
        <f>SUM(K114:N114)</f>
        <v>108</v>
      </c>
      <c r="BT114" s="352">
        <f>SUM(O114:R114)</f>
        <v>76</v>
      </c>
      <c r="BU114" s="352">
        <f>SUM(S114:V114)</f>
        <v>60</v>
      </c>
      <c r="BV114" s="352">
        <f>SUM(W114:Z114)</f>
        <v>77</v>
      </c>
      <c r="BW114" s="352">
        <f>SUM(AA114:AD114)</f>
        <v>38</v>
      </c>
      <c r="BX114" s="352">
        <f>SUM(AE114:AH114)</f>
        <v>39</v>
      </c>
      <c r="BY114" s="349">
        <f>SUM(AI114:AL114)</f>
        <v>-2</v>
      </c>
      <c r="BZ114" s="349">
        <f>SUM(AM114:AP114)</f>
        <v>-11</v>
      </c>
      <c r="CA114" s="349">
        <f>SUM(AQ114:AT114)</f>
        <v>69</v>
      </c>
      <c r="CB114" s="349">
        <f>SUM(AU114:AX114)</f>
        <v>67</v>
      </c>
      <c r="CC114" s="349">
        <f>SUM(AY114:BB114)</f>
        <v>0</v>
      </c>
      <c r="CD114" s="349">
        <f>SUM(BC114:BF114)</f>
        <v>0</v>
      </c>
      <c r="CE114" s="349">
        <f>SUM(BG114:BJ114)</f>
        <v>0</v>
      </c>
      <c r="CF114" s="349">
        <f>SUM(BK114:BN114)</f>
        <v>0</v>
      </c>
    </row>
    <row r="115" spans="1:84" s="351" customFormat="1" ht="16">
      <c r="A115" s="346" t="s">
        <v>37</v>
      </c>
      <c r="B115" s="370">
        <f>BS!B16</f>
        <v>537</v>
      </c>
      <c r="C115" s="370">
        <f>BS!C16</f>
        <v>516</v>
      </c>
      <c r="D115" s="370">
        <f>BS!D16</f>
        <v>510</v>
      </c>
      <c r="E115" s="370">
        <f>BS!E16</f>
        <v>502</v>
      </c>
      <c r="F115" s="370">
        <f>BS!F16</f>
        <v>513</v>
      </c>
      <c r="G115" s="370">
        <f>BS!G16</f>
        <v>516</v>
      </c>
      <c r="H115" s="370">
        <f>BS!H16</f>
        <v>532</v>
      </c>
      <c r="I115" s="370">
        <f>BS!I16</f>
        <v>547</v>
      </c>
      <c r="J115" s="370">
        <f>BS!J16</f>
        <v>568</v>
      </c>
      <c r="K115" s="370">
        <f>BS!K16</f>
        <v>558</v>
      </c>
      <c r="L115" s="370">
        <f>BS!L16</f>
        <v>561</v>
      </c>
      <c r="M115" s="370">
        <f>BS!M16</f>
        <v>550</v>
      </c>
      <c r="N115" s="370">
        <f>BS!N16</f>
        <v>548</v>
      </c>
      <c r="O115" s="370">
        <f>BS!O16</f>
        <v>537</v>
      </c>
      <c r="P115" s="370">
        <f>BS!P16</f>
        <v>532</v>
      </c>
      <c r="Q115" s="370">
        <f>BS!Q16</f>
        <v>518</v>
      </c>
      <c r="R115" s="370">
        <f>BS!R16</f>
        <v>510</v>
      </c>
      <c r="S115" s="370">
        <f>BS!S16</f>
        <v>503</v>
      </c>
      <c r="T115" s="370">
        <f>BS!T16</f>
        <v>483</v>
      </c>
      <c r="U115" s="370">
        <f>BS!U16</f>
        <v>461</v>
      </c>
      <c r="V115" s="370">
        <f>BS!V16</f>
        <v>459</v>
      </c>
      <c r="W115" s="370">
        <f>BS!W16</f>
        <v>444</v>
      </c>
      <c r="X115" s="370">
        <f>BS!X16</f>
        <v>430</v>
      </c>
      <c r="Y115" s="370">
        <f>BS!Y16</f>
        <v>415</v>
      </c>
      <c r="Z115" s="370">
        <f>BS!Z16</f>
        <v>439</v>
      </c>
      <c r="AA115" s="370">
        <f>BS!AA16</f>
        <v>435</v>
      </c>
      <c r="AB115" s="370">
        <f>BS!AB16</f>
        <v>431</v>
      </c>
      <c r="AC115" s="370">
        <f>BS!AC16</f>
        <v>424</v>
      </c>
      <c r="AD115" s="370">
        <f>BS!AD16</f>
        <v>434</v>
      </c>
      <c r="AE115" s="370">
        <f>BS!AE16</f>
        <v>436</v>
      </c>
      <c r="AF115" s="370">
        <f>BS!AF16</f>
        <v>444</v>
      </c>
      <c r="AG115" s="370">
        <f>BS!AG16</f>
        <v>447</v>
      </c>
      <c r="AH115" s="370">
        <f>BS!AH16</f>
        <v>453</v>
      </c>
      <c r="AI115" s="370">
        <f>BS!AI16</f>
        <v>440</v>
      </c>
      <c r="AJ115" s="370">
        <f>BS!AJ16</f>
        <v>440</v>
      </c>
      <c r="AK115" s="370">
        <f>BS!AK16</f>
        <v>426</v>
      </c>
      <c r="AL115" s="370">
        <f>BS!AL16</f>
        <v>448</v>
      </c>
      <c r="AM115" s="370">
        <f>BS!AM16</f>
        <v>446</v>
      </c>
      <c r="AN115" s="370">
        <f>BS!AN16</f>
        <v>442</v>
      </c>
      <c r="AO115" s="370">
        <f>BS!AO16</f>
        <v>439</v>
      </c>
      <c r="AP115" s="370">
        <f>BS!AP16</f>
        <v>449</v>
      </c>
      <c r="AQ115" s="370">
        <f>BS!AQ16</f>
        <v>450</v>
      </c>
      <c r="AR115" s="370">
        <f>BS!AR16</f>
        <v>458</v>
      </c>
      <c r="AS115" s="370">
        <f>BS!AS16</f>
        <v>467</v>
      </c>
      <c r="AT115" s="370">
        <f>BS!AT16</f>
        <v>491</v>
      </c>
      <c r="AU115" s="370">
        <f>BS!AU16</f>
        <v>510</v>
      </c>
      <c r="AV115" s="370">
        <f>BS!AV16</f>
        <v>516</v>
      </c>
      <c r="AW115" s="346">
        <f t="shared" ref="AW115:BN115" si="235">SUM(AW111:AW114)</f>
        <v>504.27324542973838</v>
      </c>
      <c r="AX115" s="346">
        <f t="shared" si="235"/>
        <v>527.72092446740169</v>
      </c>
      <c r="AY115" s="346">
        <f t="shared" si="235"/>
        <v>508.1347012327559</v>
      </c>
      <c r="AZ115" s="346">
        <f t="shared" si="235"/>
        <v>492.4135862484099</v>
      </c>
      <c r="BA115" s="346">
        <f t="shared" si="235"/>
        <v>475.00006641113487</v>
      </c>
      <c r="BB115" s="346">
        <f t="shared" si="235"/>
        <v>458.04521361398099</v>
      </c>
      <c r="BC115" s="346">
        <f t="shared" si="235"/>
        <v>448.26216955509301</v>
      </c>
      <c r="BD115" s="346">
        <f t="shared" si="235"/>
        <v>441.55656479572542</v>
      </c>
      <c r="BE115" s="346">
        <f t="shared" si="235"/>
        <v>432.54018790887994</v>
      </c>
      <c r="BF115" s="346">
        <f t="shared" si="235"/>
        <v>422.88751382989682</v>
      </c>
      <c r="BG115" s="346">
        <f t="shared" si="235"/>
        <v>419.42609967658683</v>
      </c>
      <c r="BH115" s="346">
        <f t="shared" si="235"/>
        <v>423.44460297598249</v>
      </c>
      <c r="BI115" s="346">
        <f t="shared" si="235"/>
        <v>421.92780259626437</v>
      </c>
      <c r="BJ115" s="346">
        <f t="shared" si="235"/>
        <v>417.71719325770351</v>
      </c>
      <c r="BK115" s="346">
        <f t="shared" si="235"/>
        <v>418.46604846210431</v>
      </c>
      <c r="BL115" s="346">
        <f t="shared" si="235"/>
        <v>420.97339486117534</v>
      </c>
      <c r="BM115" s="346">
        <f t="shared" si="235"/>
        <v>420.94830469366235</v>
      </c>
      <c r="BN115" s="346">
        <f t="shared" si="235"/>
        <v>418.49357069481243</v>
      </c>
      <c r="BO115" s="346"/>
      <c r="BP115" s="355">
        <v>537</v>
      </c>
      <c r="BQ115" s="320">
        <f>F115</f>
        <v>513</v>
      </c>
      <c r="BR115" s="320">
        <f>J115</f>
        <v>568</v>
      </c>
      <c r="BS115" s="320">
        <f>N115</f>
        <v>548</v>
      </c>
      <c r="BT115" s="320">
        <f>R115</f>
        <v>510</v>
      </c>
      <c r="BU115" s="320">
        <f>V115</f>
        <v>459</v>
      </c>
      <c r="BV115" s="320">
        <f>Z115</f>
        <v>439</v>
      </c>
      <c r="BW115" s="320">
        <f>AD115</f>
        <v>434</v>
      </c>
      <c r="BX115" s="320">
        <f>AH115</f>
        <v>453</v>
      </c>
      <c r="BY115" s="384">
        <f>AL115</f>
        <v>448</v>
      </c>
      <c r="BZ115" s="384">
        <f>AP115</f>
        <v>449</v>
      </c>
      <c r="CA115" s="384">
        <f>AT115</f>
        <v>491</v>
      </c>
      <c r="CB115" s="384">
        <f>AX115</f>
        <v>527.72092446740169</v>
      </c>
      <c r="CC115" s="384">
        <f>BB115</f>
        <v>458.04521361398099</v>
      </c>
      <c r="CD115" s="384">
        <f>BF115</f>
        <v>422.88751382989682</v>
      </c>
      <c r="CE115" s="384">
        <f>BJ115</f>
        <v>417.71719325770351</v>
      </c>
      <c r="CF115" s="384">
        <f>BN115</f>
        <v>418.49357069481243</v>
      </c>
    </row>
    <row r="116" spans="1:84" ht="12.75" customHeight="1">
      <c r="A116" s="326"/>
      <c r="B116" s="341"/>
      <c r="C116" s="341"/>
      <c r="D116" s="341"/>
      <c r="E116" s="341"/>
      <c r="F116" s="341"/>
      <c r="G116" s="341"/>
      <c r="H116" s="341"/>
      <c r="I116" s="341"/>
      <c r="J116" s="341"/>
      <c r="K116" s="341"/>
      <c r="L116" s="341"/>
      <c r="M116" s="341"/>
      <c r="N116" s="341"/>
      <c r="O116" s="341"/>
      <c r="P116" s="341"/>
      <c r="Q116" s="341"/>
      <c r="R116" s="341"/>
      <c r="S116" s="341"/>
      <c r="T116" s="341"/>
      <c r="U116" s="341"/>
      <c r="V116" s="341"/>
      <c r="W116" s="341"/>
      <c r="X116" s="341"/>
      <c r="Y116" s="341"/>
      <c r="Z116" s="341"/>
      <c r="AA116" s="341"/>
      <c r="AB116" s="341"/>
      <c r="AC116" s="341"/>
      <c r="AD116" s="341"/>
      <c r="AE116" s="341"/>
      <c r="AF116" s="341"/>
      <c r="AG116" s="341"/>
      <c r="AH116" s="341"/>
      <c r="AI116" s="341"/>
      <c r="AJ116" s="341"/>
      <c r="AK116" s="341"/>
      <c r="AL116" s="341"/>
      <c r="AM116" s="341"/>
      <c r="AN116" s="341"/>
      <c r="AO116" s="341"/>
      <c r="AP116" s="341"/>
      <c r="AQ116" s="341"/>
      <c r="AR116" s="341"/>
      <c r="AS116" s="341"/>
      <c r="AT116" s="341"/>
      <c r="AU116" s="341"/>
      <c r="AV116" s="341"/>
      <c r="AW116" s="341"/>
      <c r="AX116" s="341"/>
      <c r="AY116" s="341"/>
      <c r="AZ116" s="341"/>
      <c r="BA116" s="341"/>
      <c r="BB116" s="341"/>
      <c r="BC116" s="341"/>
      <c r="BD116" s="341"/>
      <c r="BE116" s="341"/>
      <c r="BF116" s="341"/>
      <c r="BG116" s="341"/>
      <c r="BH116" s="341"/>
      <c r="BI116" s="341"/>
      <c r="BJ116" s="341"/>
      <c r="BK116" s="341"/>
      <c r="BL116" s="341"/>
      <c r="BM116" s="341"/>
      <c r="BN116" s="341"/>
      <c r="BO116" s="341"/>
      <c r="BP116" s="341"/>
      <c r="BQ116" s="341"/>
      <c r="BR116" s="341"/>
      <c r="BS116" s="341"/>
      <c r="BT116" s="341"/>
      <c r="BU116" s="341"/>
      <c r="BV116" s="341"/>
      <c r="BW116" s="341"/>
      <c r="BX116" s="341"/>
      <c r="BY116" s="341"/>
      <c r="BZ116" s="341"/>
      <c r="CA116" s="341"/>
      <c r="CB116" s="341"/>
      <c r="CC116" s="341"/>
      <c r="CD116" s="341"/>
      <c r="CE116" s="341"/>
      <c r="CF116" s="341"/>
    </row>
    <row r="117" spans="1:84" ht="12.75" customHeight="1">
      <c r="A117" s="326"/>
      <c r="B117" s="341"/>
      <c r="C117" s="341"/>
      <c r="D117" s="341"/>
      <c r="E117" s="341"/>
      <c r="F117" s="341"/>
      <c r="G117" s="341"/>
      <c r="H117" s="341"/>
      <c r="I117" s="341"/>
      <c r="J117" s="341"/>
      <c r="K117" s="341"/>
      <c r="L117" s="341"/>
      <c r="M117" s="341"/>
      <c r="N117" s="341"/>
      <c r="O117" s="341"/>
      <c r="P117" s="341"/>
      <c r="Q117" s="341"/>
      <c r="R117" s="341"/>
      <c r="S117" s="341"/>
      <c r="T117" s="341"/>
      <c r="U117" s="341"/>
      <c r="V117" s="341"/>
      <c r="W117" s="341"/>
      <c r="X117" s="341"/>
      <c r="Y117" s="341"/>
      <c r="Z117" s="341"/>
      <c r="AA117" s="341"/>
      <c r="AB117" s="341"/>
      <c r="AC117" s="341"/>
      <c r="AD117" s="341"/>
      <c r="AE117" s="341"/>
      <c r="AF117" s="341"/>
      <c r="AG117" s="341"/>
      <c r="AH117" s="341"/>
      <c r="AI117" s="341"/>
      <c r="AJ117" s="341"/>
      <c r="AK117" s="341"/>
      <c r="AL117" s="341"/>
      <c r="AM117" s="341"/>
      <c r="AN117" s="341"/>
      <c r="AO117" s="341"/>
      <c r="AP117" s="341"/>
      <c r="AQ117" s="341"/>
      <c r="AR117" s="341"/>
      <c r="AS117" s="341"/>
      <c r="AT117" s="341"/>
      <c r="AU117" s="341"/>
      <c r="AV117" s="341"/>
      <c r="AW117" s="341"/>
      <c r="AX117" s="341"/>
      <c r="AY117" s="341"/>
      <c r="AZ117" s="341"/>
      <c r="BA117" s="341"/>
      <c r="BB117" s="341"/>
      <c r="BC117" s="341"/>
      <c r="BD117" s="341"/>
      <c r="BE117" s="341"/>
      <c r="BF117" s="341"/>
      <c r="BG117" s="341"/>
      <c r="BH117" s="341"/>
      <c r="BI117" s="341"/>
      <c r="BJ117" s="341"/>
      <c r="BK117" s="341"/>
      <c r="BL117" s="341"/>
      <c r="BM117" s="341"/>
      <c r="BN117" s="341"/>
      <c r="BO117" s="341"/>
      <c r="BP117" s="341"/>
      <c r="BQ117" s="341"/>
      <c r="BR117" s="341"/>
      <c r="BS117" s="341"/>
      <c r="BT117" s="341"/>
      <c r="BU117" s="341"/>
      <c r="BV117" s="341"/>
      <c r="BW117" s="341"/>
      <c r="BX117" s="341"/>
      <c r="BY117" s="341"/>
      <c r="BZ117" s="341"/>
      <c r="CA117" s="341"/>
      <c r="CB117" s="341"/>
      <c r="CC117" s="341"/>
      <c r="CD117" s="341"/>
      <c r="CE117" s="341"/>
      <c r="CF117" s="341"/>
    </row>
    <row r="118" spans="1:84" ht="12.75" customHeight="1">
      <c r="A118" s="326"/>
      <c r="B118" s="341"/>
      <c r="C118" s="341"/>
      <c r="D118" s="341"/>
      <c r="E118" s="341"/>
      <c r="F118" s="341"/>
      <c r="G118" s="341"/>
      <c r="H118" s="341"/>
      <c r="I118" s="341"/>
      <c r="J118" s="341"/>
      <c r="K118" s="341"/>
      <c r="L118" s="341"/>
      <c r="M118" s="341"/>
      <c r="N118" s="341"/>
      <c r="O118" s="341"/>
      <c r="P118" s="341"/>
      <c r="Q118" s="341"/>
      <c r="R118" s="341"/>
      <c r="S118" s="341"/>
      <c r="T118" s="341"/>
      <c r="U118" s="341"/>
      <c r="V118" s="341"/>
      <c r="W118" s="341"/>
      <c r="X118" s="341"/>
      <c r="Y118" s="341"/>
      <c r="Z118" s="341"/>
      <c r="AA118" s="341"/>
      <c r="AB118" s="341"/>
      <c r="AC118" s="341"/>
      <c r="AD118" s="341"/>
      <c r="AE118" s="341"/>
      <c r="AF118" s="341"/>
      <c r="AG118" s="341"/>
      <c r="AH118" s="341"/>
      <c r="AI118" s="341"/>
      <c r="AJ118" s="341"/>
      <c r="AK118" s="341"/>
      <c r="AL118" s="341"/>
      <c r="AM118" s="341"/>
      <c r="AN118" s="341"/>
      <c r="AO118" s="341"/>
      <c r="AP118" s="341"/>
      <c r="AQ118" s="341"/>
      <c r="AR118" s="341"/>
      <c r="AS118" s="341"/>
      <c r="AT118" s="341"/>
      <c r="AU118" s="341"/>
      <c r="AV118" s="341"/>
      <c r="AW118" s="341"/>
      <c r="AX118" s="341"/>
      <c r="AY118" s="341"/>
      <c r="AZ118" s="341"/>
      <c r="BA118" s="341"/>
      <c r="BB118" s="341"/>
      <c r="BC118" s="341"/>
      <c r="BD118" s="341"/>
      <c r="BE118" s="341"/>
      <c r="BF118" s="341"/>
      <c r="BG118" s="341"/>
      <c r="BH118" s="341"/>
      <c r="BI118" s="341"/>
      <c r="BJ118" s="341"/>
      <c r="BK118" s="341"/>
      <c r="BL118" s="341"/>
      <c r="BM118" s="341"/>
      <c r="BN118" s="341"/>
      <c r="BO118" s="341"/>
      <c r="BP118" s="341"/>
      <c r="BQ118" s="341"/>
      <c r="BR118" s="341"/>
      <c r="BS118" s="341"/>
      <c r="BT118" s="341"/>
      <c r="BU118" s="341"/>
      <c r="BV118" s="341"/>
      <c r="BW118" s="341"/>
      <c r="BX118" s="341"/>
      <c r="BY118" s="341"/>
      <c r="BZ118" s="341"/>
      <c r="CA118" s="341"/>
      <c r="CB118" s="341"/>
      <c r="CC118" s="341"/>
      <c r="CD118" s="341"/>
      <c r="CE118" s="341"/>
      <c r="CF118" s="341"/>
    </row>
    <row r="119" spans="1:84" ht="12.75" customHeight="1">
      <c r="A119" s="326"/>
      <c r="B119" s="341"/>
      <c r="C119" s="341"/>
      <c r="D119" s="341"/>
      <c r="E119" s="341"/>
      <c r="F119" s="341"/>
      <c r="G119" s="341"/>
      <c r="H119" s="341"/>
      <c r="I119" s="341"/>
      <c r="J119" s="341"/>
      <c r="K119" s="341"/>
      <c r="L119" s="341"/>
      <c r="M119" s="341"/>
      <c r="N119" s="341"/>
      <c r="O119" s="341"/>
      <c r="P119" s="341"/>
      <c r="Q119" s="341"/>
      <c r="R119" s="341"/>
      <c r="S119" s="341"/>
      <c r="T119" s="341"/>
      <c r="U119" s="341"/>
      <c r="V119" s="341"/>
      <c r="W119" s="341"/>
      <c r="X119" s="341"/>
      <c r="Y119" s="341"/>
      <c r="Z119" s="341"/>
      <c r="AA119" s="341"/>
      <c r="AB119" s="341"/>
      <c r="AC119" s="341"/>
      <c r="AD119" s="341"/>
      <c r="AE119" s="341"/>
      <c r="AF119" s="341"/>
      <c r="AG119" s="341"/>
      <c r="AH119" s="341"/>
      <c r="AI119" s="341"/>
      <c r="AJ119" s="341"/>
      <c r="AK119" s="341"/>
      <c r="AL119" s="341"/>
      <c r="AM119" s="341"/>
      <c r="AN119" s="341"/>
      <c r="AO119" s="341"/>
      <c r="AP119" s="341"/>
      <c r="AQ119" s="341"/>
      <c r="AR119" s="341"/>
      <c r="AS119" s="341"/>
      <c r="AT119" s="341"/>
      <c r="AU119" s="341"/>
      <c r="AV119" s="341"/>
      <c r="AW119" s="341"/>
      <c r="AX119" s="341"/>
      <c r="AY119" s="341"/>
      <c r="AZ119" s="341"/>
      <c r="BA119" s="341"/>
      <c r="BB119" s="341"/>
      <c r="BC119" s="341"/>
      <c r="BD119" s="341"/>
      <c r="BE119" s="341"/>
      <c r="BF119" s="341"/>
      <c r="BG119" s="341"/>
      <c r="BH119" s="341"/>
      <c r="BI119" s="341"/>
      <c r="BJ119" s="341"/>
      <c r="BK119" s="341"/>
      <c r="BL119" s="341"/>
      <c r="BM119" s="341"/>
      <c r="BN119" s="341"/>
      <c r="BO119" s="341"/>
      <c r="BP119" s="341"/>
      <c r="BQ119" s="341"/>
      <c r="BR119" s="341"/>
      <c r="BS119" s="341"/>
      <c r="BT119" s="341"/>
      <c r="BU119" s="341"/>
      <c r="BV119" s="341"/>
      <c r="BW119" s="341"/>
      <c r="BX119" s="341"/>
      <c r="BY119" s="341"/>
      <c r="BZ119" s="341"/>
      <c r="CA119" s="341"/>
      <c r="CB119" s="341"/>
      <c r="CC119" s="341"/>
      <c r="CD119" s="341"/>
      <c r="CE119" s="341"/>
      <c r="CF119" s="341"/>
    </row>
    <row r="120" spans="1:84" ht="12.75" customHeight="1">
      <c r="A120" s="326"/>
      <c r="B120" s="341"/>
      <c r="C120" s="341"/>
      <c r="D120" s="341"/>
      <c r="E120" s="341"/>
      <c r="F120" s="341"/>
      <c r="G120" s="341"/>
      <c r="H120" s="341"/>
      <c r="I120" s="341"/>
      <c r="J120" s="341"/>
      <c r="K120" s="341"/>
      <c r="L120" s="341"/>
      <c r="M120" s="341"/>
      <c r="N120" s="341"/>
      <c r="O120" s="341"/>
      <c r="P120" s="341"/>
      <c r="Q120" s="341"/>
      <c r="R120" s="341"/>
      <c r="S120" s="341"/>
      <c r="T120" s="341"/>
      <c r="U120" s="341"/>
      <c r="V120" s="341"/>
      <c r="W120" s="341"/>
      <c r="X120" s="341"/>
      <c r="Y120" s="341"/>
      <c r="Z120" s="341"/>
      <c r="AA120" s="341"/>
      <c r="AB120" s="341"/>
      <c r="AC120" s="341"/>
      <c r="AD120" s="341"/>
      <c r="AE120" s="341"/>
      <c r="AF120" s="341"/>
      <c r="AG120" s="341"/>
      <c r="AH120" s="341"/>
      <c r="AI120" s="341"/>
      <c r="AJ120" s="341"/>
      <c r="AK120" s="341"/>
      <c r="AL120" s="341"/>
      <c r="AM120" s="341"/>
      <c r="AN120" s="341"/>
      <c r="AO120" s="341"/>
      <c r="AP120" s="341"/>
      <c r="AQ120" s="341"/>
      <c r="AR120" s="341"/>
      <c r="AS120" s="341"/>
      <c r="AT120" s="341"/>
      <c r="AU120" s="341"/>
      <c r="AV120" s="341"/>
      <c r="AW120" s="341"/>
      <c r="AX120" s="341"/>
      <c r="AY120" s="341"/>
      <c r="AZ120" s="341"/>
      <c r="BA120" s="341"/>
      <c r="BB120" s="341"/>
      <c r="BC120" s="341"/>
      <c r="BD120" s="341"/>
      <c r="BE120" s="341"/>
      <c r="BF120" s="341"/>
      <c r="BG120" s="341"/>
      <c r="BH120" s="341"/>
      <c r="BI120" s="341"/>
      <c r="BJ120" s="341"/>
      <c r="BK120" s="341"/>
      <c r="BL120" s="341"/>
      <c r="BM120" s="341"/>
      <c r="BN120" s="341"/>
      <c r="BO120" s="341"/>
      <c r="BP120" s="341"/>
      <c r="BQ120" s="341"/>
      <c r="BR120" s="341"/>
      <c r="BS120" s="341"/>
      <c r="BT120" s="341"/>
      <c r="BU120" s="341"/>
      <c r="BV120" s="341"/>
      <c r="BW120" s="341"/>
      <c r="BX120" s="341"/>
      <c r="BY120" s="341"/>
      <c r="BZ120" s="341"/>
      <c r="CA120" s="341"/>
      <c r="CB120" s="341"/>
      <c r="CC120" s="341"/>
      <c r="CD120" s="341"/>
      <c r="CE120" s="341"/>
      <c r="CF120" s="341"/>
    </row>
    <row r="121" spans="1:84" ht="12.75" customHeight="1">
      <c r="A121" s="326"/>
      <c r="B121" s="341"/>
      <c r="C121" s="341"/>
      <c r="D121" s="341"/>
      <c r="E121" s="341"/>
      <c r="F121" s="341"/>
      <c r="G121" s="341"/>
      <c r="H121" s="341"/>
      <c r="I121" s="341"/>
      <c r="J121" s="341"/>
      <c r="K121" s="341"/>
      <c r="L121" s="341"/>
      <c r="M121" s="341"/>
      <c r="N121" s="341"/>
      <c r="O121" s="341"/>
      <c r="P121" s="341"/>
      <c r="Q121" s="341"/>
      <c r="R121" s="341"/>
      <c r="S121" s="341"/>
      <c r="T121" s="341"/>
      <c r="U121" s="341"/>
      <c r="V121" s="341"/>
      <c r="W121" s="341"/>
      <c r="X121" s="341"/>
      <c r="Y121" s="341"/>
      <c r="Z121" s="341"/>
      <c r="AA121" s="341"/>
      <c r="AB121" s="341"/>
      <c r="AC121" s="341"/>
      <c r="AD121" s="341"/>
      <c r="AE121" s="341"/>
      <c r="AF121" s="341"/>
      <c r="AG121" s="341"/>
      <c r="AH121" s="341"/>
      <c r="AI121" s="341"/>
      <c r="AJ121" s="341"/>
      <c r="AK121" s="341"/>
      <c r="AL121" s="341"/>
      <c r="AM121" s="341"/>
      <c r="AN121" s="341"/>
      <c r="AO121" s="341"/>
      <c r="AP121" s="341"/>
      <c r="AQ121" s="341"/>
      <c r="AR121" s="341"/>
      <c r="AS121" s="341"/>
      <c r="AT121" s="341"/>
      <c r="AU121" s="341"/>
      <c r="AV121" s="341"/>
      <c r="AW121" s="341"/>
      <c r="AX121" s="341"/>
      <c r="AY121" s="341"/>
      <c r="AZ121" s="341"/>
      <c r="BA121" s="341"/>
      <c r="BB121" s="341"/>
      <c r="BC121" s="341"/>
      <c r="BD121" s="341"/>
      <c r="BE121" s="341"/>
      <c r="BF121" s="341"/>
      <c r="BG121" s="341"/>
      <c r="BH121" s="341"/>
      <c r="BI121" s="341"/>
      <c r="BJ121" s="341"/>
      <c r="BK121" s="341"/>
      <c r="BL121" s="341"/>
      <c r="BM121" s="341"/>
      <c r="BN121" s="341"/>
      <c r="BO121" s="341"/>
      <c r="BP121" s="341"/>
      <c r="BQ121" s="341"/>
      <c r="BR121" s="341"/>
      <c r="BS121" s="341"/>
      <c r="BT121" s="341"/>
      <c r="BU121" s="341"/>
      <c r="BV121" s="341"/>
      <c r="BW121" s="341"/>
      <c r="BX121" s="341"/>
      <c r="BY121" s="341"/>
      <c r="BZ121" s="341"/>
      <c r="CA121" s="341"/>
      <c r="CB121" s="341"/>
      <c r="CC121" s="341"/>
      <c r="CD121" s="341"/>
      <c r="CE121" s="341"/>
      <c r="CF121" s="341"/>
    </row>
    <row r="122" spans="1:84" ht="12.75" customHeight="1">
      <c r="A122" s="326"/>
      <c r="B122" s="341"/>
      <c r="C122" s="341"/>
      <c r="D122" s="341"/>
      <c r="E122" s="341"/>
      <c r="F122" s="341"/>
      <c r="G122" s="341"/>
      <c r="H122" s="341"/>
      <c r="I122" s="341"/>
      <c r="J122" s="341"/>
      <c r="K122" s="341"/>
      <c r="L122" s="341"/>
      <c r="M122" s="341"/>
      <c r="N122" s="341"/>
      <c r="O122" s="341"/>
      <c r="P122" s="341"/>
      <c r="Q122" s="341"/>
      <c r="R122" s="341"/>
      <c r="S122" s="341"/>
      <c r="T122" s="341"/>
      <c r="U122" s="341"/>
      <c r="V122" s="341"/>
      <c r="W122" s="341"/>
      <c r="X122" s="341"/>
      <c r="Y122" s="341"/>
      <c r="Z122" s="341"/>
      <c r="AA122" s="341"/>
      <c r="AB122" s="341"/>
      <c r="AC122" s="341"/>
      <c r="AD122" s="341"/>
      <c r="AE122" s="341"/>
      <c r="AF122" s="341"/>
      <c r="AG122" s="341"/>
      <c r="AH122" s="341"/>
      <c r="AI122" s="341"/>
      <c r="AJ122" s="341"/>
      <c r="AK122" s="341"/>
      <c r="AL122" s="341"/>
      <c r="AM122" s="341"/>
      <c r="AN122" s="341"/>
      <c r="AO122" s="341"/>
      <c r="AP122" s="341"/>
      <c r="AQ122" s="341"/>
      <c r="AR122" s="341"/>
      <c r="AS122" s="341"/>
      <c r="AT122" s="341"/>
      <c r="AU122" s="341"/>
      <c r="AV122" s="341"/>
      <c r="AW122" s="341"/>
      <c r="AX122" s="341"/>
      <c r="AY122" s="341"/>
      <c r="AZ122" s="341"/>
      <c r="BA122" s="341"/>
      <c r="BB122" s="341"/>
      <c r="BC122" s="341"/>
      <c r="BD122" s="341"/>
      <c r="BE122" s="341"/>
      <c r="BF122" s="341"/>
      <c r="BG122" s="341"/>
      <c r="BH122" s="341"/>
      <c r="BI122" s="341"/>
      <c r="BJ122" s="341"/>
      <c r="BK122" s="341"/>
      <c r="BL122" s="341"/>
      <c r="BM122" s="341"/>
      <c r="BN122" s="341"/>
      <c r="BO122" s="341"/>
      <c r="BP122" s="341"/>
      <c r="BQ122" s="341"/>
      <c r="BR122" s="341"/>
      <c r="BS122" s="341"/>
      <c r="BT122" s="341"/>
      <c r="BU122" s="341"/>
      <c r="BV122" s="341"/>
      <c r="BW122" s="341"/>
      <c r="BX122" s="341"/>
      <c r="BY122" s="341"/>
      <c r="BZ122" s="341"/>
      <c r="CA122" s="341"/>
      <c r="CB122" s="341"/>
      <c r="CC122" s="341"/>
      <c r="CD122" s="341"/>
      <c r="CE122" s="341"/>
      <c r="CF122" s="341"/>
    </row>
    <row r="123" spans="1:84" ht="12.75" customHeight="1">
      <c r="A123" s="326"/>
      <c r="B123" s="341"/>
      <c r="C123" s="341"/>
      <c r="D123" s="341"/>
      <c r="E123" s="341"/>
      <c r="F123" s="341"/>
      <c r="G123" s="341"/>
      <c r="H123" s="341"/>
      <c r="I123" s="341"/>
      <c r="J123" s="341"/>
      <c r="K123" s="341"/>
      <c r="L123" s="341"/>
      <c r="M123" s="341"/>
      <c r="N123" s="341"/>
      <c r="O123" s="341"/>
      <c r="P123" s="341"/>
      <c r="Q123" s="341"/>
      <c r="R123" s="341"/>
      <c r="S123" s="341"/>
      <c r="T123" s="341"/>
      <c r="U123" s="341"/>
      <c r="V123" s="341"/>
      <c r="W123" s="341"/>
      <c r="X123" s="341"/>
      <c r="Y123" s="341"/>
      <c r="Z123" s="341"/>
      <c r="AA123" s="341"/>
      <c r="AB123" s="341"/>
      <c r="AC123" s="341"/>
      <c r="AD123" s="341"/>
      <c r="AE123" s="341"/>
      <c r="AF123" s="341"/>
      <c r="AG123" s="341"/>
      <c r="AH123" s="341"/>
      <c r="AI123" s="341"/>
      <c r="AJ123" s="341"/>
      <c r="AK123" s="341"/>
      <c r="AL123" s="341"/>
      <c r="AM123" s="341"/>
      <c r="AN123" s="341"/>
      <c r="AO123" s="341"/>
      <c r="AP123" s="341"/>
      <c r="AQ123" s="341"/>
      <c r="AR123" s="341"/>
      <c r="AS123" s="341"/>
      <c r="AT123" s="341"/>
      <c r="AU123" s="341"/>
      <c r="AV123" s="341"/>
      <c r="AW123" s="341"/>
      <c r="AX123" s="341"/>
      <c r="AY123" s="341"/>
      <c r="AZ123" s="341"/>
      <c r="BA123" s="341"/>
      <c r="BB123" s="341"/>
      <c r="BC123" s="341"/>
      <c r="BD123" s="341"/>
      <c r="BE123" s="341"/>
      <c r="BF123" s="341"/>
      <c r="BG123" s="341"/>
      <c r="BH123" s="341"/>
      <c r="BI123" s="341"/>
      <c r="BJ123" s="341"/>
      <c r="BK123" s="341"/>
      <c r="BL123" s="341"/>
      <c r="BM123" s="341"/>
      <c r="BN123" s="341"/>
      <c r="BO123" s="341"/>
      <c r="BP123" s="341"/>
      <c r="BQ123" s="341"/>
      <c r="BR123" s="341"/>
      <c r="BS123" s="341"/>
      <c r="BT123" s="341"/>
      <c r="BU123" s="341"/>
      <c r="BV123" s="341"/>
      <c r="BW123" s="341"/>
      <c r="BX123" s="341"/>
      <c r="BY123" s="341"/>
      <c r="BZ123" s="341"/>
      <c r="CA123" s="341"/>
      <c r="CB123" s="341"/>
      <c r="CC123" s="341"/>
      <c r="CD123" s="341"/>
      <c r="CE123" s="341"/>
      <c r="CF123" s="341"/>
    </row>
    <row r="124" spans="1:84" ht="12.75" customHeight="1">
      <c r="A124" s="326"/>
      <c r="B124" s="341"/>
      <c r="C124" s="341"/>
      <c r="D124" s="341"/>
      <c r="E124" s="341"/>
      <c r="F124" s="341"/>
      <c r="G124" s="341"/>
      <c r="H124" s="341"/>
      <c r="I124" s="341"/>
      <c r="J124" s="341"/>
      <c r="K124" s="341"/>
      <c r="L124" s="341"/>
      <c r="M124" s="341"/>
      <c r="N124" s="341"/>
      <c r="O124" s="341"/>
      <c r="P124" s="341"/>
      <c r="Q124" s="341"/>
      <c r="R124" s="341"/>
      <c r="S124" s="341"/>
      <c r="T124" s="341"/>
      <c r="U124" s="341"/>
      <c r="V124" s="341"/>
      <c r="W124" s="341"/>
      <c r="X124" s="341"/>
      <c r="Y124" s="341"/>
      <c r="Z124" s="341"/>
      <c r="AA124" s="341"/>
      <c r="AB124" s="341"/>
      <c r="AC124" s="341"/>
      <c r="AD124" s="341"/>
      <c r="AE124" s="341"/>
      <c r="AF124" s="341"/>
      <c r="AG124" s="341"/>
      <c r="AH124" s="341"/>
      <c r="AI124" s="341"/>
      <c r="AJ124" s="341"/>
      <c r="AK124" s="341"/>
      <c r="AL124" s="341"/>
      <c r="AM124" s="341"/>
      <c r="AN124" s="341"/>
      <c r="AO124" s="341"/>
      <c r="AP124" s="341"/>
      <c r="AQ124" s="341"/>
      <c r="AR124" s="341"/>
      <c r="AS124" s="341"/>
      <c r="AT124" s="341"/>
      <c r="AU124" s="341"/>
      <c r="AV124" s="341"/>
      <c r="AW124" s="341"/>
      <c r="AX124" s="341"/>
      <c r="AY124" s="341"/>
      <c r="AZ124" s="341"/>
      <c r="BA124" s="341"/>
      <c r="BB124" s="341"/>
      <c r="BC124" s="341"/>
      <c r="BD124" s="341"/>
      <c r="BE124" s="341"/>
      <c r="BF124" s="341"/>
      <c r="BG124" s="341"/>
      <c r="BH124" s="341"/>
      <c r="BI124" s="341"/>
      <c r="BJ124" s="341"/>
      <c r="BK124" s="341"/>
      <c r="BL124" s="341"/>
      <c r="BM124" s="341"/>
      <c r="BN124" s="341"/>
      <c r="BO124" s="341"/>
      <c r="BP124" s="341"/>
      <c r="BQ124" s="341"/>
      <c r="BR124" s="341"/>
      <c r="BS124" s="341"/>
      <c r="BT124" s="341"/>
      <c r="BU124" s="341"/>
      <c r="BV124" s="341"/>
      <c r="BW124" s="341"/>
      <c r="BX124" s="341"/>
      <c r="BY124" s="341"/>
      <c r="BZ124" s="341"/>
      <c r="CA124" s="341"/>
      <c r="CB124" s="341"/>
      <c r="CC124" s="341"/>
      <c r="CD124" s="341"/>
      <c r="CE124" s="341"/>
      <c r="CF124" s="341"/>
    </row>
    <row r="125" spans="1:84" ht="12.75" customHeight="1">
      <c r="A125" s="326"/>
      <c r="B125" s="341"/>
      <c r="C125" s="341"/>
      <c r="D125" s="341"/>
      <c r="E125" s="341"/>
      <c r="F125" s="341"/>
      <c r="G125" s="341"/>
      <c r="H125" s="341"/>
      <c r="I125" s="341"/>
      <c r="J125" s="341"/>
      <c r="K125" s="341"/>
      <c r="L125" s="341"/>
      <c r="M125" s="341"/>
      <c r="N125" s="341"/>
      <c r="O125" s="341"/>
      <c r="P125" s="341"/>
      <c r="Q125" s="341"/>
      <c r="R125" s="341"/>
      <c r="S125" s="341"/>
      <c r="T125" s="341"/>
      <c r="U125" s="341"/>
      <c r="V125" s="341"/>
      <c r="W125" s="341"/>
      <c r="X125" s="341"/>
      <c r="Y125" s="341"/>
      <c r="Z125" s="341"/>
      <c r="AA125" s="341"/>
      <c r="AB125" s="341"/>
      <c r="AC125" s="341"/>
      <c r="AD125" s="341"/>
      <c r="AE125" s="341"/>
      <c r="AF125" s="341"/>
      <c r="AG125" s="341"/>
      <c r="AH125" s="341"/>
      <c r="AI125" s="341"/>
      <c r="AJ125" s="341"/>
      <c r="AK125" s="341"/>
      <c r="AL125" s="341"/>
      <c r="AM125" s="341"/>
      <c r="AN125" s="341"/>
      <c r="AO125" s="341"/>
      <c r="AP125" s="341"/>
      <c r="AQ125" s="341"/>
      <c r="AR125" s="341"/>
      <c r="AS125" s="341"/>
      <c r="AT125" s="341"/>
      <c r="AU125" s="341"/>
      <c r="AV125" s="341"/>
      <c r="AW125" s="341"/>
      <c r="AX125" s="341"/>
      <c r="AY125" s="341"/>
      <c r="AZ125" s="341"/>
      <c r="BA125" s="341"/>
      <c r="BB125" s="341"/>
      <c r="BC125" s="341"/>
      <c r="BD125" s="341"/>
      <c r="BE125" s="341"/>
      <c r="BF125" s="341"/>
      <c r="BG125" s="341"/>
      <c r="BH125" s="341"/>
      <c r="BI125" s="341"/>
      <c r="BJ125" s="341"/>
      <c r="BK125" s="341"/>
      <c r="BL125" s="341"/>
      <c r="BM125" s="341"/>
      <c r="BN125" s="341"/>
      <c r="BO125" s="341"/>
      <c r="BP125" s="341"/>
      <c r="BQ125" s="341"/>
      <c r="BR125" s="341"/>
      <c r="BS125" s="341"/>
      <c r="BT125" s="341"/>
      <c r="BU125" s="341"/>
      <c r="BV125" s="341"/>
      <c r="BW125" s="341"/>
      <c r="BX125" s="341"/>
      <c r="BY125" s="341"/>
      <c r="BZ125" s="341"/>
      <c r="CA125" s="341"/>
      <c r="CB125" s="341"/>
      <c r="CC125" s="341"/>
      <c r="CD125" s="341"/>
      <c r="CE125" s="341"/>
      <c r="CF125" s="341"/>
    </row>
    <row r="126" spans="1:84" ht="12.75" customHeight="1">
      <c r="A126" s="326"/>
      <c r="B126" s="341"/>
      <c r="C126" s="341"/>
      <c r="D126" s="341"/>
      <c r="E126" s="341"/>
      <c r="F126" s="341"/>
      <c r="G126" s="341"/>
      <c r="H126" s="341"/>
      <c r="I126" s="341"/>
      <c r="J126" s="341"/>
      <c r="K126" s="341"/>
      <c r="L126" s="341"/>
      <c r="M126" s="341"/>
      <c r="N126" s="341"/>
      <c r="O126" s="341"/>
      <c r="P126" s="341"/>
      <c r="Q126" s="341"/>
      <c r="R126" s="341"/>
      <c r="S126" s="341"/>
      <c r="T126" s="341"/>
      <c r="U126" s="341"/>
      <c r="V126" s="341"/>
      <c r="W126" s="341"/>
      <c r="X126" s="341"/>
      <c r="Y126" s="341"/>
      <c r="Z126" s="341"/>
      <c r="AA126" s="341"/>
      <c r="AB126" s="341"/>
      <c r="AC126" s="341"/>
      <c r="AD126" s="341"/>
      <c r="AE126" s="341"/>
      <c r="AF126" s="341"/>
      <c r="AG126" s="341"/>
      <c r="AH126" s="341"/>
      <c r="AI126" s="341"/>
      <c r="AJ126" s="341"/>
      <c r="AK126" s="341"/>
      <c r="AL126" s="341"/>
      <c r="AM126" s="341"/>
      <c r="AN126" s="341"/>
      <c r="AO126" s="341"/>
      <c r="AP126" s="341"/>
      <c r="AQ126" s="341"/>
      <c r="AR126" s="341"/>
      <c r="AS126" s="341"/>
      <c r="AT126" s="341"/>
      <c r="AU126" s="341"/>
      <c r="AV126" s="341"/>
      <c r="AW126" s="341"/>
      <c r="AX126" s="341"/>
      <c r="AY126" s="341"/>
      <c r="AZ126" s="341"/>
      <c r="BA126" s="341"/>
      <c r="BB126" s="341"/>
      <c r="BC126" s="341"/>
      <c r="BD126" s="341"/>
      <c r="BE126" s="341"/>
      <c r="BF126" s="341"/>
      <c r="BG126" s="341"/>
      <c r="BH126" s="341"/>
      <c r="BI126" s="341"/>
      <c r="BJ126" s="341"/>
      <c r="BK126" s="341"/>
      <c r="BL126" s="341"/>
      <c r="BM126" s="341"/>
      <c r="BN126" s="341"/>
      <c r="BO126" s="341"/>
      <c r="BP126" s="341"/>
      <c r="BQ126" s="341"/>
      <c r="BR126" s="341"/>
      <c r="BS126" s="341"/>
      <c r="BT126" s="341"/>
      <c r="BU126" s="341"/>
      <c r="BV126" s="341"/>
      <c r="BW126" s="341"/>
      <c r="BX126" s="341"/>
      <c r="BY126" s="341"/>
      <c r="BZ126" s="341"/>
      <c r="CA126" s="341"/>
      <c r="CB126" s="341"/>
      <c r="CC126" s="341"/>
      <c r="CD126" s="341"/>
      <c r="CE126" s="341"/>
      <c r="CF126" s="341"/>
    </row>
    <row r="127" spans="1:84" ht="12.75" customHeight="1">
      <c r="A127" s="326"/>
      <c r="B127" s="341"/>
      <c r="C127" s="341"/>
      <c r="D127" s="341"/>
      <c r="E127" s="341"/>
      <c r="F127" s="341"/>
      <c r="G127" s="341"/>
      <c r="H127" s="341"/>
      <c r="I127" s="341"/>
      <c r="J127" s="341"/>
      <c r="K127" s="341"/>
      <c r="L127" s="341"/>
      <c r="M127" s="341"/>
      <c r="N127" s="341"/>
      <c r="O127" s="341"/>
      <c r="P127" s="341"/>
      <c r="Q127" s="341"/>
      <c r="R127" s="341"/>
      <c r="S127" s="341"/>
      <c r="T127" s="341"/>
      <c r="U127" s="341"/>
      <c r="V127" s="341"/>
      <c r="W127" s="341"/>
      <c r="X127" s="341"/>
      <c r="Y127" s="341"/>
      <c r="Z127" s="341"/>
      <c r="AA127" s="341"/>
      <c r="AB127" s="341"/>
      <c r="AC127" s="341"/>
      <c r="AD127" s="341"/>
      <c r="AE127" s="341"/>
      <c r="AF127" s="341"/>
      <c r="AG127" s="341"/>
      <c r="AH127" s="341"/>
      <c r="AI127" s="341"/>
      <c r="AJ127" s="341"/>
      <c r="AK127" s="341"/>
      <c r="AL127" s="341"/>
      <c r="AM127" s="341"/>
      <c r="AN127" s="341"/>
      <c r="AO127" s="341"/>
      <c r="AP127" s="341"/>
      <c r="AQ127" s="341"/>
      <c r="AR127" s="341"/>
      <c r="AS127" s="341"/>
      <c r="AT127" s="341"/>
      <c r="AU127" s="341"/>
      <c r="AV127" s="341"/>
      <c r="AW127" s="341"/>
      <c r="AX127" s="341"/>
      <c r="AY127" s="341"/>
      <c r="AZ127" s="341"/>
      <c r="BA127" s="341"/>
      <c r="BB127" s="341"/>
      <c r="BC127" s="341"/>
      <c r="BD127" s="341"/>
      <c r="BE127" s="341"/>
      <c r="BF127" s="341"/>
      <c r="BG127" s="341"/>
      <c r="BH127" s="341"/>
      <c r="BI127" s="341"/>
      <c r="BJ127" s="341"/>
      <c r="BK127" s="341"/>
      <c r="BL127" s="341"/>
      <c r="BM127" s="341"/>
      <c r="BN127" s="341"/>
      <c r="BO127" s="341"/>
      <c r="BP127" s="341"/>
      <c r="BQ127" s="341"/>
      <c r="BR127" s="341"/>
      <c r="BS127" s="341"/>
      <c r="BT127" s="341"/>
      <c r="BU127" s="341"/>
      <c r="BV127" s="341"/>
      <c r="BW127" s="341"/>
      <c r="BX127" s="341"/>
      <c r="BY127" s="341"/>
      <c r="BZ127" s="341"/>
      <c r="CA127" s="341"/>
      <c r="CB127" s="341"/>
      <c r="CC127" s="341"/>
      <c r="CD127" s="341"/>
      <c r="CE127" s="341"/>
      <c r="CF127" s="341"/>
    </row>
    <row r="128" spans="1:84" ht="12.75" customHeight="1">
      <c r="A128" s="326"/>
      <c r="B128" s="341"/>
      <c r="C128" s="341"/>
      <c r="D128" s="341"/>
      <c r="E128" s="341"/>
      <c r="F128" s="341"/>
      <c r="G128" s="341"/>
      <c r="H128" s="341"/>
      <c r="I128" s="341"/>
      <c r="J128" s="341"/>
      <c r="K128" s="341"/>
      <c r="L128" s="341"/>
      <c r="M128" s="341"/>
      <c r="N128" s="341"/>
      <c r="O128" s="341"/>
      <c r="P128" s="341"/>
      <c r="Q128" s="341"/>
      <c r="R128" s="341"/>
      <c r="S128" s="341"/>
      <c r="T128" s="341"/>
      <c r="U128" s="341"/>
      <c r="V128" s="341"/>
      <c r="W128" s="341"/>
      <c r="X128" s="341"/>
      <c r="Y128" s="341"/>
      <c r="Z128" s="341"/>
      <c r="AA128" s="341"/>
      <c r="AB128" s="341"/>
      <c r="AC128" s="341"/>
      <c r="AD128" s="341"/>
      <c r="AE128" s="341"/>
      <c r="AF128" s="341"/>
      <c r="AG128" s="341"/>
      <c r="AH128" s="341"/>
      <c r="AI128" s="341"/>
      <c r="AJ128" s="341"/>
      <c r="AK128" s="341"/>
      <c r="AL128" s="341"/>
      <c r="AM128" s="341"/>
      <c r="AN128" s="341"/>
      <c r="AO128" s="341"/>
      <c r="AP128" s="341"/>
      <c r="AQ128" s="341"/>
      <c r="AR128" s="341"/>
      <c r="AS128" s="341"/>
      <c r="AT128" s="341"/>
      <c r="AU128" s="341"/>
      <c r="AV128" s="341"/>
      <c r="AW128" s="341"/>
      <c r="AX128" s="341"/>
      <c r="AY128" s="341"/>
      <c r="AZ128" s="341"/>
      <c r="BA128" s="341"/>
      <c r="BB128" s="341"/>
      <c r="BC128" s="341"/>
      <c r="BD128" s="341"/>
      <c r="BE128" s="341"/>
      <c r="BF128" s="341"/>
      <c r="BG128" s="341"/>
      <c r="BH128" s="341"/>
      <c r="BI128" s="341"/>
      <c r="BJ128" s="341"/>
      <c r="BK128" s="341"/>
      <c r="BL128" s="341"/>
      <c r="BM128" s="341"/>
      <c r="BN128" s="341"/>
      <c r="BO128" s="341"/>
      <c r="BP128" s="341"/>
      <c r="BQ128" s="341"/>
      <c r="BR128" s="341"/>
      <c r="BS128" s="341"/>
      <c r="BT128" s="341"/>
      <c r="BU128" s="341"/>
      <c r="BV128" s="341"/>
      <c r="BW128" s="341"/>
      <c r="BX128" s="341"/>
      <c r="BY128" s="341"/>
      <c r="BZ128" s="341"/>
      <c r="CA128" s="341"/>
      <c r="CB128" s="341"/>
      <c r="CC128" s="341"/>
      <c r="CD128" s="341"/>
      <c r="CE128" s="341"/>
      <c r="CF128" s="341"/>
    </row>
    <row r="129" spans="1:84" ht="12.75" customHeight="1">
      <c r="A129" s="326"/>
      <c r="B129" s="341"/>
      <c r="C129" s="341"/>
      <c r="D129" s="341"/>
      <c r="E129" s="341"/>
      <c r="F129" s="341"/>
      <c r="G129" s="341"/>
      <c r="H129" s="341"/>
      <c r="I129" s="341"/>
      <c r="J129" s="341"/>
      <c r="K129" s="341"/>
      <c r="L129" s="341"/>
      <c r="M129" s="341"/>
      <c r="N129" s="341"/>
      <c r="O129" s="341"/>
      <c r="P129" s="341"/>
      <c r="Q129" s="341"/>
      <c r="R129" s="341"/>
      <c r="S129" s="341"/>
      <c r="T129" s="341"/>
      <c r="U129" s="341"/>
      <c r="V129" s="341"/>
      <c r="W129" s="341"/>
      <c r="X129" s="341"/>
      <c r="Y129" s="341"/>
      <c r="Z129" s="341"/>
      <c r="AA129" s="341"/>
      <c r="AB129" s="341"/>
      <c r="AC129" s="341"/>
      <c r="AD129" s="341"/>
      <c r="AE129" s="341"/>
      <c r="AF129" s="341"/>
      <c r="AG129" s="341"/>
      <c r="AH129" s="341"/>
      <c r="AI129" s="341"/>
      <c r="AJ129" s="341"/>
      <c r="AK129" s="341"/>
      <c r="AL129" s="341"/>
      <c r="AM129" s="341"/>
      <c r="AN129" s="341"/>
      <c r="AO129" s="341"/>
      <c r="AP129" s="341"/>
      <c r="AQ129" s="341"/>
      <c r="AR129" s="341"/>
      <c r="AS129" s="341"/>
      <c r="AT129" s="341"/>
      <c r="AU129" s="341"/>
      <c r="AV129" s="341"/>
      <c r="AW129" s="341"/>
      <c r="AX129" s="341"/>
      <c r="AY129" s="341"/>
      <c r="AZ129" s="341"/>
      <c r="BA129" s="341"/>
      <c r="BB129" s="341"/>
      <c r="BC129" s="341"/>
      <c r="BD129" s="341"/>
      <c r="BE129" s="341"/>
      <c r="BF129" s="341"/>
      <c r="BG129" s="341"/>
      <c r="BH129" s="341"/>
      <c r="BI129" s="341"/>
      <c r="BJ129" s="341"/>
      <c r="BK129" s="341"/>
      <c r="BL129" s="341"/>
      <c r="BM129" s="341"/>
      <c r="BN129" s="341"/>
      <c r="BO129" s="341"/>
      <c r="BP129" s="341"/>
      <c r="BQ129" s="341"/>
      <c r="BR129" s="341"/>
      <c r="BS129" s="341"/>
      <c r="BT129" s="341"/>
      <c r="BU129" s="341"/>
      <c r="BV129" s="341"/>
      <c r="BW129" s="341"/>
      <c r="BX129" s="341"/>
      <c r="BY129" s="341"/>
      <c r="BZ129" s="341"/>
      <c r="CA129" s="341"/>
      <c r="CB129" s="341"/>
      <c r="CC129" s="341"/>
      <c r="CD129" s="341"/>
      <c r="CE129" s="341"/>
      <c r="CF129" s="341"/>
    </row>
    <row r="130" spans="1:84" ht="12.75" customHeight="1">
      <c r="A130" s="326"/>
      <c r="B130" s="341"/>
      <c r="C130" s="341"/>
      <c r="D130" s="341"/>
      <c r="E130" s="341"/>
      <c r="F130" s="341"/>
      <c r="G130" s="341"/>
      <c r="H130" s="341"/>
      <c r="I130" s="341"/>
      <c r="J130" s="341"/>
      <c r="K130" s="341"/>
      <c r="L130" s="341"/>
      <c r="M130" s="341"/>
      <c r="N130" s="341"/>
      <c r="O130" s="341"/>
      <c r="P130" s="341"/>
      <c r="Q130" s="341"/>
      <c r="R130" s="341"/>
      <c r="S130" s="341"/>
      <c r="T130" s="341"/>
      <c r="U130" s="341"/>
      <c r="V130" s="341"/>
      <c r="W130" s="341"/>
      <c r="X130" s="341"/>
      <c r="Y130" s="341"/>
      <c r="Z130" s="341"/>
      <c r="AA130" s="341"/>
      <c r="AB130" s="341"/>
      <c r="AC130" s="341"/>
      <c r="AD130" s="341"/>
      <c r="AE130" s="341"/>
      <c r="AF130" s="341"/>
      <c r="AG130" s="341"/>
      <c r="AH130" s="341"/>
      <c r="AI130" s="341"/>
      <c r="AJ130" s="341"/>
      <c r="AK130" s="341"/>
      <c r="AL130" s="341"/>
      <c r="AM130" s="341"/>
      <c r="AN130" s="341"/>
      <c r="AO130" s="341"/>
      <c r="AP130" s="341"/>
      <c r="AQ130" s="341"/>
      <c r="AR130" s="341"/>
      <c r="AS130" s="341"/>
      <c r="AT130" s="341"/>
      <c r="AU130" s="341"/>
      <c r="AV130" s="341"/>
      <c r="AW130" s="341"/>
      <c r="AX130" s="341"/>
      <c r="AY130" s="341"/>
      <c r="AZ130" s="341"/>
      <c r="BA130" s="341"/>
      <c r="BB130" s="341"/>
      <c r="BC130" s="341"/>
      <c r="BD130" s="341"/>
      <c r="BE130" s="341"/>
      <c r="BF130" s="341"/>
      <c r="BG130" s="341"/>
      <c r="BH130" s="341"/>
      <c r="BI130" s="341"/>
      <c r="BJ130" s="341"/>
      <c r="BK130" s="341"/>
      <c r="BL130" s="341"/>
      <c r="BM130" s="341"/>
      <c r="BN130" s="341"/>
      <c r="BO130" s="341"/>
      <c r="BP130" s="341"/>
      <c r="BQ130" s="341"/>
      <c r="BR130" s="341"/>
      <c r="BS130" s="341"/>
      <c r="BT130" s="341"/>
      <c r="BU130" s="341"/>
      <c r="BV130" s="341"/>
      <c r="BW130" s="341"/>
      <c r="BX130" s="341"/>
      <c r="BY130" s="341"/>
      <c r="BZ130" s="341"/>
      <c r="CA130" s="341"/>
      <c r="CB130" s="341"/>
      <c r="CC130" s="341"/>
      <c r="CD130" s="341"/>
      <c r="CE130" s="341"/>
      <c r="CF130" s="341"/>
    </row>
    <row r="131" spans="1:84" ht="12.75" customHeight="1">
      <c r="A131" s="326"/>
      <c r="B131" s="341"/>
      <c r="C131" s="341"/>
      <c r="D131" s="341"/>
      <c r="E131" s="341"/>
      <c r="F131" s="341"/>
      <c r="G131" s="341"/>
      <c r="H131" s="341"/>
      <c r="I131" s="341"/>
      <c r="J131" s="341"/>
      <c r="K131" s="341"/>
      <c r="L131" s="341"/>
      <c r="M131" s="341"/>
      <c r="N131" s="341"/>
      <c r="O131" s="341"/>
      <c r="P131" s="341"/>
      <c r="Q131" s="341"/>
      <c r="R131" s="341"/>
      <c r="S131" s="341"/>
      <c r="T131" s="341"/>
      <c r="U131" s="341"/>
      <c r="V131" s="341"/>
      <c r="W131" s="341"/>
      <c r="X131" s="341"/>
      <c r="Y131" s="341"/>
      <c r="Z131" s="341"/>
      <c r="AA131" s="341"/>
      <c r="AB131" s="341"/>
      <c r="AC131" s="341"/>
      <c r="AD131" s="341"/>
      <c r="AE131" s="341"/>
      <c r="AF131" s="341"/>
      <c r="AG131" s="341"/>
      <c r="AH131" s="341"/>
      <c r="AI131" s="341"/>
      <c r="AJ131" s="341"/>
      <c r="AK131" s="341"/>
      <c r="AL131" s="341"/>
      <c r="AM131" s="341"/>
      <c r="AN131" s="341"/>
      <c r="AO131" s="341"/>
      <c r="AP131" s="341"/>
      <c r="AQ131" s="341"/>
      <c r="AR131" s="341"/>
      <c r="AS131" s="341"/>
      <c r="AT131" s="341"/>
      <c r="AU131" s="341"/>
      <c r="AV131" s="341"/>
      <c r="AW131" s="341"/>
      <c r="AX131" s="341"/>
      <c r="AY131" s="341"/>
      <c r="AZ131" s="341"/>
      <c r="BA131" s="341"/>
      <c r="BB131" s="341"/>
      <c r="BC131" s="341"/>
      <c r="BD131" s="341"/>
      <c r="BE131" s="341"/>
      <c r="BF131" s="341"/>
      <c r="BG131" s="341"/>
      <c r="BH131" s="341"/>
      <c r="BI131" s="341"/>
      <c r="BJ131" s="341"/>
      <c r="BK131" s="341"/>
      <c r="BL131" s="341"/>
      <c r="BM131" s="341"/>
      <c r="BN131" s="341"/>
      <c r="BO131" s="341"/>
      <c r="BP131" s="341"/>
      <c r="BQ131" s="341"/>
      <c r="BR131" s="341"/>
      <c r="BS131" s="341"/>
      <c r="BT131" s="341"/>
      <c r="BU131" s="341"/>
      <c r="BV131" s="341"/>
      <c r="BW131" s="341"/>
      <c r="BX131" s="341"/>
      <c r="BY131" s="341"/>
      <c r="BZ131" s="341"/>
      <c r="CA131" s="341"/>
      <c r="CB131" s="341"/>
      <c r="CC131" s="341"/>
      <c r="CD131" s="341"/>
      <c r="CE131" s="341"/>
      <c r="CF131" s="341"/>
    </row>
    <row r="132" spans="1:84" ht="12.75" customHeight="1">
      <c r="A132" s="326"/>
      <c r="B132" s="341"/>
      <c r="C132" s="341"/>
      <c r="D132" s="341"/>
      <c r="E132" s="341"/>
      <c r="F132" s="341"/>
      <c r="G132" s="341"/>
      <c r="H132" s="341"/>
      <c r="I132" s="341"/>
      <c r="J132" s="341"/>
      <c r="K132" s="341"/>
      <c r="L132" s="341"/>
      <c r="M132" s="341"/>
      <c r="N132" s="341"/>
      <c r="O132" s="341"/>
      <c r="P132" s="341"/>
      <c r="Q132" s="341"/>
      <c r="R132" s="341"/>
      <c r="S132" s="341"/>
      <c r="T132" s="341"/>
      <c r="U132" s="341"/>
      <c r="V132" s="341"/>
      <c r="W132" s="341"/>
      <c r="X132" s="341"/>
      <c r="Y132" s="341"/>
      <c r="Z132" s="341"/>
      <c r="AA132" s="341"/>
      <c r="AB132" s="341"/>
      <c r="AC132" s="341"/>
      <c r="AD132" s="341"/>
      <c r="AE132" s="341"/>
      <c r="AF132" s="341"/>
      <c r="AG132" s="341"/>
      <c r="AH132" s="341"/>
      <c r="AI132" s="341"/>
      <c r="AJ132" s="341"/>
      <c r="AK132" s="341"/>
      <c r="AL132" s="341"/>
      <c r="AM132" s="341"/>
      <c r="AN132" s="341"/>
      <c r="AO132" s="341"/>
      <c r="AP132" s="341"/>
      <c r="AQ132" s="341"/>
      <c r="AR132" s="341"/>
      <c r="AS132" s="341"/>
      <c r="AT132" s="341"/>
      <c r="AU132" s="341"/>
      <c r="AV132" s="341"/>
      <c r="AW132" s="341"/>
      <c r="AX132" s="341"/>
      <c r="AY132" s="341"/>
      <c r="AZ132" s="341"/>
      <c r="BA132" s="341"/>
      <c r="BB132" s="341"/>
      <c r="BC132" s="341"/>
      <c r="BD132" s="341"/>
      <c r="BE132" s="341"/>
      <c r="BF132" s="341"/>
      <c r="BG132" s="341"/>
      <c r="BH132" s="341"/>
      <c r="BI132" s="341"/>
      <c r="BJ132" s="341"/>
      <c r="BK132" s="341"/>
      <c r="BL132" s="341"/>
      <c r="BM132" s="341"/>
      <c r="BN132" s="341"/>
      <c r="BO132" s="341"/>
      <c r="BP132" s="341"/>
      <c r="BQ132" s="341"/>
      <c r="BR132" s="341"/>
      <c r="BS132" s="341"/>
      <c r="BT132" s="341"/>
      <c r="BU132" s="341"/>
      <c r="BV132" s="341"/>
      <c r="BW132" s="341"/>
      <c r="BX132" s="341"/>
      <c r="BY132" s="341"/>
      <c r="BZ132" s="341"/>
      <c r="CA132" s="341"/>
      <c r="CB132" s="341"/>
      <c r="CC132" s="341"/>
      <c r="CD132" s="341"/>
      <c r="CE132" s="341"/>
      <c r="CF132" s="341"/>
    </row>
    <row r="133" spans="1:84" ht="12.75" customHeight="1">
      <c r="A133" s="326"/>
      <c r="B133" s="341"/>
      <c r="C133" s="341"/>
      <c r="D133" s="341"/>
      <c r="E133" s="341"/>
      <c r="F133" s="341"/>
      <c r="G133" s="341"/>
      <c r="H133" s="341"/>
      <c r="I133" s="341"/>
      <c r="J133" s="341"/>
      <c r="K133" s="341"/>
      <c r="L133" s="341"/>
      <c r="M133" s="341"/>
      <c r="N133" s="341"/>
      <c r="O133" s="341"/>
      <c r="P133" s="341"/>
      <c r="Q133" s="341"/>
      <c r="R133" s="341"/>
      <c r="S133" s="341"/>
      <c r="T133" s="341"/>
      <c r="U133" s="341"/>
      <c r="V133" s="341"/>
      <c r="W133" s="341"/>
      <c r="X133" s="341"/>
      <c r="Y133" s="341"/>
      <c r="Z133" s="341"/>
      <c r="AA133" s="341"/>
      <c r="AB133" s="341"/>
      <c r="AC133" s="341"/>
      <c r="AD133" s="341"/>
      <c r="AE133" s="341"/>
      <c r="AF133" s="341"/>
      <c r="AG133" s="341"/>
      <c r="AH133" s="341"/>
      <c r="AI133" s="341"/>
      <c r="AJ133" s="341"/>
      <c r="AK133" s="341"/>
      <c r="AL133" s="341"/>
      <c r="AM133" s="341"/>
      <c r="AN133" s="341"/>
      <c r="AO133" s="341"/>
      <c r="AP133" s="341"/>
      <c r="AQ133" s="341"/>
      <c r="AR133" s="341"/>
      <c r="AS133" s="341"/>
      <c r="AT133" s="341"/>
      <c r="AU133" s="341"/>
      <c r="AV133" s="341"/>
      <c r="AW133" s="341"/>
      <c r="AX133" s="341"/>
      <c r="AY133" s="341"/>
      <c r="AZ133" s="341"/>
      <c r="BA133" s="341"/>
      <c r="BB133" s="341"/>
      <c r="BC133" s="341"/>
      <c r="BD133" s="341"/>
      <c r="BE133" s="341"/>
      <c r="BF133" s="341"/>
      <c r="BG133" s="341"/>
      <c r="BH133" s="341"/>
      <c r="BI133" s="341"/>
      <c r="BJ133" s="341"/>
      <c r="BK133" s="341"/>
      <c r="BL133" s="341"/>
      <c r="BM133" s="341"/>
      <c r="BN133" s="341"/>
      <c r="BO133" s="341"/>
      <c r="BP133" s="341"/>
      <c r="BQ133" s="341"/>
      <c r="BR133" s="341"/>
      <c r="BS133" s="341"/>
      <c r="BT133" s="341"/>
      <c r="BU133" s="341"/>
      <c r="BV133" s="341"/>
      <c r="BW133" s="341"/>
      <c r="BX133" s="341"/>
      <c r="BY133" s="341"/>
      <c r="BZ133" s="341"/>
      <c r="CA133" s="341"/>
      <c r="CB133" s="341"/>
      <c r="CC133" s="341"/>
      <c r="CD133" s="341"/>
      <c r="CE133" s="341"/>
      <c r="CF133" s="341"/>
    </row>
    <row r="134" spans="1:84" ht="12.75" customHeight="1">
      <c r="A134" s="326"/>
      <c r="B134" s="341"/>
      <c r="C134" s="341"/>
      <c r="D134" s="341"/>
      <c r="E134" s="341"/>
      <c r="F134" s="341"/>
      <c r="G134" s="341"/>
      <c r="H134" s="341"/>
      <c r="I134" s="341"/>
      <c r="J134" s="341"/>
      <c r="K134" s="341"/>
      <c r="L134" s="341"/>
      <c r="M134" s="341"/>
      <c r="N134" s="341"/>
      <c r="O134" s="341"/>
      <c r="P134" s="341"/>
      <c r="Q134" s="341"/>
      <c r="R134" s="341"/>
      <c r="S134" s="341"/>
      <c r="T134" s="341"/>
      <c r="U134" s="341"/>
      <c r="V134" s="341"/>
      <c r="W134" s="341"/>
      <c r="X134" s="341"/>
      <c r="Y134" s="341"/>
      <c r="Z134" s="341"/>
      <c r="AA134" s="341"/>
      <c r="AB134" s="341"/>
      <c r="AC134" s="341"/>
      <c r="AD134" s="341"/>
      <c r="AE134" s="341"/>
      <c r="AF134" s="341"/>
      <c r="AG134" s="341"/>
      <c r="AH134" s="341"/>
      <c r="AI134" s="341"/>
      <c r="AJ134" s="341"/>
      <c r="AK134" s="341"/>
      <c r="AL134" s="341"/>
      <c r="AM134" s="341"/>
      <c r="AN134" s="341"/>
      <c r="AO134" s="341"/>
      <c r="AP134" s="341"/>
      <c r="AQ134" s="341"/>
      <c r="AR134" s="341"/>
      <c r="AS134" s="341"/>
      <c r="AT134" s="341"/>
      <c r="AU134" s="341"/>
      <c r="AV134" s="341"/>
      <c r="AW134" s="341"/>
      <c r="AX134" s="341"/>
      <c r="AY134" s="341"/>
      <c r="AZ134" s="341"/>
      <c r="BA134" s="341"/>
      <c r="BB134" s="341"/>
      <c r="BC134" s="341"/>
      <c r="BD134" s="341"/>
      <c r="BE134" s="341"/>
      <c r="BF134" s="341"/>
      <c r="BG134" s="341"/>
      <c r="BH134" s="341"/>
      <c r="BI134" s="341"/>
      <c r="BJ134" s="341"/>
      <c r="BK134" s="341"/>
      <c r="BL134" s="341"/>
      <c r="BM134" s="341"/>
      <c r="BN134" s="341"/>
      <c r="BO134" s="341"/>
      <c r="BP134" s="341"/>
      <c r="BQ134" s="341"/>
      <c r="BR134" s="341"/>
      <c r="BS134" s="341"/>
      <c r="BT134" s="341"/>
      <c r="BU134" s="341"/>
      <c r="BV134" s="341"/>
      <c r="BW134" s="341"/>
      <c r="BX134" s="341"/>
      <c r="BY134" s="341"/>
      <c r="BZ134" s="341"/>
      <c r="CA134" s="341"/>
      <c r="CB134" s="341"/>
      <c r="CC134" s="341"/>
      <c r="CD134" s="341"/>
      <c r="CE134" s="341"/>
      <c r="CF134" s="341"/>
    </row>
    <row r="135" spans="1:84" ht="12.75" customHeight="1">
      <c r="A135" s="326"/>
      <c r="B135" s="341"/>
      <c r="C135" s="341"/>
      <c r="D135" s="341"/>
      <c r="E135" s="341"/>
      <c r="F135" s="341"/>
      <c r="G135" s="341"/>
      <c r="H135" s="341"/>
      <c r="I135" s="341"/>
      <c r="J135" s="341"/>
      <c r="K135" s="341"/>
      <c r="L135" s="341"/>
      <c r="M135" s="341"/>
      <c r="N135" s="341"/>
      <c r="O135" s="341"/>
      <c r="P135" s="341"/>
      <c r="Q135" s="341"/>
      <c r="R135" s="341"/>
      <c r="S135" s="341"/>
      <c r="T135" s="341"/>
      <c r="U135" s="341"/>
      <c r="V135" s="341"/>
      <c r="W135" s="341"/>
      <c r="X135" s="341"/>
      <c r="Y135" s="341"/>
      <c r="Z135" s="341"/>
      <c r="AA135" s="341"/>
      <c r="AB135" s="341"/>
      <c r="AC135" s="341"/>
      <c r="AD135" s="341"/>
      <c r="AE135" s="341"/>
      <c r="AF135" s="341"/>
      <c r="AG135" s="341"/>
      <c r="AH135" s="341"/>
      <c r="AI135" s="341"/>
      <c r="AJ135" s="341"/>
      <c r="AK135" s="341"/>
      <c r="AL135" s="341"/>
      <c r="AM135" s="341"/>
      <c r="AN135" s="341"/>
      <c r="AO135" s="341"/>
      <c r="AP135" s="341"/>
      <c r="AQ135" s="341"/>
      <c r="AR135" s="341"/>
      <c r="AS135" s="341"/>
      <c r="AT135" s="341"/>
      <c r="AU135" s="341"/>
      <c r="AV135" s="341"/>
      <c r="AW135" s="341"/>
      <c r="AX135" s="341"/>
      <c r="AY135" s="341"/>
      <c r="AZ135" s="341"/>
      <c r="BA135" s="341"/>
      <c r="BB135" s="341"/>
      <c r="BC135" s="341"/>
      <c r="BD135" s="341"/>
      <c r="BE135" s="341"/>
      <c r="BF135" s="341"/>
      <c r="BG135" s="341"/>
      <c r="BH135" s="341"/>
      <c r="BI135" s="341"/>
      <c r="BJ135" s="341"/>
      <c r="BK135" s="341"/>
      <c r="BL135" s="341"/>
      <c r="BM135" s="341"/>
      <c r="BN135" s="341"/>
      <c r="BO135" s="341"/>
      <c r="BP135" s="341"/>
      <c r="BQ135" s="341"/>
      <c r="BR135" s="341"/>
      <c r="BS135" s="341"/>
      <c r="BT135" s="341"/>
      <c r="BU135" s="341"/>
      <c r="BV135" s="341"/>
      <c r="BW135" s="341"/>
      <c r="BX135" s="341"/>
      <c r="BY135" s="341"/>
      <c r="BZ135" s="341"/>
      <c r="CA135" s="341"/>
      <c r="CB135" s="341"/>
      <c r="CC135" s="341"/>
      <c r="CD135" s="341"/>
      <c r="CE135" s="341"/>
      <c r="CF135" s="341"/>
    </row>
    <row r="136" spans="1:84" ht="12.75" customHeight="1">
      <c r="A136" s="326"/>
      <c r="B136" s="341"/>
      <c r="C136" s="341"/>
      <c r="D136" s="341"/>
      <c r="E136" s="341"/>
      <c r="F136" s="341"/>
      <c r="G136" s="341"/>
      <c r="H136" s="341"/>
      <c r="I136" s="341"/>
      <c r="J136" s="341"/>
      <c r="K136" s="341"/>
      <c r="L136" s="341"/>
      <c r="M136" s="341"/>
      <c r="N136" s="341"/>
      <c r="O136" s="341"/>
      <c r="P136" s="341"/>
      <c r="Q136" s="341"/>
      <c r="R136" s="341"/>
      <c r="S136" s="341"/>
      <c r="T136" s="341"/>
      <c r="U136" s="341"/>
      <c r="V136" s="341"/>
      <c r="W136" s="341"/>
      <c r="X136" s="341"/>
      <c r="Y136" s="341"/>
      <c r="Z136" s="341"/>
      <c r="AA136" s="341"/>
      <c r="AB136" s="341"/>
      <c r="AC136" s="341"/>
      <c r="AD136" s="341"/>
      <c r="AE136" s="341"/>
      <c r="AF136" s="341"/>
      <c r="AG136" s="341"/>
      <c r="AH136" s="341"/>
      <c r="AI136" s="341"/>
      <c r="AJ136" s="341"/>
      <c r="AK136" s="341"/>
      <c r="AL136" s="341"/>
      <c r="AM136" s="341"/>
      <c r="AN136" s="341"/>
      <c r="AO136" s="341"/>
      <c r="AP136" s="341"/>
      <c r="AQ136" s="341"/>
      <c r="AR136" s="341"/>
      <c r="AS136" s="341"/>
      <c r="AT136" s="341"/>
      <c r="AU136" s="341"/>
      <c r="AV136" s="341"/>
      <c r="AW136" s="341"/>
      <c r="AX136" s="341"/>
      <c r="AY136" s="341"/>
      <c r="AZ136" s="341"/>
      <c r="BA136" s="341"/>
      <c r="BB136" s="341"/>
      <c r="BC136" s="341"/>
      <c r="BD136" s="341"/>
      <c r="BE136" s="341"/>
      <c r="BF136" s="341"/>
      <c r="BG136" s="341"/>
      <c r="BH136" s="341"/>
      <c r="BI136" s="341"/>
      <c r="BJ136" s="341"/>
      <c r="BK136" s="341"/>
      <c r="BL136" s="341"/>
      <c r="BM136" s="341"/>
      <c r="BN136" s="341"/>
      <c r="BO136" s="341"/>
      <c r="BP136" s="341"/>
      <c r="BQ136" s="341"/>
      <c r="BR136" s="341"/>
      <c r="BS136" s="341"/>
      <c r="BT136" s="341"/>
      <c r="BU136" s="341"/>
      <c r="BV136" s="341"/>
      <c r="BW136" s="341"/>
      <c r="BX136" s="341"/>
      <c r="BY136" s="341"/>
      <c r="BZ136" s="341"/>
      <c r="CA136" s="341"/>
      <c r="CB136" s="341"/>
      <c r="CC136" s="341"/>
      <c r="CD136" s="341"/>
      <c r="CE136" s="341"/>
      <c r="CF136" s="341"/>
    </row>
    <row r="137" spans="1:84" ht="12.75" customHeight="1">
      <c r="A137" s="326"/>
      <c r="B137" s="341"/>
      <c r="C137" s="341"/>
      <c r="D137" s="341"/>
      <c r="E137" s="341"/>
      <c r="F137" s="341"/>
      <c r="G137" s="341"/>
      <c r="H137" s="341"/>
      <c r="I137" s="341"/>
      <c r="J137" s="341"/>
      <c r="K137" s="341"/>
      <c r="L137" s="341"/>
      <c r="M137" s="341"/>
      <c r="N137" s="341"/>
      <c r="O137" s="341"/>
      <c r="P137" s="341"/>
      <c r="Q137" s="341"/>
      <c r="R137" s="341"/>
      <c r="S137" s="341"/>
      <c r="T137" s="341"/>
      <c r="U137" s="341"/>
      <c r="V137" s="341"/>
      <c r="W137" s="341"/>
      <c r="X137" s="341"/>
      <c r="Y137" s="341"/>
      <c r="Z137" s="341"/>
      <c r="AA137" s="341"/>
      <c r="AB137" s="341"/>
      <c r="AC137" s="341"/>
      <c r="AD137" s="341"/>
      <c r="AE137" s="341"/>
      <c r="AF137" s="341"/>
      <c r="AG137" s="341"/>
      <c r="AH137" s="341"/>
      <c r="AI137" s="341"/>
      <c r="AJ137" s="341"/>
      <c r="AK137" s="341"/>
      <c r="AL137" s="341"/>
      <c r="AM137" s="341"/>
      <c r="AN137" s="341"/>
      <c r="AO137" s="341"/>
      <c r="AP137" s="341"/>
      <c r="AQ137" s="341"/>
      <c r="AR137" s="341"/>
      <c r="AS137" s="341"/>
      <c r="AT137" s="341"/>
      <c r="AU137" s="341"/>
      <c r="AV137" s="341"/>
      <c r="AW137" s="341"/>
      <c r="AX137" s="341"/>
      <c r="AY137" s="341"/>
      <c r="AZ137" s="341"/>
      <c r="BA137" s="341"/>
      <c r="BB137" s="341"/>
      <c r="BC137" s="341"/>
      <c r="BD137" s="341"/>
      <c r="BE137" s="341"/>
      <c r="BF137" s="341"/>
      <c r="BG137" s="341"/>
      <c r="BH137" s="341"/>
      <c r="BI137" s="341"/>
      <c r="BJ137" s="341"/>
      <c r="BK137" s="341"/>
      <c r="BL137" s="341"/>
      <c r="BM137" s="341"/>
      <c r="BN137" s="341"/>
      <c r="BO137" s="341"/>
      <c r="BP137" s="341"/>
      <c r="BQ137" s="341"/>
      <c r="BR137" s="341"/>
      <c r="BS137" s="341"/>
      <c r="BT137" s="341"/>
      <c r="BU137" s="341"/>
      <c r="BV137" s="341"/>
      <c r="BW137" s="341"/>
      <c r="BX137" s="341"/>
      <c r="BY137" s="341"/>
      <c r="BZ137" s="341"/>
      <c r="CA137" s="341"/>
      <c r="CB137" s="341"/>
      <c r="CC137" s="341"/>
      <c r="CD137" s="341"/>
      <c r="CE137" s="341"/>
      <c r="CF137" s="341"/>
    </row>
    <row r="138" spans="1:84" ht="12.75" customHeight="1">
      <c r="A138" s="326"/>
      <c r="B138" s="341"/>
      <c r="C138" s="341"/>
      <c r="D138" s="341"/>
      <c r="E138" s="341"/>
      <c r="F138" s="341"/>
      <c r="G138" s="341"/>
      <c r="H138" s="341"/>
      <c r="I138" s="341"/>
      <c r="J138" s="341"/>
      <c r="K138" s="341"/>
      <c r="L138" s="341"/>
      <c r="M138" s="341"/>
      <c r="N138" s="341"/>
      <c r="O138" s="341"/>
      <c r="P138" s="341"/>
      <c r="Q138" s="341"/>
      <c r="R138" s="341"/>
      <c r="S138" s="341"/>
      <c r="T138" s="341"/>
      <c r="U138" s="341"/>
      <c r="V138" s="341"/>
      <c r="W138" s="341"/>
      <c r="X138" s="341"/>
      <c r="Y138" s="341"/>
      <c r="Z138" s="341"/>
      <c r="AA138" s="341"/>
      <c r="AB138" s="341"/>
      <c r="AC138" s="341"/>
      <c r="AD138" s="341"/>
      <c r="AE138" s="341"/>
      <c r="AF138" s="341"/>
      <c r="AG138" s="341"/>
      <c r="AH138" s="341"/>
      <c r="AI138" s="341"/>
      <c r="AJ138" s="341"/>
      <c r="AK138" s="341"/>
      <c r="AL138" s="341"/>
      <c r="AM138" s="341"/>
      <c r="AN138" s="341"/>
      <c r="AO138" s="341"/>
      <c r="AP138" s="341"/>
      <c r="AQ138" s="341"/>
      <c r="AR138" s="341"/>
      <c r="AS138" s="341"/>
      <c r="AT138" s="341"/>
      <c r="AU138" s="341"/>
      <c r="AV138" s="341"/>
      <c r="AW138" s="341"/>
      <c r="AX138" s="341"/>
      <c r="AY138" s="341"/>
      <c r="AZ138" s="341"/>
      <c r="BA138" s="341"/>
      <c r="BB138" s="341"/>
      <c r="BC138" s="341"/>
      <c r="BD138" s="341"/>
      <c r="BE138" s="341"/>
      <c r="BF138" s="341"/>
      <c r="BG138" s="341"/>
      <c r="BH138" s="341"/>
      <c r="BI138" s="341"/>
      <c r="BJ138" s="341"/>
      <c r="BK138" s="341"/>
      <c r="BL138" s="341"/>
      <c r="BM138" s="341"/>
      <c r="BN138" s="341"/>
      <c r="BO138" s="341"/>
      <c r="BP138" s="341"/>
      <c r="BQ138" s="341"/>
      <c r="BR138" s="341"/>
      <c r="BS138" s="341"/>
      <c r="BT138" s="341"/>
      <c r="BU138" s="341"/>
      <c r="BV138" s="341"/>
      <c r="BW138" s="341"/>
      <c r="BX138" s="341"/>
      <c r="BY138" s="341"/>
      <c r="BZ138" s="341"/>
      <c r="CA138" s="341"/>
      <c r="CB138" s="341"/>
      <c r="CC138" s="341"/>
      <c r="CD138" s="341"/>
      <c r="CE138" s="341"/>
      <c r="CF138" s="341"/>
    </row>
    <row r="139" spans="1:84" ht="12.75" customHeight="1">
      <c r="A139" s="326"/>
      <c r="B139" s="341"/>
      <c r="C139" s="341"/>
      <c r="D139" s="341"/>
      <c r="E139" s="341"/>
      <c r="F139" s="341"/>
      <c r="G139" s="341"/>
      <c r="H139" s="341"/>
      <c r="I139" s="341"/>
      <c r="J139" s="341"/>
      <c r="K139" s="341"/>
      <c r="L139" s="341"/>
      <c r="M139" s="341"/>
      <c r="N139" s="341"/>
      <c r="O139" s="341"/>
      <c r="P139" s="341"/>
      <c r="Q139" s="341"/>
      <c r="R139" s="341"/>
      <c r="S139" s="341"/>
      <c r="T139" s="341"/>
      <c r="U139" s="341"/>
      <c r="V139" s="341"/>
      <c r="W139" s="341"/>
      <c r="X139" s="341"/>
      <c r="Y139" s="341"/>
      <c r="Z139" s="341"/>
      <c r="AA139" s="341"/>
      <c r="AB139" s="341"/>
      <c r="AC139" s="341"/>
      <c r="AD139" s="341"/>
      <c r="AE139" s="341"/>
      <c r="AF139" s="341"/>
      <c r="AG139" s="341"/>
      <c r="AH139" s="341"/>
      <c r="AI139" s="341"/>
      <c r="AJ139" s="341"/>
      <c r="AK139" s="341"/>
      <c r="AL139" s="341"/>
      <c r="AM139" s="341"/>
      <c r="AN139" s="341"/>
      <c r="AO139" s="341"/>
      <c r="AP139" s="341"/>
      <c r="AQ139" s="341"/>
      <c r="AR139" s="341"/>
      <c r="AS139" s="341"/>
      <c r="AT139" s="341"/>
      <c r="AU139" s="341"/>
      <c r="AV139" s="341"/>
      <c r="AW139" s="341"/>
      <c r="AX139" s="341"/>
      <c r="AY139" s="341"/>
      <c r="AZ139" s="341"/>
      <c r="BA139" s="341"/>
      <c r="BB139" s="341"/>
      <c r="BC139" s="341"/>
      <c r="BD139" s="341"/>
      <c r="BE139" s="341"/>
      <c r="BF139" s="341"/>
      <c r="BG139" s="341"/>
      <c r="BH139" s="341"/>
      <c r="BI139" s="341"/>
      <c r="BJ139" s="341"/>
      <c r="BK139" s="341"/>
      <c r="BL139" s="341"/>
      <c r="BM139" s="341"/>
      <c r="BN139" s="341"/>
      <c r="BO139" s="341"/>
      <c r="BP139" s="341"/>
      <c r="BQ139" s="341"/>
      <c r="BR139" s="341"/>
      <c r="BS139" s="341"/>
      <c r="BT139" s="341"/>
      <c r="BU139" s="341"/>
      <c r="BV139" s="341"/>
      <c r="BW139" s="341"/>
      <c r="BX139" s="341"/>
      <c r="BY139" s="341"/>
      <c r="BZ139" s="341"/>
      <c r="CA139" s="341"/>
      <c r="CB139" s="341"/>
      <c r="CC139" s="341"/>
      <c r="CD139" s="341"/>
      <c r="CE139" s="341"/>
      <c r="CF139" s="341"/>
    </row>
    <row r="140" spans="1:84" ht="12.75" customHeight="1">
      <c r="A140" s="326"/>
      <c r="B140" s="341"/>
      <c r="C140" s="341"/>
      <c r="D140" s="341"/>
      <c r="E140" s="341"/>
      <c r="F140" s="341"/>
      <c r="G140" s="341"/>
      <c r="H140" s="341"/>
      <c r="I140" s="341"/>
      <c r="J140" s="341"/>
      <c r="K140" s="341"/>
      <c r="L140" s="341"/>
      <c r="M140" s="341"/>
      <c r="N140" s="341"/>
      <c r="O140" s="341"/>
      <c r="P140" s="341"/>
      <c r="Q140" s="341"/>
      <c r="R140" s="341"/>
      <c r="S140" s="341"/>
      <c r="T140" s="341"/>
      <c r="U140" s="341"/>
      <c r="V140" s="341"/>
      <c r="W140" s="341"/>
      <c r="X140" s="341"/>
      <c r="Y140" s="341"/>
      <c r="Z140" s="341"/>
      <c r="AA140" s="341"/>
      <c r="AB140" s="341"/>
      <c r="AC140" s="341"/>
      <c r="AD140" s="341"/>
      <c r="AE140" s="341"/>
      <c r="AF140" s="341"/>
      <c r="AG140" s="341"/>
      <c r="AH140" s="341"/>
      <c r="AI140" s="341"/>
      <c r="AJ140" s="341"/>
      <c r="AK140" s="341"/>
      <c r="AL140" s="341"/>
      <c r="AM140" s="341"/>
      <c r="AN140" s="341"/>
      <c r="AO140" s="341"/>
      <c r="AP140" s="341"/>
      <c r="AQ140" s="341"/>
      <c r="AR140" s="341"/>
      <c r="AS140" s="341"/>
      <c r="AT140" s="341"/>
      <c r="AU140" s="341"/>
      <c r="AV140" s="341"/>
      <c r="AW140" s="341"/>
      <c r="AX140" s="341"/>
      <c r="AY140" s="341"/>
      <c r="AZ140" s="341"/>
      <c r="BA140" s="341"/>
      <c r="BB140" s="341"/>
      <c r="BC140" s="341"/>
      <c r="BD140" s="341"/>
      <c r="BE140" s="341"/>
      <c r="BF140" s="341"/>
      <c r="BG140" s="341"/>
      <c r="BH140" s="341"/>
      <c r="BI140" s="341"/>
      <c r="BJ140" s="341"/>
      <c r="BK140" s="341"/>
      <c r="BL140" s="341"/>
      <c r="BM140" s="341"/>
      <c r="BN140" s="341"/>
      <c r="BO140" s="341"/>
      <c r="BP140" s="341"/>
      <c r="BQ140" s="341"/>
      <c r="BR140" s="341"/>
      <c r="BS140" s="341"/>
      <c r="BT140" s="341"/>
      <c r="BU140" s="341"/>
      <c r="BV140" s="341"/>
      <c r="BW140" s="341"/>
      <c r="BX140" s="341"/>
      <c r="BY140" s="341"/>
      <c r="BZ140" s="341"/>
      <c r="CA140" s="341"/>
      <c r="CB140" s="341"/>
      <c r="CC140" s="341"/>
      <c r="CD140" s="341"/>
      <c r="CE140" s="341"/>
      <c r="CF140" s="341"/>
    </row>
    <row r="141" spans="1:84" ht="12.75" customHeight="1">
      <c r="A141" s="326"/>
      <c r="B141" s="341"/>
      <c r="C141" s="341"/>
      <c r="D141" s="341"/>
      <c r="E141" s="341"/>
      <c r="F141" s="341"/>
      <c r="G141" s="341"/>
      <c r="H141" s="341"/>
      <c r="I141" s="341"/>
      <c r="J141" s="341"/>
      <c r="K141" s="341"/>
      <c r="L141" s="341"/>
      <c r="M141" s="341"/>
      <c r="N141" s="341"/>
      <c r="O141" s="341"/>
      <c r="P141" s="341"/>
      <c r="Q141" s="341"/>
      <c r="R141" s="341"/>
      <c r="S141" s="341"/>
      <c r="T141" s="341"/>
      <c r="U141" s="341"/>
      <c r="V141" s="341"/>
      <c r="W141" s="341"/>
      <c r="X141" s="341"/>
      <c r="Y141" s="341"/>
      <c r="Z141" s="341"/>
      <c r="AA141" s="341"/>
      <c r="AB141" s="341"/>
      <c r="AC141" s="341"/>
      <c r="AD141" s="341"/>
      <c r="AE141" s="341"/>
      <c r="AF141" s="341"/>
      <c r="AG141" s="341"/>
      <c r="AH141" s="341"/>
      <c r="AI141" s="341"/>
      <c r="AJ141" s="341"/>
      <c r="AK141" s="341"/>
      <c r="AL141" s="341"/>
      <c r="AM141" s="341"/>
      <c r="AN141" s="341"/>
      <c r="AO141" s="341"/>
      <c r="AP141" s="341"/>
      <c r="AQ141" s="341"/>
      <c r="AR141" s="341"/>
      <c r="AS141" s="341"/>
      <c r="AT141" s="341"/>
      <c r="AU141" s="341"/>
      <c r="AV141" s="341"/>
      <c r="AW141" s="341"/>
      <c r="AX141" s="341"/>
      <c r="AY141" s="341"/>
      <c r="AZ141" s="341"/>
      <c r="BA141" s="341"/>
      <c r="BB141" s="341"/>
      <c r="BC141" s="341"/>
      <c r="BD141" s="341"/>
      <c r="BE141" s="341"/>
      <c r="BF141" s="341"/>
      <c r="BG141" s="341"/>
      <c r="BH141" s="341"/>
      <c r="BI141" s="341"/>
      <c r="BJ141" s="341"/>
      <c r="BK141" s="341"/>
      <c r="BL141" s="341"/>
      <c r="BM141" s="341"/>
      <c r="BN141" s="341"/>
      <c r="BO141" s="341"/>
      <c r="BP141" s="341"/>
      <c r="BQ141" s="341"/>
      <c r="BR141" s="341"/>
      <c r="BS141" s="341"/>
      <c r="BT141" s="341"/>
      <c r="BU141" s="341"/>
      <c r="BV141" s="341"/>
      <c r="BW141" s="341"/>
      <c r="BX141" s="341"/>
      <c r="BY141" s="341"/>
      <c r="BZ141" s="341"/>
      <c r="CA141" s="341"/>
      <c r="CB141" s="341"/>
      <c r="CC141" s="341"/>
      <c r="CD141" s="341"/>
      <c r="CE141" s="341"/>
      <c r="CF141" s="341"/>
    </row>
    <row r="142" spans="1:84" ht="12.75" customHeight="1">
      <c r="A142" s="326"/>
      <c r="B142" s="341"/>
      <c r="C142" s="341"/>
      <c r="D142" s="341"/>
      <c r="E142" s="341"/>
      <c r="F142" s="341"/>
      <c r="G142" s="341"/>
      <c r="H142" s="341"/>
      <c r="I142" s="341"/>
      <c r="J142" s="341"/>
      <c r="K142" s="341"/>
      <c r="L142" s="341"/>
      <c r="M142" s="341"/>
      <c r="N142" s="341"/>
      <c r="O142" s="341"/>
      <c r="P142" s="341"/>
      <c r="Q142" s="341"/>
      <c r="R142" s="341"/>
      <c r="S142" s="341"/>
      <c r="T142" s="341"/>
      <c r="U142" s="341"/>
      <c r="V142" s="341"/>
      <c r="W142" s="341"/>
      <c r="X142" s="341"/>
      <c r="Y142" s="341"/>
      <c r="Z142" s="341"/>
      <c r="AA142" s="341"/>
      <c r="AB142" s="341"/>
      <c r="AC142" s="341"/>
      <c r="AD142" s="341"/>
      <c r="AE142" s="341"/>
      <c r="AF142" s="341"/>
      <c r="AG142" s="341"/>
      <c r="AH142" s="341"/>
      <c r="AI142" s="341"/>
      <c r="AJ142" s="341"/>
      <c r="AK142" s="341"/>
      <c r="AL142" s="341"/>
      <c r="AM142" s="341"/>
      <c r="AN142" s="341"/>
      <c r="AO142" s="341"/>
      <c r="AP142" s="341"/>
      <c r="AQ142" s="341"/>
      <c r="AR142" s="341"/>
      <c r="AS142" s="341"/>
      <c r="AT142" s="341"/>
      <c r="AU142" s="341"/>
      <c r="AV142" s="341"/>
      <c r="AW142" s="341"/>
      <c r="AX142" s="341"/>
      <c r="AY142" s="341"/>
      <c r="AZ142" s="341"/>
      <c r="BA142" s="341"/>
      <c r="BB142" s="341"/>
      <c r="BC142" s="341"/>
      <c r="BD142" s="341"/>
      <c r="BE142" s="341"/>
      <c r="BF142" s="341"/>
      <c r="BG142" s="341"/>
      <c r="BH142" s="341"/>
      <c r="BI142" s="341"/>
      <c r="BJ142" s="341"/>
      <c r="BK142" s="341"/>
      <c r="BL142" s="341"/>
      <c r="BM142" s="341"/>
      <c r="BN142" s="341"/>
      <c r="BO142" s="341"/>
      <c r="BP142" s="341"/>
      <c r="BQ142" s="341"/>
      <c r="BR142" s="341"/>
      <c r="BS142" s="341"/>
      <c r="BT142" s="341"/>
      <c r="BU142" s="341"/>
      <c r="BV142" s="341"/>
      <c r="BW142" s="341"/>
      <c r="BX142" s="341"/>
      <c r="BY142" s="341"/>
      <c r="BZ142" s="341"/>
      <c r="CA142" s="341"/>
      <c r="CB142" s="341"/>
      <c r="CC142" s="341"/>
      <c r="CD142" s="341"/>
      <c r="CE142" s="341"/>
      <c r="CF142" s="341"/>
    </row>
    <row r="143" spans="1:84" ht="12.75" customHeight="1">
      <c r="A143" s="326"/>
      <c r="B143" s="341"/>
      <c r="C143" s="341"/>
      <c r="D143" s="341"/>
      <c r="E143" s="341"/>
      <c r="F143" s="341"/>
      <c r="G143" s="341"/>
      <c r="H143" s="341"/>
      <c r="I143" s="341"/>
      <c r="J143" s="341"/>
      <c r="K143" s="341"/>
      <c r="L143" s="341"/>
      <c r="M143" s="341"/>
      <c r="N143" s="341"/>
      <c r="O143" s="341"/>
      <c r="P143" s="341"/>
      <c r="Q143" s="341"/>
      <c r="R143" s="341"/>
      <c r="S143" s="341"/>
      <c r="T143" s="341"/>
      <c r="U143" s="341"/>
      <c r="V143" s="341"/>
      <c r="W143" s="341"/>
      <c r="X143" s="341"/>
      <c r="Y143" s="341"/>
      <c r="Z143" s="341"/>
      <c r="AA143" s="341"/>
      <c r="AB143" s="341"/>
      <c r="AC143" s="341"/>
      <c r="AD143" s="341"/>
      <c r="AE143" s="341"/>
      <c r="AF143" s="341"/>
      <c r="AG143" s="341"/>
      <c r="AH143" s="341"/>
      <c r="AI143" s="341"/>
      <c r="AJ143" s="341"/>
      <c r="AK143" s="341"/>
      <c r="AL143" s="341"/>
      <c r="AM143" s="341"/>
      <c r="AN143" s="341"/>
      <c r="AO143" s="341"/>
      <c r="AP143" s="341"/>
      <c r="AQ143" s="341"/>
      <c r="AR143" s="341"/>
      <c r="AS143" s="341"/>
      <c r="AT143" s="341"/>
      <c r="AU143" s="341"/>
      <c r="AV143" s="341"/>
      <c r="AW143" s="341"/>
      <c r="AX143" s="341"/>
      <c r="AY143" s="341"/>
      <c r="AZ143" s="341"/>
      <c r="BA143" s="341"/>
      <c r="BB143" s="341"/>
      <c r="BC143" s="341"/>
      <c r="BD143" s="341"/>
      <c r="BE143" s="341"/>
      <c r="BF143" s="341"/>
      <c r="BG143" s="341"/>
      <c r="BH143" s="341"/>
      <c r="BI143" s="341"/>
      <c r="BJ143" s="341"/>
      <c r="BK143" s="341"/>
      <c r="BL143" s="341"/>
      <c r="BM143" s="341"/>
      <c r="BN143" s="341"/>
      <c r="BO143" s="341"/>
      <c r="BP143" s="341"/>
      <c r="BQ143" s="341"/>
      <c r="BR143" s="341"/>
      <c r="BS143" s="341"/>
      <c r="BT143" s="341"/>
      <c r="BU143" s="341"/>
      <c r="BV143" s="341"/>
      <c r="BW143" s="341"/>
      <c r="BX143" s="341"/>
      <c r="BY143" s="341"/>
      <c r="BZ143" s="341"/>
      <c r="CA143" s="341"/>
      <c r="CB143" s="341"/>
      <c r="CC143" s="341"/>
      <c r="CD143" s="341"/>
      <c r="CE143" s="341"/>
      <c r="CF143" s="341"/>
    </row>
    <row r="144" spans="1:84" ht="12.75" customHeight="1">
      <c r="A144" s="326"/>
      <c r="B144" s="341"/>
      <c r="C144" s="341"/>
      <c r="D144" s="341"/>
      <c r="E144" s="341"/>
      <c r="F144" s="341"/>
      <c r="G144" s="341"/>
      <c r="H144" s="341"/>
      <c r="I144" s="341"/>
      <c r="J144" s="341"/>
      <c r="K144" s="341"/>
      <c r="L144" s="341"/>
      <c r="M144" s="341"/>
      <c r="N144" s="341"/>
      <c r="O144" s="341"/>
      <c r="P144" s="341"/>
      <c r="Q144" s="341"/>
      <c r="R144" s="341"/>
      <c r="S144" s="341"/>
      <c r="T144" s="341"/>
      <c r="U144" s="341"/>
      <c r="V144" s="341"/>
      <c r="W144" s="341"/>
      <c r="X144" s="341"/>
      <c r="Y144" s="341"/>
      <c r="Z144" s="341"/>
      <c r="AA144" s="341"/>
      <c r="AB144" s="341"/>
      <c r="AC144" s="341"/>
      <c r="AD144" s="341"/>
      <c r="AE144" s="341"/>
      <c r="AF144" s="341"/>
      <c r="AG144" s="341"/>
      <c r="AH144" s="341"/>
      <c r="AI144" s="341"/>
      <c r="AJ144" s="341"/>
      <c r="AK144" s="341"/>
      <c r="AL144" s="341"/>
      <c r="AM144" s="341"/>
      <c r="AN144" s="341"/>
      <c r="AO144" s="341"/>
      <c r="AP144" s="341"/>
      <c r="AQ144" s="341"/>
      <c r="AR144" s="341"/>
      <c r="AS144" s="341"/>
      <c r="AT144" s="341"/>
      <c r="AU144" s="341"/>
      <c r="AV144" s="341"/>
      <c r="AW144" s="341"/>
      <c r="AX144" s="341"/>
      <c r="AY144" s="341"/>
      <c r="AZ144" s="341"/>
      <c r="BA144" s="341"/>
      <c r="BB144" s="341"/>
      <c r="BC144" s="341"/>
      <c r="BD144" s="341"/>
      <c r="BE144" s="341"/>
      <c r="BF144" s="341"/>
      <c r="BG144" s="341"/>
      <c r="BH144" s="341"/>
      <c r="BI144" s="341"/>
      <c r="BJ144" s="341"/>
      <c r="BK144" s="341"/>
      <c r="BL144" s="341"/>
      <c r="BM144" s="341"/>
      <c r="BN144" s="341"/>
      <c r="BO144" s="341"/>
      <c r="BP144" s="341"/>
      <c r="BQ144" s="341"/>
      <c r="BR144" s="341"/>
      <c r="BS144" s="341"/>
      <c r="BT144" s="341"/>
      <c r="BU144" s="341"/>
      <c r="BV144" s="341"/>
      <c r="BW144" s="341"/>
      <c r="BX144" s="341"/>
      <c r="BY144" s="341"/>
      <c r="BZ144" s="341"/>
      <c r="CA144" s="341"/>
      <c r="CB144" s="341"/>
      <c r="CC144" s="341"/>
      <c r="CD144" s="341"/>
      <c r="CE144" s="341"/>
      <c r="CF144" s="341"/>
    </row>
    <row r="145" spans="1:84" ht="12.75" customHeight="1">
      <c r="A145" s="326"/>
      <c r="B145" s="341"/>
      <c r="C145" s="341"/>
      <c r="D145" s="341"/>
      <c r="E145" s="341"/>
      <c r="F145" s="341"/>
      <c r="G145" s="341"/>
      <c r="H145" s="341"/>
      <c r="I145" s="341"/>
      <c r="J145" s="341"/>
      <c r="K145" s="341"/>
      <c r="L145" s="341"/>
      <c r="M145" s="341"/>
      <c r="N145" s="341"/>
      <c r="O145" s="341"/>
      <c r="P145" s="341"/>
      <c r="Q145" s="341"/>
      <c r="R145" s="341"/>
      <c r="S145" s="341"/>
      <c r="T145" s="341"/>
      <c r="U145" s="341"/>
      <c r="V145" s="341"/>
      <c r="W145" s="341"/>
      <c r="X145" s="341"/>
      <c r="Y145" s="341"/>
      <c r="Z145" s="341"/>
      <c r="AA145" s="341"/>
      <c r="AB145" s="341"/>
      <c r="AC145" s="341"/>
      <c r="AD145" s="341"/>
      <c r="AE145" s="341"/>
      <c r="AF145" s="341"/>
      <c r="AG145" s="341"/>
      <c r="AH145" s="341"/>
      <c r="AI145" s="341"/>
      <c r="AJ145" s="341"/>
      <c r="AK145" s="341"/>
      <c r="AL145" s="341"/>
      <c r="AM145" s="341"/>
      <c r="AN145" s="341"/>
      <c r="AO145" s="341"/>
      <c r="AP145" s="341"/>
      <c r="AQ145" s="341"/>
      <c r="AR145" s="341"/>
      <c r="AS145" s="341"/>
      <c r="AT145" s="341"/>
      <c r="AU145" s="341"/>
      <c r="AV145" s="341"/>
      <c r="AW145" s="341"/>
      <c r="AX145" s="341"/>
      <c r="AY145" s="341"/>
      <c r="AZ145" s="341"/>
      <c r="BA145" s="341"/>
      <c r="BB145" s="341"/>
      <c r="BC145" s="341"/>
      <c r="BD145" s="341"/>
      <c r="BE145" s="341"/>
      <c r="BF145" s="341"/>
      <c r="BG145" s="341"/>
      <c r="BH145" s="341"/>
      <c r="BI145" s="341"/>
      <c r="BJ145" s="341"/>
      <c r="BK145" s="341"/>
      <c r="BL145" s="341"/>
      <c r="BM145" s="341"/>
      <c r="BN145" s="341"/>
      <c r="BO145" s="341"/>
      <c r="BP145" s="341"/>
      <c r="BQ145" s="341"/>
      <c r="BR145" s="341"/>
      <c r="BS145" s="341"/>
      <c r="BT145" s="341"/>
      <c r="BU145" s="341"/>
      <c r="BV145" s="341"/>
      <c r="BW145" s="341"/>
      <c r="BX145" s="341"/>
      <c r="BY145" s="341"/>
      <c r="BZ145" s="341"/>
      <c r="CA145" s="341"/>
      <c r="CB145" s="341"/>
      <c r="CC145" s="341"/>
      <c r="CD145" s="341"/>
      <c r="CE145" s="341"/>
      <c r="CF145" s="341"/>
    </row>
    <row r="146" spans="1:84" ht="12.75" customHeight="1">
      <c r="A146" s="326"/>
      <c r="B146" s="341"/>
      <c r="C146" s="341"/>
      <c r="D146" s="341"/>
      <c r="E146" s="341"/>
      <c r="F146" s="341"/>
      <c r="G146" s="341"/>
      <c r="H146" s="341"/>
      <c r="I146" s="341"/>
      <c r="J146" s="341"/>
      <c r="K146" s="341"/>
      <c r="L146" s="341"/>
      <c r="M146" s="341"/>
      <c r="N146" s="341"/>
      <c r="O146" s="341"/>
      <c r="P146" s="341"/>
      <c r="Q146" s="341"/>
      <c r="R146" s="341"/>
      <c r="S146" s="341"/>
      <c r="T146" s="341"/>
      <c r="U146" s="341"/>
      <c r="V146" s="341"/>
      <c r="W146" s="341"/>
      <c r="X146" s="341"/>
      <c r="Y146" s="341"/>
      <c r="Z146" s="341"/>
      <c r="AA146" s="341"/>
      <c r="AB146" s="341"/>
      <c r="AC146" s="341"/>
      <c r="AD146" s="341"/>
      <c r="AE146" s="341"/>
      <c r="AF146" s="341"/>
      <c r="AG146" s="341"/>
      <c r="AH146" s="341"/>
      <c r="AI146" s="341"/>
      <c r="AJ146" s="341"/>
      <c r="AK146" s="341"/>
      <c r="AL146" s="341"/>
      <c r="AM146" s="341"/>
      <c r="AN146" s="341"/>
      <c r="AO146" s="341"/>
      <c r="AP146" s="341"/>
      <c r="AQ146" s="341"/>
      <c r="AR146" s="341"/>
      <c r="AS146" s="341"/>
      <c r="AT146" s="341"/>
      <c r="AU146" s="341"/>
      <c r="AV146" s="341"/>
      <c r="AW146" s="341"/>
      <c r="AX146" s="341"/>
      <c r="AY146" s="341"/>
      <c r="AZ146" s="341"/>
      <c r="BA146" s="341"/>
      <c r="BB146" s="341"/>
      <c r="BC146" s="341"/>
      <c r="BD146" s="341"/>
      <c r="BE146" s="341"/>
      <c r="BF146" s="341"/>
      <c r="BG146" s="341"/>
      <c r="BH146" s="341"/>
      <c r="BI146" s="341"/>
      <c r="BJ146" s="341"/>
      <c r="BK146" s="341"/>
      <c r="BL146" s="341"/>
      <c r="BM146" s="341"/>
      <c r="BN146" s="341"/>
      <c r="BO146" s="341"/>
      <c r="BP146" s="341"/>
      <c r="BQ146" s="341"/>
      <c r="BR146" s="341"/>
      <c r="BS146" s="341"/>
      <c r="BT146" s="341"/>
      <c r="BU146" s="341"/>
      <c r="BV146" s="341"/>
      <c r="BW146" s="341"/>
      <c r="BX146" s="341"/>
      <c r="BY146" s="341"/>
      <c r="BZ146" s="341"/>
      <c r="CA146" s="341"/>
      <c r="CB146" s="341"/>
      <c r="CC146" s="341"/>
      <c r="CD146" s="341"/>
      <c r="CE146" s="341"/>
      <c r="CF146" s="341"/>
    </row>
    <row r="147" spans="1:84" ht="12.75" customHeight="1">
      <c r="A147" s="326"/>
      <c r="B147" s="341"/>
      <c r="C147" s="341"/>
      <c r="D147" s="341"/>
      <c r="E147" s="341"/>
      <c r="F147" s="341"/>
      <c r="G147" s="341"/>
      <c r="H147" s="341"/>
      <c r="I147" s="341"/>
      <c r="J147" s="341"/>
      <c r="K147" s="341"/>
      <c r="L147" s="341"/>
      <c r="M147" s="341"/>
      <c r="N147" s="341"/>
      <c r="O147" s="341"/>
      <c r="P147" s="341"/>
      <c r="Q147" s="341"/>
      <c r="R147" s="341"/>
      <c r="S147" s="341"/>
      <c r="T147" s="341"/>
      <c r="U147" s="341"/>
      <c r="V147" s="341"/>
      <c r="W147" s="341"/>
      <c r="X147" s="341"/>
      <c r="Y147" s="341"/>
      <c r="Z147" s="341"/>
      <c r="AA147" s="341"/>
      <c r="AB147" s="341"/>
      <c r="AC147" s="341"/>
      <c r="AD147" s="341"/>
      <c r="AE147" s="341"/>
      <c r="AF147" s="341"/>
      <c r="AG147" s="341"/>
      <c r="AH147" s="341"/>
      <c r="AI147" s="341"/>
      <c r="AJ147" s="341"/>
      <c r="AK147" s="341"/>
      <c r="AL147" s="341"/>
      <c r="AM147" s="341"/>
      <c r="AN147" s="341"/>
      <c r="AO147" s="341"/>
      <c r="AP147" s="341"/>
      <c r="AQ147" s="341"/>
      <c r="AR147" s="341"/>
      <c r="AS147" s="341"/>
      <c r="AT147" s="341"/>
      <c r="AU147" s="341"/>
      <c r="AV147" s="341"/>
      <c r="AW147" s="341"/>
      <c r="AX147" s="341"/>
      <c r="AY147" s="341"/>
      <c r="AZ147" s="341"/>
      <c r="BA147" s="341"/>
      <c r="BB147" s="341"/>
      <c r="BC147" s="341"/>
      <c r="BD147" s="341"/>
      <c r="BE147" s="341"/>
      <c r="BF147" s="341"/>
      <c r="BG147" s="341"/>
      <c r="BH147" s="341"/>
      <c r="BI147" s="341"/>
      <c r="BJ147" s="341"/>
      <c r="BK147" s="341"/>
      <c r="BL147" s="341"/>
      <c r="BM147" s="341"/>
      <c r="BN147" s="341"/>
      <c r="BO147" s="341"/>
      <c r="BP147" s="341"/>
      <c r="BQ147" s="341"/>
      <c r="BR147" s="341"/>
      <c r="BS147" s="341"/>
      <c r="BT147" s="341"/>
      <c r="BU147" s="341"/>
      <c r="BV147" s="341"/>
      <c r="BW147" s="341"/>
      <c r="BX147" s="341"/>
      <c r="BY147" s="341"/>
      <c r="BZ147" s="341"/>
      <c r="CA147" s="341"/>
      <c r="CB147" s="341"/>
      <c r="CC147" s="341"/>
      <c r="CD147" s="341"/>
      <c r="CE147" s="341"/>
      <c r="CF147" s="341"/>
    </row>
    <row r="148" spans="1:84" ht="12.75" customHeight="1">
      <c r="A148" s="326"/>
      <c r="B148" s="341"/>
      <c r="C148" s="341"/>
      <c r="D148" s="341"/>
      <c r="E148" s="341"/>
      <c r="F148" s="341"/>
      <c r="G148" s="341"/>
      <c r="H148" s="341"/>
      <c r="I148" s="341"/>
      <c r="J148" s="341"/>
      <c r="K148" s="341"/>
      <c r="L148" s="341"/>
      <c r="M148" s="341"/>
      <c r="N148" s="341"/>
      <c r="O148" s="341"/>
      <c r="P148" s="341"/>
      <c r="Q148" s="341"/>
      <c r="R148" s="341"/>
      <c r="S148" s="341"/>
      <c r="T148" s="341"/>
      <c r="U148" s="341"/>
      <c r="V148" s="341"/>
      <c r="W148" s="341"/>
      <c r="X148" s="341"/>
      <c r="Y148" s="341"/>
      <c r="Z148" s="341"/>
      <c r="AA148" s="341"/>
      <c r="AB148" s="341"/>
      <c r="AC148" s="341"/>
      <c r="AD148" s="341"/>
      <c r="AE148" s="341"/>
      <c r="AF148" s="341"/>
      <c r="AG148" s="341"/>
      <c r="AH148" s="341"/>
      <c r="AI148" s="341"/>
      <c r="AJ148" s="341"/>
      <c r="AK148" s="341"/>
      <c r="AL148" s="341"/>
      <c r="AM148" s="341"/>
      <c r="AN148" s="341"/>
      <c r="AO148" s="341"/>
      <c r="AP148" s="341"/>
      <c r="AQ148" s="341"/>
      <c r="AR148" s="341"/>
      <c r="AS148" s="341"/>
      <c r="AT148" s="341"/>
      <c r="AU148" s="341"/>
      <c r="AV148" s="341"/>
      <c r="AW148" s="341"/>
      <c r="AX148" s="341"/>
      <c r="AY148" s="341"/>
      <c r="AZ148" s="341"/>
      <c r="BA148" s="341"/>
      <c r="BB148" s="341"/>
      <c r="BC148" s="341"/>
      <c r="BD148" s="341"/>
      <c r="BE148" s="341"/>
      <c r="BF148" s="341"/>
      <c r="BG148" s="341"/>
      <c r="BH148" s="341"/>
      <c r="BI148" s="341"/>
      <c r="BJ148" s="341"/>
      <c r="BK148" s="341"/>
      <c r="BL148" s="341"/>
      <c r="BM148" s="341"/>
      <c r="BN148" s="341"/>
      <c r="BO148" s="341"/>
      <c r="BP148" s="341"/>
      <c r="BQ148" s="341"/>
      <c r="BR148" s="341"/>
      <c r="BS148" s="341"/>
      <c r="BT148" s="341"/>
      <c r="BU148" s="341"/>
      <c r="BV148" s="341"/>
      <c r="BW148" s="341"/>
      <c r="BX148" s="341"/>
      <c r="BY148" s="341"/>
      <c r="BZ148" s="341"/>
      <c r="CA148" s="341"/>
      <c r="CB148" s="341"/>
      <c r="CC148" s="341"/>
      <c r="CD148" s="341"/>
      <c r="CE148" s="341"/>
      <c r="CF148" s="341"/>
    </row>
  </sheetData>
  <phoneticPr fontId="3" type="noConversion"/>
  <pageMargins left="0.75" right="0.75" top="1" bottom="1" header="0.5" footer="0.5"/>
  <pageSetup scale="2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CF91"/>
  <sheetViews>
    <sheetView showGridLines="0" zoomScaleNormal="100" workbookViewId="0">
      <pane xSplit="1" ySplit="5" topLeftCell="T44" activePane="bottomRight" state="frozen"/>
      <selection activeCell="AM1" sqref="AM1"/>
      <selection pane="topRight" activeCell="AM1" sqref="AM1"/>
      <selection pane="bottomLeft" activeCell="AM1" sqref="AM1"/>
      <selection pane="bottomRight" activeCell="C10" sqref="C10"/>
    </sheetView>
  </sheetViews>
  <sheetFormatPr baseColWidth="10" defaultColWidth="6" defaultRowHeight="12.75" customHeight="1" outlineLevelRow="1" outlineLevelCol="1"/>
  <cols>
    <col min="1" max="1" width="38.1640625" style="582" bestFit="1" customWidth="1"/>
    <col min="2" max="13" width="6" style="308" customWidth="1" outlineLevel="1"/>
    <col min="14" max="15" width="6" style="308" customWidth="1" outlineLevel="1" collapsed="1"/>
    <col min="16" max="34" width="6" style="308" customWidth="1" outlineLevel="1"/>
    <col min="35" max="54" width="6" style="308" customWidth="1"/>
    <col min="55" max="66" width="6" style="308" customWidth="1" outlineLevel="1"/>
    <col min="67" max="67" width="6" style="308" customWidth="1"/>
    <col min="68" max="76" width="6.33203125" style="308" customWidth="1" outlineLevel="1"/>
    <col min="77" max="85" width="6.33203125" style="308" customWidth="1"/>
    <col min="86" max="16384" width="6" style="308"/>
  </cols>
  <sheetData>
    <row r="1" spans="1:84" ht="16">
      <c r="A1" s="309" t="s">
        <v>499</v>
      </c>
    </row>
    <row r="2" spans="1:84" ht="16">
      <c r="A2" s="309" t="s">
        <v>501</v>
      </c>
    </row>
    <row r="3" spans="1:84" ht="16">
      <c r="A3" s="310" t="s">
        <v>312</v>
      </c>
    </row>
    <row r="4" spans="1:84" s="314" customFormat="1" ht="12.75" customHeight="1">
      <c r="A4" s="311"/>
      <c r="B4" s="312">
        <v>40268</v>
      </c>
      <c r="C4" s="312">
        <v>40359</v>
      </c>
      <c r="D4" s="312">
        <v>40451</v>
      </c>
      <c r="E4" s="312">
        <v>40543</v>
      </c>
      <c r="F4" s="312">
        <v>40633</v>
      </c>
      <c r="G4" s="312">
        <v>40724</v>
      </c>
      <c r="H4" s="312">
        <v>40816</v>
      </c>
      <c r="I4" s="312">
        <v>40908</v>
      </c>
      <c r="J4" s="312">
        <v>40999</v>
      </c>
      <c r="K4" s="312">
        <v>41090</v>
      </c>
      <c r="L4" s="312">
        <v>41182</v>
      </c>
      <c r="M4" s="312">
        <v>41274</v>
      </c>
      <c r="N4" s="312">
        <v>41364</v>
      </c>
      <c r="O4" s="312">
        <v>41455</v>
      </c>
      <c r="P4" s="312">
        <v>41547</v>
      </c>
      <c r="Q4" s="312">
        <v>41639</v>
      </c>
      <c r="R4" s="312">
        <v>41729</v>
      </c>
      <c r="S4" s="312">
        <v>41820</v>
      </c>
      <c r="T4" s="312">
        <v>41912</v>
      </c>
      <c r="U4" s="312">
        <v>42004</v>
      </c>
      <c r="V4" s="312">
        <v>42094</v>
      </c>
      <c r="W4" s="312">
        <v>42185</v>
      </c>
      <c r="X4" s="312">
        <v>42277</v>
      </c>
      <c r="Y4" s="312">
        <v>42369</v>
      </c>
      <c r="Z4" s="312">
        <v>42460</v>
      </c>
      <c r="AA4" s="312">
        <v>42551</v>
      </c>
      <c r="AB4" s="312">
        <v>42643</v>
      </c>
      <c r="AC4" s="312">
        <v>42735</v>
      </c>
      <c r="AD4" s="312">
        <v>42825</v>
      </c>
      <c r="AE4" s="312">
        <v>42916</v>
      </c>
      <c r="AF4" s="312">
        <v>43008</v>
      </c>
      <c r="AG4" s="312">
        <v>43100</v>
      </c>
      <c r="AH4" s="312">
        <v>43190</v>
      </c>
      <c r="AI4" s="312">
        <v>43281</v>
      </c>
      <c r="AJ4" s="312">
        <v>43373</v>
      </c>
      <c r="AK4" s="312">
        <v>43465</v>
      </c>
      <c r="AL4" s="312">
        <v>43555</v>
      </c>
      <c r="AM4" s="312">
        <v>43646</v>
      </c>
      <c r="AN4" s="312">
        <v>43738</v>
      </c>
      <c r="AO4" s="312">
        <v>43830</v>
      </c>
      <c r="AP4" s="312">
        <v>43921</v>
      </c>
      <c r="AQ4" s="312">
        <v>44012</v>
      </c>
      <c r="AR4" s="312">
        <v>44104</v>
      </c>
      <c r="AS4" s="312">
        <v>44196</v>
      </c>
      <c r="AT4" s="312">
        <v>44286</v>
      </c>
      <c r="AU4" s="312">
        <v>44368</v>
      </c>
      <c r="AV4" s="313" t="s">
        <v>257</v>
      </c>
      <c r="AW4" s="313" t="s">
        <v>258</v>
      </c>
      <c r="AX4" s="313" t="s">
        <v>259</v>
      </c>
      <c r="AY4" s="313">
        <v>44742</v>
      </c>
      <c r="AZ4" s="313">
        <v>44834</v>
      </c>
      <c r="BA4" s="313">
        <v>44926</v>
      </c>
      <c r="BB4" s="313">
        <v>45016</v>
      </c>
      <c r="BC4" s="313">
        <v>45107</v>
      </c>
      <c r="BD4" s="313">
        <v>45199</v>
      </c>
      <c r="BE4" s="313">
        <v>45291</v>
      </c>
      <c r="BF4" s="313">
        <v>45382</v>
      </c>
      <c r="BG4" s="313">
        <v>45473</v>
      </c>
      <c r="BH4" s="313">
        <v>45565</v>
      </c>
      <c r="BI4" s="313">
        <v>45657</v>
      </c>
      <c r="BJ4" s="313">
        <v>45747</v>
      </c>
      <c r="BK4" s="313">
        <v>45838</v>
      </c>
      <c r="BL4" s="313">
        <v>45930</v>
      </c>
      <c r="BM4" s="313">
        <v>46022</v>
      </c>
      <c r="BN4" s="313">
        <v>46112</v>
      </c>
      <c r="BO4" s="313"/>
      <c r="BP4" s="552">
        <v>2010</v>
      </c>
      <c r="BQ4" s="552">
        <v>2011</v>
      </c>
      <c r="BR4" s="552">
        <v>2012</v>
      </c>
      <c r="BS4" s="552">
        <v>2013</v>
      </c>
      <c r="BT4" s="552">
        <v>2014</v>
      </c>
      <c r="BU4" s="552">
        <v>2015</v>
      </c>
      <c r="BV4" s="552">
        <v>2016</v>
      </c>
      <c r="BW4" s="552">
        <v>2017</v>
      </c>
      <c r="BX4" s="552">
        <v>2018</v>
      </c>
      <c r="BY4" s="552">
        <v>2019</v>
      </c>
      <c r="BZ4" s="552">
        <v>2020</v>
      </c>
      <c r="CA4" s="552">
        <v>2021</v>
      </c>
      <c r="CB4" s="553">
        <v>2022</v>
      </c>
      <c r="CC4" s="553">
        <v>2023</v>
      </c>
      <c r="CD4" s="553">
        <v>2024</v>
      </c>
      <c r="CE4" s="553">
        <v>2025</v>
      </c>
      <c r="CF4" s="553">
        <v>2026</v>
      </c>
    </row>
    <row r="5" spans="1:84" s="315" customFormat="1" ht="16">
      <c r="B5" s="315" t="s">
        <v>334</v>
      </c>
      <c r="C5" s="315" t="s">
        <v>335</v>
      </c>
      <c r="D5" s="315" t="s">
        <v>336</v>
      </c>
      <c r="E5" s="315" t="s">
        <v>337</v>
      </c>
      <c r="F5" s="315" t="s">
        <v>338</v>
      </c>
      <c r="G5" s="315" t="s">
        <v>339</v>
      </c>
      <c r="H5" s="315" t="s">
        <v>340</v>
      </c>
      <c r="I5" s="315" t="s">
        <v>341</v>
      </c>
      <c r="J5" s="315" t="s">
        <v>342</v>
      </c>
      <c r="K5" s="315" t="s">
        <v>343</v>
      </c>
      <c r="L5" s="315" t="s">
        <v>344</v>
      </c>
      <c r="M5" s="315" t="s">
        <v>345</v>
      </c>
      <c r="N5" s="315" t="s">
        <v>346</v>
      </c>
      <c r="O5" s="315" t="s">
        <v>347</v>
      </c>
      <c r="P5" s="315" t="s">
        <v>348</v>
      </c>
      <c r="Q5" s="315" t="s">
        <v>349</v>
      </c>
      <c r="R5" s="315" t="s">
        <v>350</v>
      </c>
      <c r="S5" s="315" t="s">
        <v>351</v>
      </c>
      <c r="T5" s="315" t="s">
        <v>352</v>
      </c>
      <c r="U5" s="315" t="s">
        <v>353</v>
      </c>
      <c r="V5" s="315" t="s">
        <v>354</v>
      </c>
      <c r="W5" s="315" t="s">
        <v>355</v>
      </c>
      <c r="X5" s="315" t="s">
        <v>356</v>
      </c>
      <c r="Y5" s="315" t="s">
        <v>357</v>
      </c>
      <c r="Z5" s="315" t="s">
        <v>358</v>
      </c>
      <c r="AA5" s="315" t="s">
        <v>359</v>
      </c>
      <c r="AB5" s="315" t="s">
        <v>360</v>
      </c>
      <c r="AC5" s="315" t="s">
        <v>361</v>
      </c>
      <c r="AD5" s="315" t="s">
        <v>362</v>
      </c>
      <c r="AE5" s="315" t="s">
        <v>363</v>
      </c>
      <c r="AF5" s="315" t="s">
        <v>364</v>
      </c>
      <c r="AG5" s="315" t="s">
        <v>365</v>
      </c>
      <c r="AH5" s="315" t="s">
        <v>366</v>
      </c>
      <c r="AI5" s="315" t="s">
        <v>315</v>
      </c>
      <c r="AJ5" s="315" t="s">
        <v>314</v>
      </c>
      <c r="AK5" s="315" t="s">
        <v>235</v>
      </c>
      <c r="AL5" s="315" t="s">
        <v>236</v>
      </c>
      <c r="AM5" s="315" t="s">
        <v>237</v>
      </c>
      <c r="AN5" s="315" t="s">
        <v>238</v>
      </c>
      <c r="AO5" s="315" t="s">
        <v>239</v>
      </c>
      <c r="AP5" s="315" t="s">
        <v>240</v>
      </c>
      <c r="AQ5" s="315" t="s">
        <v>241</v>
      </c>
      <c r="AR5" s="315" t="s">
        <v>242</v>
      </c>
      <c r="AS5" s="315" t="s">
        <v>243</v>
      </c>
      <c r="AT5" s="315" t="s">
        <v>234</v>
      </c>
      <c r="AU5" s="315" t="s">
        <v>244</v>
      </c>
      <c r="AV5" s="315" t="s">
        <v>296</v>
      </c>
      <c r="AW5" s="315" t="s">
        <v>316</v>
      </c>
      <c r="AX5" s="315" t="s">
        <v>317</v>
      </c>
      <c r="AY5" s="315" t="s">
        <v>318</v>
      </c>
      <c r="AZ5" s="315" t="s">
        <v>319</v>
      </c>
      <c r="BA5" s="315" t="s">
        <v>320</v>
      </c>
      <c r="BB5" s="315" t="s">
        <v>321</v>
      </c>
      <c r="BC5" s="315" t="s">
        <v>322</v>
      </c>
      <c r="BD5" s="315" t="s">
        <v>323</v>
      </c>
      <c r="BE5" s="315" t="s">
        <v>324</v>
      </c>
      <c r="BF5" s="315" t="s">
        <v>325</v>
      </c>
      <c r="BG5" s="315" t="s">
        <v>326</v>
      </c>
      <c r="BH5" s="315" t="s">
        <v>327</v>
      </c>
      <c r="BI5" s="315" t="s">
        <v>328</v>
      </c>
      <c r="BJ5" s="315" t="s">
        <v>329</v>
      </c>
      <c r="BK5" s="315" t="s">
        <v>330</v>
      </c>
      <c r="BL5" s="315" t="s">
        <v>331</v>
      </c>
      <c r="BM5" s="315" t="s">
        <v>332</v>
      </c>
      <c r="BN5" s="315" t="s">
        <v>333</v>
      </c>
    </row>
    <row r="6" spans="1:84" s="556" customFormat="1" ht="12.75" customHeight="1">
      <c r="A6" s="554" t="s">
        <v>21</v>
      </c>
      <c r="B6" s="555">
        <f>Drivers!B205</f>
        <v>30</v>
      </c>
      <c r="C6" s="555">
        <f>Drivers!C205</f>
        <v>96</v>
      </c>
      <c r="D6" s="555">
        <f>Drivers!D205</f>
        <v>-201</v>
      </c>
      <c r="E6" s="555">
        <f>Drivers!E205</f>
        <v>-322</v>
      </c>
      <c r="F6" s="555">
        <f>Drivers!F205</f>
        <v>151</v>
      </c>
      <c r="G6" s="555">
        <f>Drivers!G205</f>
        <v>221</v>
      </c>
      <c r="H6" s="555">
        <f>Drivers!H205</f>
        <v>-340</v>
      </c>
      <c r="I6" s="555">
        <f>Drivers!I205</f>
        <v>-205</v>
      </c>
      <c r="J6" s="555">
        <f>Drivers!J205</f>
        <v>400</v>
      </c>
      <c r="K6" s="555">
        <f>Drivers!K205</f>
        <v>201</v>
      </c>
      <c r="L6" s="555">
        <f>Drivers!L205</f>
        <v>-381</v>
      </c>
      <c r="M6" s="555">
        <f>Drivers!M205</f>
        <v>-45</v>
      </c>
      <c r="N6" s="555">
        <f>Drivers!N205</f>
        <v>323</v>
      </c>
      <c r="O6" s="555">
        <f>Drivers!O205</f>
        <v>222</v>
      </c>
      <c r="P6" s="555">
        <f>Drivers!P205</f>
        <v>-273</v>
      </c>
      <c r="Q6" s="555">
        <f>Drivers!Q205</f>
        <v>-308</v>
      </c>
      <c r="R6" s="555">
        <f>Drivers!R205</f>
        <v>367</v>
      </c>
      <c r="S6" s="555">
        <f>Drivers!S205</f>
        <v>335</v>
      </c>
      <c r="T6" s="555">
        <f>Drivers!T205</f>
        <v>3</v>
      </c>
      <c r="U6" s="555">
        <f>Drivers!U205</f>
        <v>142</v>
      </c>
      <c r="V6" s="555">
        <f>Drivers!V205</f>
        <v>395</v>
      </c>
      <c r="W6" s="555">
        <f>Drivers!W205</f>
        <v>442</v>
      </c>
      <c r="X6" s="555">
        <f>Drivers!X205</f>
        <v>-140</v>
      </c>
      <c r="Y6" s="555">
        <f>Drivers!Y205</f>
        <v>-45</v>
      </c>
      <c r="Z6" s="555">
        <f>Drivers!Z205</f>
        <v>899</v>
      </c>
      <c r="AA6" s="555">
        <f>Drivers!AA205</f>
        <v>440</v>
      </c>
      <c r="AB6" s="555">
        <f>Drivers!AB205</f>
        <v>-38</v>
      </c>
      <c r="AC6" s="555">
        <f>Drivers!AC205</f>
        <v>-1</v>
      </c>
      <c r="AD6" s="555">
        <f>Drivers!AD205</f>
        <v>566</v>
      </c>
      <c r="AE6" s="555">
        <f>Drivers!AE205</f>
        <v>644</v>
      </c>
      <c r="AF6" s="555">
        <f>Drivers!AF205</f>
        <v>-22</v>
      </c>
      <c r="AG6" s="555">
        <f>Drivers!AG205</f>
        <v>-186</v>
      </c>
      <c r="AH6" s="555">
        <f>Drivers!AH205</f>
        <v>607</v>
      </c>
      <c r="AI6" s="555">
        <f>Drivers!AI205</f>
        <v>293</v>
      </c>
      <c r="AJ6" s="555">
        <f>Drivers!AJ205</f>
        <v>255</v>
      </c>
      <c r="AK6" s="555">
        <f>Drivers!AK205</f>
        <v>262</v>
      </c>
      <c r="AL6" s="555">
        <f>Drivers!AL205</f>
        <v>209</v>
      </c>
      <c r="AM6" s="555">
        <f>Drivers!AM205</f>
        <v>1421</v>
      </c>
      <c r="AN6" s="555">
        <f>Drivers!AN205</f>
        <v>854</v>
      </c>
      <c r="AO6" s="555">
        <f>Drivers!AO205</f>
        <v>346</v>
      </c>
      <c r="AP6" s="555">
        <f>Drivers!AP205</f>
        <v>418</v>
      </c>
      <c r="AQ6" s="555">
        <f>Drivers!AQ205</f>
        <v>365</v>
      </c>
      <c r="AR6" s="555">
        <f>Drivers!AR205</f>
        <v>185</v>
      </c>
      <c r="AS6" s="555">
        <f>Drivers!AS205</f>
        <v>211</v>
      </c>
      <c r="AT6" s="555">
        <f>Drivers!AT205</f>
        <v>76</v>
      </c>
      <c r="AU6" s="555">
        <f>Drivers!AU205</f>
        <v>204</v>
      </c>
      <c r="AV6" s="555">
        <f>Drivers!AV205</f>
        <v>294</v>
      </c>
      <c r="AW6" s="555">
        <f>Drivers!AW205</f>
        <v>1.2046519224338179</v>
      </c>
      <c r="AX6" s="555">
        <f>Drivers!AX205</f>
        <v>110.34035124842964</v>
      </c>
      <c r="AY6" s="555">
        <f>Drivers!AY205</f>
        <v>595.47246659210771</v>
      </c>
      <c r="AZ6" s="555">
        <f>Drivers!AZ205</f>
        <v>428.9677322081759</v>
      </c>
      <c r="BA6" s="555">
        <f>Drivers!BA205</f>
        <v>30.824777985407692</v>
      </c>
      <c r="BB6" s="555">
        <f>Drivers!BB205</f>
        <v>357.32681472386975</v>
      </c>
      <c r="BC6" s="555">
        <f>Drivers!BC205</f>
        <v>673.51725525328209</v>
      </c>
      <c r="BD6" s="555">
        <f>Drivers!BD205</f>
        <v>472.42139367704027</v>
      </c>
      <c r="BE6" s="555">
        <f>Drivers!BE205</f>
        <v>127.48735655936576</v>
      </c>
      <c r="BF6" s="555">
        <f>Drivers!BF205</f>
        <v>403.90583851290558</v>
      </c>
      <c r="BG6" s="555">
        <f>Drivers!BG205</f>
        <v>715.92154167751187</v>
      </c>
      <c r="BH6" s="555">
        <f>Drivers!BH205</f>
        <v>464.15026185332385</v>
      </c>
      <c r="BI6" s="555">
        <f>Drivers!BI205</f>
        <v>209.20381795065782</v>
      </c>
      <c r="BJ6" s="555">
        <f>Drivers!BJ205</f>
        <v>490.22360355004929</v>
      </c>
      <c r="BK6" s="555">
        <f>Drivers!BK205</f>
        <v>799.15774955604331</v>
      </c>
      <c r="BL6" s="555">
        <f>Drivers!BL205</f>
        <v>563.07614907057132</v>
      </c>
      <c r="BM6" s="555">
        <f>Drivers!BM205</f>
        <v>214.79356403490962</v>
      </c>
      <c r="BN6" s="555">
        <f>Drivers!BN205</f>
        <v>506.83611566139143</v>
      </c>
      <c r="BO6" s="555"/>
      <c r="BP6" s="349">
        <v>-677</v>
      </c>
      <c r="BQ6" s="349">
        <f t="shared" ref="BQ6:BQ11" si="0">SUM(C6:F6)</f>
        <v>-276</v>
      </c>
      <c r="BR6" s="349">
        <f t="shared" ref="BR6:BR11" si="1">SUM(G6:J6)</f>
        <v>76</v>
      </c>
      <c r="BS6" s="349">
        <f t="shared" ref="BS6:BS11" si="2">SUM(K6:N6)</f>
        <v>98</v>
      </c>
      <c r="BT6" s="349">
        <f t="shared" ref="BT6:BT11" si="3">SUM(O6:R6)</f>
        <v>8</v>
      </c>
      <c r="BU6" s="349">
        <f t="shared" ref="BU6:BU11" si="4">SUM(S6:V6)</f>
        <v>875</v>
      </c>
      <c r="BV6" s="349">
        <f t="shared" ref="BV6:BV11" si="5">SUM(W6:Z6)</f>
        <v>1156</v>
      </c>
      <c r="BW6" s="349">
        <f t="shared" ref="BW6:BW11" si="6">SUM(AA6:AD6)</f>
        <v>967</v>
      </c>
      <c r="BX6" s="349">
        <f t="shared" ref="BX6:BX11" si="7">SUM(AE6:AH6)</f>
        <v>1043</v>
      </c>
      <c r="BY6" s="349">
        <f>SUM(AI6:AL6)</f>
        <v>1019</v>
      </c>
      <c r="BZ6" s="349">
        <f>SUM(AM6:AP6)</f>
        <v>3039</v>
      </c>
      <c r="CA6" s="349">
        <f>SUM(AQ6:AT6)</f>
        <v>837</v>
      </c>
      <c r="CB6" s="349">
        <f>SUM(AU6:AX6)</f>
        <v>609.54500317086342</v>
      </c>
      <c r="CC6" s="349">
        <f>SUM(AY6:BB6)</f>
        <v>1412.5917915095613</v>
      </c>
      <c r="CD6" s="349">
        <f>SUM(BC6:BF6)</f>
        <v>1677.3318440025937</v>
      </c>
      <c r="CE6" s="349">
        <f>SUM(BG6:BJ6)</f>
        <v>1879.4992250315429</v>
      </c>
      <c r="CF6" s="349">
        <f>SUM(BK6:BN6)</f>
        <v>2083.8635783229156</v>
      </c>
    </row>
    <row r="7" spans="1:84" s="369" customFormat="1" ht="12.75" customHeight="1">
      <c r="A7" s="557" t="s">
        <v>112</v>
      </c>
      <c r="B7" s="555">
        <f>-Drivers!B$178</f>
        <v>2</v>
      </c>
      <c r="C7" s="555">
        <f>-Drivers!C$178</f>
        <v>2</v>
      </c>
      <c r="D7" s="555">
        <f>-Drivers!D$178</f>
        <v>-28</v>
      </c>
      <c r="E7" s="555">
        <f>-Drivers!E$178</f>
        <v>1</v>
      </c>
      <c r="F7" s="555">
        <f>-Drivers!F$178</f>
        <v>8</v>
      </c>
      <c r="G7" s="555">
        <f>-Drivers!G$178</f>
        <v>2</v>
      </c>
      <c r="H7" s="555">
        <f>-Drivers!H$178</f>
        <v>17</v>
      </c>
      <c r="I7" s="555">
        <f>-Drivers!I$178</f>
        <v>-11</v>
      </c>
      <c r="J7" s="555">
        <f>-Drivers!J$178</f>
        <v>3</v>
      </c>
      <c r="K7" s="555">
        <f>-Drivers!K$178</f>
        <v>-20</v>
      </c>
      <c r="L7" s="555">
        <f>-Drivers!L$178</f>
        <v>0</v>
      </c>
      <c r="M7" s="555">
        <f>-Drivers!M$178</f>
        <v>-45</v>
      </c>
      <c r="N7" s="555">
        <f>-Drivers!N$178</f>
        <v>1</v>
      </c>
      <c r="O7" s="555">
        <f>-Drivers!O$178</f>
        <v>7</v>
      </c>
      <c r="P7" s="555">
        <f>-Drivers!P$178</f>
        <v>-44</v>
      </c>
      <c r="Q7" s="555">
        <f>-Drivers!Q$178</f>
        <v>0</v>
      </c>
      <c r="R7" s="555">
        <f>-Drivers!R$178</f>
        <v>2</v>
      </c>
      <c r="S7" s="555">
        <f>-Drivers!S$178</f>
        <v>-1</v>
      </c>
      <c r="T7" s="555">
        <f>-Drivers!T$178</f>
        <v>-1</v>
      </c>
      <c r="U7" s="555">
        <f>-Drivers!U$178</f>
        <v>0</v>
      </c>
      <c r="V7" s="555">
        <f>-Drivers!V$178</f>
        <v>-1</v>
      </c>
      <c r="W7" s="555">
        <f>-Drivers!W$178</f>
        <v>0</v>
      </c>
      <c r="X7" s="555">
        <f>-Drivers!X$178</f>
        <v>0</v>
      </c>
      <c r="Y7" s="555">
        <f>-Drivers!Y$178</f>
        <v>0</v>
      </c>
      <c r="Z7" s="555">
        <f>-Drivers!Z$178</f>
        <v>0</v>
      </c>
      <c r="AA7" s="555">
        <f>-Drivers!AA$178</f>
        <v>0</v>
      </c>
      <c r="AB7" s="555">
        <f>-Drivers!AB$178</f>
        <v>0</v>
      </c>
      <c r="AC7" s="555">
        <f>-Drivers!AC$178</f>
        <v>0</v>
      </c>
      <c r="AD7" s="555">
        <f>-Drivers!AD$178</f>
        <v>0</v>
      </c>
      <c r="AE7" s="555">
        <f>-Drivers!AE$178</f>
        <v>0</v>
      </c>
      <c r="AF7" s="555">
        <f>-Drivers!AF$178</f>
        <v>0</v>
      </c>
      <c r="AG7" s="555">
        <f>-Drivers!AG$178</f>
        <v>0</v>
      </c>
      <c r="AH7" s="555">
        <f>-Drivers!AH$178</f>
        <v>0</v>
      </c>
      <c r="AI7" s="555">
        <f>-Drivers!AI$178</f>
        <v>0</v>
      </c>
      <c r="AJ7" s="558">
        <v>0</v>
      </c>
      <c r="AK7" s="558">
        <v>0</v>
      </c>
      <c r="AL7" s="558">
        <v>14</v>
      </c>
      <c r="AM7" s="558">
        <v>0</v>
      </c>
      <c r="AN7" s="558">
        <v>0</v>
      </c>
      <c r="AO7" s="558">
        <v>0</v>
      </c>
      <c r="AP7" s="558">
        <v>5</v>
      </c>
      <c r="AQ7" s="558">
        <v>0</v>
      </c>
      <c r="AR7" s="558">
        <v>0</v>
      </c>
      <c r="AS7" s="558">
        <v>0</v>
      </c>
      <c r="AT7" s="558">
        <v>0</v>
      </c>
      <c r="AU7" s="558">
        <v>0</v>
      </c>
      <c r="AV7" s="558">
        <v>0</v>
      </c>
      <c r="AW7" s="555">
        <f>-Drivers!AW$178</f>
        <v>0</v>
      </c>
      <c r="AX7" s="555">
        <f>-Drivers!AX$178</f>
        <v>0</v>
      </c>
      <c r="AY7" s="555">
        <f>-Drivers!AY$178</f>
        <v>0</v>
      </c>
      <c r="AZ7" s="555">
        <f>-Drivers!AZ$178</f>
        <v>0</v>
      </c>
      <c r="BA7" s="555">
        <f>-Drivers!BA$178</f>
        <v>0</v>
      </c>
      <c r="BB7" s="555">
        <f>-Drivers!BB$178</f>
        <v>0</v>
      </c>
      <c r="BC7" s="555">
        <f>-Drivers!BC$178</f>
        <v>0</v>
      </c>
      <c r="BD7" s="555">
        <f>-Drivers!BD$178</f>
        <v>0</v>
      </c>
      <c r="BE7" s="555">
        <f>-Drivers!BE$178</f>
        <v>0</v>
      </c>
      <c r="BF7" s="555">
        <f>-Drivers!BF$178</f>
        <v>0</v>
      </c>
      <c r="BG7" s="555">
        <f>-Drivers!BG$178</f>
        <v>0</v>
      </c>
      <c r="BH7" s="555">
        <f>-Drivers!BH$178</f>
        <v>0</v>
      </c>
      <c r="BI7" s="555">
        <f>-Drivers!BI$178</f>
        <v>0</v>
      </c>
      <c r="BJ7" s="555">
        <f>-Drivers!BJ$178</f>
        <v>0</v>
      </c>
      <c r="BK7" s="555">
        <f>-Drivers!BK$178</f>
        <v>0</v>
      </c>
      <c r="BL7" s="555">
        <f>-Drivers!BL$178</f>
        <v>0</v>
      </c>
      <c r="BM7" s="555">
        <f>-Drivers!BM$178</f>
        <v>0</v>
      </c>
      <c r="BN7" s="555">
        <f>-Drivers!BN$178</f>
        <v>0</v>
      </c>
      <c r="BO7" s="555"/>
      <c r="BP7" s="349">
        <v>2</v>
      </c>
      <c r="BQ7" s="349">
        <f t="shared" si="0"/>
        <v>-17</v>
      </c>
      <c r="BR7" s="349">
        <f t="shared" si="1"/>
        <v>11</v>
      </c>
      <c r="BS7" s="349">
        <f t="shared" si="2"/>
        <v>-64</v>
      </c>
      <c r="BT7" s="349">
        <f t="shared" si="3"/>
        <v>-35</v>
      </c>
      <c r="BU7" s="349">
        <f t="shared" si="4"/>
        <v>-3</v>
      </c>
      <c r="BV7" s="349">
        <f t="shared" si="5"/>
        <v>0</v>
      </c>
      <c r="BW7" s="349">
        <f t="shared" si="6"/>
        <v>0</v>
      </c>
      <c r="BX7" s="349">
        <f t="shared" si="7"/>
        <v>0</v>
      </c>
      <c r="BY7" s="349">
        <f t="shared" ref="BY7:BY19" si="8">SUM(AI7:AL7)</f>
        <v>14</v>
      </c>
      <c r="BZ7" s="349">
        <f t="shared" ref="BZ7:BZ19" si="9">SUM(AM7:AP7)</f>
        <v>5</v>
      </c>
      <c r="CA7" s="349">
        <f t="shared" ref="CA7:CA19" si="10">SUM(AQ7:AT7)</f>
        <v>0</v>
      </c>
      <c r="CB7" s="349">
        <f t="shared" ref="CB7:CB19" si="11">SUM(AU7:AX7)</f>
        <v>0</v>
      </c>
      <c r="CC7" s="349">
        <f t="shared" ref="CC7:CC19" si="12">SUM(AY7:BB7)</f>
        <v>0</v>
      </c>
      <c r="CD7" s="349">
        <f t="shared" ref="CD7:CD19" si="13">SUM(BC7:BF7)</f>
        <v>0</v>
      </c>
      <c r="CE7" s="349">
        <f t="shared" ref="CE7:CE19" si="14">SUM(BG7:BJ7)</f>
        <v>0</v>
      </c>
      <c r="CF7" s="349">
        <f t="shared" ref="CF7:CF19" si="15">SUM(BK7:BN7)</f>
        <v>0</v>
      </c>
    </row>
    <row r="8" spans="1:84" s="369" customFormat="1" ht="12.75" customHeight="1">
      <c r="A8" s="557" t="s">
        <v>136</v>
      </c>
      <c r="B8" s="558">
        <v>50</v>
      </c>
      <c r="C8" s="558">
        <v>48</v>
      </c>
      <c r="D8" s="558">
        <v>46</v>
      </c>
      <c r="E8" s="558">
        <v>44</v>
      </c>
      <c r="F8" s="558">
        <v>42</v>
      </c>
      <c r="G8" s="558">
        <v>43</v>
      </c>
      <c r="H8" s="558">
        <v>51</v>
      </c>
      <c r="I8" s="558">
        <v>54</v>
      </c>
      <c r="J8" s="558">
        <v>68</v>
      </c>
      <c r="K8" s="558">
        <v>56</v>
      </c>
      <c r="L8" s="558">
        <v>56</v>
      </c>
      <c r="M8" s="558">
        <v>66</v>
      </c>
      <c r="N8" s="558">
        <v>86</v>
      </c>
      <c r="O8" s="558">
        <v>56</v>
      </c>
      <c r="P8" s="558">
        <v>56</v>
      </c>
      <c r="Q8" s="558">
        <v>58</v>
      </c>
      <c r="R8" s="558">
        <v>57</v>
      </c>
      <c r="S8" s="558">
        <v>56</v>
      </c>
      <c r="T8" s="558">
        <v>56</v>
      </c>
      <c r="U8" s="558">
        <v>53</v>
      </c>
      <c r="V8" s="558">
        <v>55</v>
      </c>
      <c r="W8" s="558">
        <v>49</v>
      </c>
      <c r="X8" s="558">
        <v>50</v>
      </c>
      <c r="Y8" s="558">
        <v>50</v>
      </c>
      <c r="Z8" s="558">
        <v>48</v>
      </c>
      <c r="AA8" s="558">
        <v>46</v>
      </c>
      <c r="AB8" s="558">
        <v>45</v>
      </c>
      <c r="AC8" s="558">
        <v>49</v>
      </c>
      <c r="AD8" s="558">
        <v>32</v>
      </c>
      <c r="AE8" s="558">
        <v>31</v>
      </c>
      <c r="AF8" s="558">
        <v>32</v>
      </c>
      <c r="AG8" s="558">
        <v>34</v>
      </c>
      <c r="AH8" s="558">
        <v>39</v>
      </c>
      <c r="AI8" s="558">
        <v>38</v>
      </c>
      <c r="AJ8" s="558">
        <v>36</v>
      </c>
      <c r="AK8" s="558">
        <v>34</v>
      </c>
      <c r="AL8" s="558">
        <v>37</v>
      </c>
      <c r="AM8" s="558">
        <v>37</v>
      </c>
      <c r="AN8" s="558">
        <v>35</v>
      </c>
      <c r="AO8" s="558">
        <v>39</v>
      </c>
      <c r="AP8" s="558">
        <v>39</v>
      </c>
      <c r="AQ8" s="558">
        <v>37</v>
      </c>
      <c r="AR8" s="558">
        <v>40</v>
      </c>
      <c r="AS8" s="558">
        <v>46</v>
      </c>
      <c r="AT8" s="558">
        <v>58</v>
      </c>
      <c r="AU8" s="558">
        <v>105</v>
      </c>
      <c r="AV8" s="558">
        <v>94</v>
      </c>
      <c r="AW8" s="555">
        <f>BS!AW103</f>
        <v>100.39650553290622</v>
      </c>
      <c r="AX8" s="555">
        <f>BS!AX103</f>
        <v>97.748557543232153</v>
      </c>
      <c r="AY8" s="555">
        <f>BS!AY103</f>
        <v>99.553479729881445</v>
      </c>
      <c r="AZ8" s="555">
        <f>BS!AZ103</f>
        <v>95.995611381149743</v>
      </c>
      <c r="BA8" s="555">
        <f>BS!BA103</f>
        <v>92.959079503641561</v>
      </c>
      <c r="BB8" s="555">
        <f>BS!BB103</f>
        <v>89.745272560303533</v>
      </c>
      <c r="BC8" s="555">
        <f>BS!BC103</f>
        <v>86.622970398931443</v>
      </c>
      <c r="BD8" s="555">
        <f>BS!BD103</f>
        <v>84.433486138842397</v>
      </c>
      <c r="BE8" s="555">
        <f>BS!BE103</f>
        <v>82.66193318286949</v>
      </c>
      <c r="BF8" s="555">
        <f>BS!BF103</f>
        <v>80.631096203945802</v>
      </c>
      <c r="BG8" s="555">
        <f>BS!BG103</f>
        <v>78.550092346325414</v>
      </c>
      <c r="BH8" s="555">
        <f>BS!BH103</f>
        <v>77.274733481534668</v>
      </c>
      <c r="BI8" s="555">
        <f>BS!BI103</f>
        <v>76.965786215755003</v>
      </c>
      <c r="BJ8" s="555">
        <f>BS!BJ103</f>
        <v>75.989051880938376</v>
      </c>
      <c r="BK8" s="555">
        <f>BS!BK103</f>
        <v>74.700224422033628</v>
      </c>
      <c r="BL8" s="555">
        <f>BS!BL103</f>
        <v>74.058858080587299</v>
      </c>
      <c r="BM8" s="555">
        <f>BS!BM103</f>
        <v>73.662433801648177</v>
      </c>
      <c r="BN8" s="555">
        <f>BS!BN103</f>
        <v>72.971681273299865</v>
      </c>
      <c r="BO8" s="555"/>
      <c r="BP8" s="349">
        <v>192</v>
      </c>
      <c r="BQ8" s="349">
        <f t="shared" si="0"/>
        <v>180</v>
      </c>
      <c r="BR8" s="349">
        <f t="shared" si="1"/>
        <v>216</v>
      </c>
      <c r="BS8" s="349">
        <f t="shared" si="2"/>
        <v>264</v>
      </c>
      <c r="BT8" s="349">
        <f t="shared" si="3"/>
        <v>227</v>
      </c>
      <c r="BU8" s="349">
        <f t="shared" si="4"/>
        <v>220</v>
      </c>
      <c r="BV8" s="349">
        <f t="shared" si="5"/>
        <v>197</v>
      </c>
      <c r="BW8" s="349">
        <f t="shared" si="6"/>
        <v>172</v>
      </c>
      <c r="BX8" s="349">
        <f t="shared" si="7"/>
        <v>136</v>
      </c>
      <c r="BY8" s="349">
        <f t="shared" si="8"/>
        <v>145</v>
      </c>
      <c r="BZ8" s="349">
        <f t="shared" si="9"/>
        <v>150</v>
      </c>
      <c r="CA8" s="349">
        <f t="shared" si="10"/>
        <v>181</v>
      </c>
      <c r="CB8" s="349">
        <f t="shared" si="11"/>
        <v>397.14506307613834</v>
      </c>
      <c r="CC8" s="349">
        <f t="shared" si="12"/>
        <v>378.25344317497627</v>
      </c>
      <c r="CD8" s="349">
        <f t="shared" si="13"/>
        <v>334.34948592458915</v>
      </c>
      <c r="CE8" s="349">
        <f t="shared" si="14"/>
        <v>308.77966392455346</v>
      </c>
      <c r="CF8" s="349">
        <f t="shared" si="15"/>
        <v>295.39319757756897</v>
      </c>
    </row>
    <row r="9" spans="1:84" s="369" customFormat="1" ht="12.75" customHeight="1">
      <c r="A9" s="557" t="s">
        <v>137</v>
      </c>
      <c r="B9" s="558">
        <v>2</v>
      </c>
      <c r="C9" s="558">
        <v>5</v>
      </c>
      <c r="D9" s="558">
        <v>-29</v>
      </c>
      <c r="E9" s="558">
        <v>0</v>
      </c>
      <c r="F9" s="558">
        <v>-1</v>
      </c>
      <c r="G9" s="558">
        <v>0</v>
      </c>
      <c r="H9" s="558">
        <v>-12</v>
      </c>
      <c r="I9" s="558">
        <v>0</v>
      </c>
      <c r="J9" s="558">
        <v>0</v>
      </c>
      <c r="K9" s="558">
        <v>0</v>
      </c>
      <c r="L9" s="558">
        <v>0</v>
      </c>
      <c r="M9" s="558">
        <v>-12</v>
      </c>
      <c r="N9" s="558">
        <v>-25</v>
      </c>
      <c r="O9" s="558">
        <v>0</v>
      </c>
      <c r="P9" s="558">
        <v>0</v>
      </c>
      <c r="Q9" s="558">
        <v>1</v>
      </c>
      <c r="R9" s="558">
        <v>1</v>
      </c>
      <c r="S9" s="558">
        <v>0</v>
      </c>
      <c r="T9" s="558">
        <v>0</v>
      </c>
      <c r="U9" s="558">
        <v>0</v>
      </c>
      <c r="V9" s="558">
        <v>0</v>
      </c>
      <c r="W9" s="558">
        <v>0</v>
      </c>
      <c r="X9" s="558">
        <v>6</v>
      </c>
      <c r="Y9" s="558">
        <v>2</v>
      </c>
      <c r="Z9" s="558">
        <v>2</v>
      </c>
      <c r="AA9" s="558">
        <v>0</v>
      </c>
      <c r="AB9" s="558">
        <v>0</v>
      </c>
      <c r="AC9" s="558">
        <v>0</v>
      </c>
      <c r="AD9" s="558">
        <v>0</v>
      </c>
      <c r="AE9" s="558">
        <v>0</v>
      </c>
      <c r="AF9" s="558">
        <v>0</v>
      </c>
      <c r="AG9" s="558">
        <v>0</v>
      </c>
      <c r="AH9" s="558">
        <v>0</v>
      </c>
      <c r="AI9" s="558">
        <v>0</v>
      </c>
      <c r="AJ9" s="558">
        <v>0</v>
      </c>
      <c r="AK9" s="558">
        <v>0</v>
      </c>
      <c r="AL9" s="558">
        <v>0</v>
      </c>
      <c r="AM9" s="558">
        <v>0</v>
      </c>
      <c r="AN9" s="558">
        <v>0</v>
      </c>
      <c r="AO9" s="558">
        <v>0</v>
      </c>
      <c r="AP9" s="558">
        <v>0</v>
      </c>
      <c r="AQ9" s="558">
        <v>0</v>
      </c>
      <c r="AR9" s="558">
        <v>0</v>
      </c>
      <c r="AS9" s="558">
        <v>0</v>
      </c>
      <c r="AT9" s="558">
        <v>0</v>
      </c>
      <c r="AU9" s="558">
        <v>0</v>
      </c>
      <c r="AV9" s="558">
        <v>0</v>
      </c>
      <c r="AW9" s="559">
        <v>0</v>
      </c>
      <c r="AX9" s="559">
        <v>0</v>
      </c>
      <c r="AY9" s="559">
        <v>0</v>
      </c>
      <c r="AZ9" s="559">
        <v>0</v>
      </c>
      <c r="BA9" s="559">
        <v>0</v>
      </c>
      <c r="BB9" s="559">
        <v>0</v>
      </c>
      <c r="BC9" s="559">
        <v>0</v>
      </c>
      <c r="BD9" s="559">
        <v>0</v>
      </c>
      <c r="BE9" s="559">
        <v>0</v>
      </c>
      <c r="BF9" s="559">
        <v>0</v>
      </c>
      <c r="BG9" s="559">
        <v>0</v>
      </c>
      <c r="BH9" s="559">
        <v>0</v>
      </c>
      <c r="BI9" s="559">
        <v>0</v>
      </c>
      <c r="BJ9" s="559">
        <v>0</v>
      </c>
      <c r="BK9" s="559">
        <v>0</v>
      </c>
      <c r="BL9" s="559">
        <v>0</v>
      </c>
      <c r="BM9" s="559">
        <v>0</v>
      </c>
      <c r="BN9" s="559">
        <v>0</v>
      </c>
      <c r="BO9" s="559"/>
      <c r="BP9" s="349">
        <v>22</v>
      </c>
      <c r="BQ9" s="349">
        <f t="shared" si="0"/>
        <v>-25</v>
      </c>
      <c r="BR9" s="349">
        <f t="shared" si="1"/>
        <v>-12</v>
      </c>
      <c r="BS9" s="349">
        <f t="shared" si="2"/>
        <v>-37</v>
      </c>
      <c r="BT9" s="349">
        <f t="shared" si="3"/>
        <v>2</v>
      </c>
      <c r="BU9" s="349">
        <f t="shared" si="4"/>
        <v>0</v>
      </c>
      <c r="BV9" s="349">
        <f t="shared" si="5"/>
        <v>10</v>
      </c>
      <c r="BW9" s="349">
        <f t="shared" si="6"/>
        <v>0</v>
      </c>
      <c r="BX9" s="349">
        <f t="shared" si="7"/>
        <v>0</v>
      </c>
      <c r="BY9" s="349">
        <f t="shared" si="8"/>
        <v>0</v>
      </c>
      <c r="BZ9" s="349">
        <f t="shared" si="9"/>
        <v>0</v>
      </c>
      <c r="CA9" s="349">
        <f t="shared" si="10"/>
        <v>0</v>
      </c>
      <c r="CB9" s="349">
        <f t="shared" si="11"/>
        <v>0</v>
      </c>
      <c r="CC9" s="349">
        <f t="shared" si="12"/>
        <v>0</v>
      </c>
      <c r="CD9" s="349">
        <f t="shared" si="13"/>
        <v>0</v>
      </c>
      <c r="CE9" s="349">
        <f t="shared" si="14"/>
        <v>0</v>
      </c>
      <c r="CF9" s="349">
        <f t="shared" si="15"/>
        <v>0</v>
      </c>
    </row>
    <row r="10" spans="1:84" s="369" customFormat="1" ht="12.75" customHeight="1">
      <c r="A10" s="557" t="s">
        <v>138</v>
      </c>
      <c r="B10" s="558">
        <v>11</v>
      </c>
      <c r="C10" s="558">
        <v>0</v>
      </c>
      <c r="D10" s="558">
        <v>-1</v>
      </c>
      <c r="E10" s="558">
        <v>2</v>
      </c>
      <c r="F10" s="558">
        <v>0</v>
      </c>
      <c r="G10" s="558">
        <v>0</v>
      </c>
      <c r="H10" s="558">
        <v>0</v>
      </c>
      <c r="I10" s="558">
        <v>-3</v>
      </c>
      <c r="J10" s="558">
        <v>-3</v>
      </c>
      <c r="K10" s="558">
        <v>7</v>
      </c>
      <c r="L10" s="558">
        <v>0</v>
      </c>
      <c r="M10" s="558">
        <v>0</v>
      </c>
      <c r="N10" s="558">
        <v>0</v>
      </c>
      <c r="O10" s="558">
        <v>0</v>
      </c>
      <c r="P10" s="558">
        <v>0</v>
      </c>
      <c r="Q10" s="558">
        <v>0</v>
      </c>
      <c r="R10" s="558">
        <v>0</v>
      </c>
      <c r="S10" s="558">
        <v>0</v>
      </c>
      <c r="T10" s="558">
        <v>0</v>
      </c>
      <c r="U10" s="558">
        <v>0</v>
      </c>
      <c r="V10" s="558">
        <v>0</v>
      </c>
      <c r="W10" s="558">
        <v>0</v>
      </c>
      <c r="X10" s="558">
        <v>0</v>
      </c>
      <c r="Y10" s="558">
        <v>0</v>
      </c>
      <c r="Z10" s="558">
        <v>0</v>
      </c>
      <c r="AA10" s="558">
        <v>0</v>
      </c>
      <c r="AB10" s="558">
        <v>0</v>
      </c>
      <c r="AC10" s="558">
        <v>0</v>
      </c>
      <c r="AD10" s="558">
        <v>0</v>
      </c>
      <c r="AE10" s="558">
        <v>0</v>
      </c>
      <c r="AF10" s="558">
        <v>0</v>
      </c>
      <c r="AG10" s="558">
        <v>0</v>
      </c>
      <c r="AH10" s="558">
        <v>0</v>
      </c>
      <c r="AI10" s="558">
        <v>0</v>
      </c>
      <c r="AJ10" s="558">
        <v>0</v>
      </c>
      <c r="AK10" s="558">
        <v>0</v>
      </c>
      <c r="AL10" s="558">
        <v>0</v>
      </c>
      <c r="AM10" s="558">
        <v>0</v>
      </c>
      <c r="AN10" s="558">
        <v>0</v>
      </c>
      <c r="AO10" s="558">
        <v>0</v>
      </c>
      <c r="AP10" s="558">
        <v>0</v>
      </c>
      <c r="AQ10" s="558">
        <v>0</v>
      </c>
      <c r="AR10" s="558">
        <v>0</v>
      </c>
      <c r="AS10" s="558">
        <v>0</v>
      </c>
      <c r="AT10" s="558">
        <v>0</v>
      </c>
      <c r="AU10" s="558">
        <v>0</v>
      </c>
      <c r="AV10" s="558">
        <v>0</v>
      </c>
      <c r="AW10" s="559">
        <v>0</v>
      </c>
      <c r="AX10" s="559">
        <v>0</v>
      </c>
      <c r="AY10" s="559">
        <v>0</v>
      </c>
      <c r="AZ10" s="559">
        <v>0</v>
      </c>
      <c r="BA10" s="559">
        <v>0</v>
      </c>
      <c r="BB10" s="559">
        <v>0</v>
      </c>
      <c r="BC10" s="559">
        <v>0</v>
      </c>
      <c r="BD10" s="559">
        <v>0</v>
      </c>
      <c r="BE10" s="559">
        <v>0</v>
      </c>
      <c r="BF10" s="559">
        <v>0</v>
      </c>
      <c r="BG10" s="559">
        <v>0</v>
      </c>
      <c r="BH10" s="559">
        <v>0</v>
      </c>
      <c r="BI10" s="559">
        <v>0</v>
      </c>
      <c r="BJ10" s="559">
        <v>0</v>
      </c>
      <c r="BK10" s="559">
        <v>0</v>
      </c>
      <c r="BL10" s="559">
        <v>0</v>
      </c>
      <c r="BM10" s="559">
        <v>0</v>
      </c>
      <c r="BN10" s="559">
        <v>0</v>
      </c>
      <c r="BO10" s="559"/>
      <c r="BP10" s="349">
        <v>39</v>
      </c>
      <c r="BQ10" s="349">
        <f t="shared" si="0"/>
        <v>1</v>
      </c>
      <c r="BR10" s="349">
        <f t="shared" si="1"/>
        <v>-6</v>
      </c>
      <c r="BS10" s="349">
        <f t="shared" si="2"/>
        <v>7</v>
      </c>
      <c r="BT10" s="349">
        <f t="shared" si="3"/>
        <v>0</v>
      </c>
      <c r="BU10" s="349">
        <f t="shared" si="4"/>
        <v>0</v>
      </c>
      <c r="BV10" s="349">
        <f t="shared" si="5"/>
        <v>0</v>
      </c>
      <c r="BW10" s="349">
        <f t="shared" si="6"/>
        <v>0</v>
      </c>
      <c r="BX10" s="349">
        <f t="shared" si="7"/>
        <v>0</v>
      </c>
      <c r="BY10" s="349">
        <f t="shared" si="8"/>
        <v>0</v>
      </c>
      <c r="BZ10" s="349">
        <f t="shared" si="9"/>
        <v>0</v>
      </c>
      <c r="CA10" s="349">
        <f t="shared" si="10"/>
        <v>0</v>
      </c>
      <c r="CB10" s="349">
        <f t="shared" si="11"/>
        <v>0</v>
      </c>
      <c r="CC10" s="349">
        <f t="shared" si="12"/>
        <v>0</v>
      </c>
      <c r="CD10" s="349">
        <f t="shared" si="13"/>
        <v>0</v>
      </c>
      <c r="CE10" s="349">
        <f t="shared" si="14"/>
        <v>0</v>
      </c>
      <c r="CF10" s="349">
        <f t="shared" si="15"/>
        <v>0</v>
      </c>
    </row>
    <row r="11" spans="1:84" s="369" customFormat="1" ht="12.75" customHeight="1">
      <c r="A11" s="557" t="s">
        <v>64</v>
      </c>
      <c r="B11" s="555">
        <f>-Drivers!B$258</f>
        <v>42</v>
      </c>
      <c r="C11" s="555">
        <f>-Drivers!C$258</f>
        <v>47</v>
      </c>
      <c r="D11" s="555">
        <f>-Drivers!D$258</f>
        <v>43</v>
      </c>
      <c r="E11" s="560">
        <v>48</v>
      </c>
      <c r="F11" s="555">
        <f>-Drivers!F$258</f>
        <v>38</v>
      </c>
      <c r="G11" s="555">
        <f>-Drivers!G$258</f>
        <v>38</v>
      </c>
      <c r="H11" s="555">
        <f>-Drivers!H$258</f>
        <v>43</v>
      </c>
      <c r="I11" s="555">
        <f>-Drivers!I$258</f>
        <v>48</v>
      </c>
      <c r="J11" s="555">
        <f>-Drivers!J$258</f>
        <v>41</v>
      </c>
      <c r="K11" s="555">
        <f>-Drivers!K$258</f>
        <v>39</v>
      </c>
      <c r="L11" s="555">
        <f>-Drivers!L$258</f>
        <v>44</v>
      </c>
      <c r="M11" s="555">
        <f>-Drivers!M$258</f>
        <v>39</v>
      </c>
      <c r="N11" s="555">
        <f>-Drivers!N$258</f>
        <v>42</v>
      </c>
      <c r="O11" s="555">
        <f>-Drivers!O$258</f>
        <v>33</v>
      </c>
      <c r="P11" s="555">
        <f>-Drivers!P$258</f>
        <v>38</v>
      </c>
      <c r="Q11" s="555">
        <f>-Drivers!Q$258</f>
        <v>40</v>
      </c>
      <c r="R11" s="555">
        <f>-Drivers!R$258</f>
        <v>39</v>
      </c>
      <c r="S11" s="555">
        <f>-Drivers!S$258</f>
        <v>29</v>
      </c>
      <c r="T11" s="555">
        <f>-Drivers!T$258</f>
        <v>40</v>
      </c>
      <c r="U11" s="555">
        <f>-Drivers!U$258</f>
        <v>39</v>
      </c>
      <c r="V11" s="555">
        <f>-Drivers!V$258</f>
        <v>36</v>
      </c>
      <c r="W11" s="555">
        <f>-Drivers!W$258</f>
        <v>45</v>
      </c>
      <c r="X11" s="555">
        <f>-Drivers!X$258</f>
        <v>44</v>
      </c>
      <c r="Y11" s="555">
        <f>-Drivers!Y$258</f>
        <v>42</v>
      </c>
      <c r="Z11" s="555">
        <f>-Drivers!Z$258</f>
        <v>47</v>
      </c>
      <c r="AA11" s="555">
        <f>-Drivers!AA$258</f>
        <v>48</v>
      </c>
      <c r="AB11" s="555">
        <f>-Drivers!AB$258</f>
        <v>48</v>
      </c>
      <c r="AC11" s="555">
        <f>-Drivers!AC$258</f>
        <v>48</v>
      </c>
      <c r="AD11" s="555">
        <f>-Drivers!AD$258</f>
        <v>52</v>
      </c>
      <c r="AE11" s="555">
        <f>-Drivers!AE$258</f>
        <v>48</v>
      </c>
      <c r="AF11" s="555">
        <f>-Drivers!AF$258</f>
        <v>62</v>
      </c>
      <c r="AG11" s="555">
        <f>-Drivers!AG$258</f>
        <v>63</v>
      </c>
      <c r="AH11" s="555">
        <f>-Drivers!AH$258</f>
        <v>69</v>
      </c>
      <c r="AI11" s="555">
        <f>-Drivers!AI$258</f>
        <v>70</v>
      </c>
      <c r="AJ11" s="555">
        <f>-Drivers!AJ$258</f>
        <v>66</v>
      </c>
      <c r="AK11" s="555">
        <f>-Drivers!AK$258</f>
        <v>75</v>
      </c>
      <c r="AL11" s="555">
        <f>-Drivers!AL$258</f>
        <v>73</v>
      </c>
      <c r="AM11" s="555">
        <f>-Drivers!AM$258</f>
        <v>73</v>
      </c>
      <c r="AN11" s="555">
        <f>-Drivers!AN$258</f>
        <v>92</v>
      </c>
      <c r="AO11" s="555">
        <f>-Drivers!AO$258</f>
        <v>91</v>
      </c>
      <c r="AP11" s="555">
        <f>-Drivers!AP$258</f>
        <v>91</v>
      </c>
      <c r="AQ11" s="555">
        <f>-Drivers!AQ$258</f>
        <v>102</v>
      </c>
      <c r="AR11" s="555">
        <f>-Drivers!AR$258</f>
        <v>113</v>
      </c>
      <c r="AS11" s="555">
        <f>-Drivers!AS$258</f>
        <v>111</v>
      </c>
      <c r="AT11" s="555">
        <f>-Drivers!AT$258</f>
        <v>109</v>
      </c>
      <c r="AU11" s="555">
        <f>-Drivers!AU$258</f>
        <v>125</v>
      </c>
      <c r="AV11" s="555">
        <f>-Drivers!AV$258</f>
        <v>149</v>
      </c>
      <c r="AW11" s="555">
        <f>-Drivers!AW$258</f>
        <v>135.24803520833333</v>
      </c>
      <c r="AX11" s="555">
        <f>-Drivers!AX$258</f>
        <v>168.36559330719879</v>
      </c>
      <c r="AY11" s="555">
        <f>-Drivers!AY$258</f>
        <v>133.91215246490384</v>
      </c>
      <c r="AZ11" s="555">
        <f>-Drivers!AZ$258</f>
        <v>165.39547741666811</v>
      </c>
      <c r="BA11" s="555">
        <f>-Drivers!BA$258</f>
        <v>154.93542134760662</v>
      </c>
      <c r="BB11" s="555">
        <f>-Drivers!BB$258</f>
        <v>164.37411252521255</v>
      </c>
      <c r="BC11" s="555">
        <f>-Drivers!BC$258</f>
        <v>131.10297298367914</v>
      </c>
      <c r="BD11" s="555">
        <f>-Drivers!BD$258</f>
        <v>171.33961861282347</v>
      </c>
      <c r="BE11" s="555">
        <f>-Drivers!BE$258</f>
        <v>155.67314313678082</v>
      </c>
      <c r="BF11" s="555">
        <f>-Drivers!BF$258</f>
        <v>168.04179393439404</v>
      </c>
      <c r="BG11" s="555">
        <f>-Drivers!BG$258</f>
        <v>134.49632147900672</v>
      </c>
      <c r="BH11" s="555">
        <f>-Drivers!BH$258</f>
        <v>206.544476542713</v>
      </c>
      <c r="BI11" s="555">
        <f>-Drivers!BI$258</f>
        <v>166.62043236193279</v>
      </c>
      <c r="BJ11" s="555">
        <f>-Drivers!BJ$258</f>
        <v>177.35033353765823</v>
      </c>
      <c r="BK11" s="555">
        <f>-Drivers!BK$258</f>
        <v>140.44796622394566</v>
      </c>
      <c r="BL11" s="555">
        <f>-Drivers!BL$258</f>
        <v>185.44406973195814</v>
      </c>
      <c r="BM11" s="555">
        <f>-Drivers!BM$258</f>
        <v>170.10016160110877</v>
      </c>
      <c r="BN11" s="555">
        <f>-Drivers!BN$258</f>
        <v>183.56194607242423</v>
      </c>
      <c r="BO11" s="555"/>
      <c r="BP11" s="349">
        <v>187</v>
      </c>
      <c r="BQ11" s="349">
        <f t="shared" si="0"/>
        <v>176</v>
      </c>
      <c r="BR11" s="349">
        <f t="shared" si="1"/>
        <v>170</v>
      </c>
      <c r="BS11" s="349">
        <f t="shared" si="2"/>
        <v>164</v>
      </c>
      <c r="BT11" s="349">
        <f t="shared" si="3"/>
        <v>150</v>
      </c>
      <c r="BU11" s="349">
        <f t="shared" si="4"/>
        <v>144</v>
      </c>
      <c r="BV11" s="349">
        <f t="shared" si="5"/>
        <v>178</v>
      </c>
      <c r="BW11" s="349">
        <f t="shared" si="6"/>
        <v>196</v>
      </c>
      <c r="BX11" s="349">
        <f t="shared" si="7"/>
        <v>242</v>
      </c>
      <c r="BY11" s="349">
        <f t="shared" si="8"/>
        <v>284</v>
      </c>
      <c r="BZ11" s="349">
        <f t="shared" si="9"/>
        <v>347</v>
      </c>
      <c r="CA11" s="349">
        <f t="shared" si="10"/>
        <v>435</v>
      </c>
      <c r="CB11" s="349">
        <f t="shared" si="11"/>
        <v>577.61362851553213</v>
      </c>
      <c r="CC11" s="349">
        <f t="shared" si="12"/>
        <v>618.61716375439119</v>
      </c>
      <c r="CD11" s="349">
        <f t="shared" si="13"/>
        <v>626.15752866767752</v>
      </c>
      <c r="CE11" s="349">
        <f t="shared" si="14"/>
        <v>685.01156392131077</v>
      </c>
      <c r="CF11" s="349">
        <f t="shared" si="15"/>
        <v>679.55414362943679</v>
      </c>
    </row>
    <row r="12" spans="1:84" s="369" customFormat="1" ht="12.75" customHeight="1">
      <c r="A12" s="557" t="s">
        <v>104</v>
      </c>
      <c r="B12" s="555">
        <f t="shared" ref="B12:Z12" si="16">SUM(B13:B19)</f>
        <v>116</v>
      </c>
      <c r="C12" s="555">
        <f t="shared" si="16"/>
        <v>-346</v>
      </c>
      <c r="D12" s="555">
        <f t="shared" si="16"/>
        <v>36</v>
      </c>
      <c r="E12" s="555">
        <f t="shared" si="16"/>
        <v>576</v>
      </c>
      <c r="F12" s="555">
        <f t="shared" si="16"/>
        <v>15</v>
      </c>
      <c r="G12" s="555">
        <f t="shared" si="16"/>
        <v>-578</v>
      </c>
      <c r="H12" s="555">
        <f t="shared" si="16"/>
        <v>30</v>
      </c>
      <c r="I12" s="555">
        <f t="shared" si="16"/>
        <v>592</v>
      </c>
      <c r="J12" s="555">
        <f t="shared" si="16"/>
        <v>-222</v>
      </c>
      <c r="K12" s="555">
        <f t="shared" si="16"/>
        <v>-527</v>
      </c>
      <c r="L12" s="555">
        <f t="shared" si="16"/>
        <v>253</v>
      </c>
      <c r="M12" s="555">
        <f t="shared" si="16"/>
        <v>360</v>
      </c>
      <c r="N12" s="555">
        <f t="shared" ref="N12:S12" si="17">SUM(N13:N19)</f>
        <v>-194</v>
      </c>
      <c r="O12" s="555">
        <f t="shared" si="17"/>
        <v>-566</v>
      </c>
      <c r="P12" s="555">
        <f t="shared" si="17"/>
        <v>217</v>
      </c>
      <c r="Q12" s="555">
        <f t="shared" si="17"/>
        <v>894</v>
      </c>
      <c r="R12" s="555">
        <f t="shared" si="17"/>
        <v>-185</v>
      </c>
      <c r="S12" s="555">
        <f t="shared" si="17"/>
        <v>-415</v>
      </c>
      <c r="T12" s="555">
        <f>SUM(T13:T19)</f>
        <v>85</v>
      </c>
      <c r="U12" s="555">
        <f t="shared" si="16"/>
        <v>448</v>
      </c>
      <c r="V12" s="555">
        <f>SUM(V13:V19)</f>
        <v>-287</v>
      </c>
      <c r="W12" s="555">
        <f>SUM(W13:W19)</f>
        <v>-607</v>
      </c>
      <c r="X12" s="555">
        <f t="shared" si="16"/>
        <v>49</v>
      </c>
      <c r="Y12" s="555">
        <f t="shared" si="16"/>
        <v>840</v>
      </c>
      <c r="Z12" s="555">
        <f t="shared" si="16"/>
        <v>-600</v>
      </c>
      <c r="AA12" s="555">
        <f t="shared" ref="AA12:AF12" si="18">SUM(AA13:AA19)</f>
        <v>-652</v>
      </c>
      <c r="AB12" s="555">
        <f t="shared" si="18"/>
        <v>67</v>
      </c>
      <c r="AC12" s="555">
        <f t="shared" si="18"/>
        <v>1019</v>
      </c>
      <c r="AD12" s="555">
        <f t="shared" si="18"/>
        <v>-213</v>
      </c>
      <c r="AE12" s="555">
        <f t="shared" si="18"/>
        <v>-547</v>
      </c>
      <c r="AF12" s="555">
        <f t="shared" si="18"/>
        <v>-20</v>
      </c>
      <c r="AG12" s="555">
        <f t="shared" ref="AG12:AL12" si="19">SUM(AG13:AG19)</f>
        <v>938</v>
      </c>
      <c r="AH12" s="555">
        <f t="shared" si="19"/>
        <v>-100</v>
      </c>
      <c r="AI12" s="555">
        <f t="shared" si="19"/>
        <v>-281</v>
      </c>
      <c r="AJ12" s="555">
        <f t="shared" si="19"/>
        <v>-483</v>
      </c>
      <c r="AK12" s="555">
        <f t="shared" si="19"/>
        <v>583</v>
      </c>
      <c r="AL12" s="555">
        <f t="shared" si="19"/>
        <v>266</v>
      </c>
      <c r="AM12" s="555">
        <f t="shared" ref="AM12:AR12" si="20">SUM(AM13:AM19)</f>
        <v>-1373</v>
      </c>
      <c r="AN12" s="555">
        <f t="shared" si="20"/>
        <v>-944</v>
      </c>
      <c r="AO12" s="555">
        <f t="shared" si="20"/>
        <v>628</v>
      </c>
      <c r="AP12" s="555">
        <f t="shared" si="20"/>
        <v>-55</v>
      </c>
      <c r="AQ12" s="555">
        <f t="shared" si="20"/>
        <v>-126</v>
      </c>
      <c r="AR12" s="555">
        <f t="shared" si="20"/>
        <v>-277</v>
      </c>
      <c r="AS12" s="555">
        <f t="shared" ref="AS12:AX12" si="21">SUM(AS13:AS19)</f>
        <v>756</v>
      </c>
      <c r="AT12" s="555">
        <f>SUM(AT13:AT19)</f>
        <v>128</v>
      </c>
      <c r="AU12" s="555">
        <f>SUM(AU13:AU19)</f>
        <v>-577</v>
      </c>
      <c r="AV12" s="555">
        <f t="shared" si="21"/>
        <v>-473</v>
      </c>
      <c r="AW12" s="555">
        <f t="shared" si="21"/>
        <v>1351.0912265984637</v>
      </c>
      <c r="AX12" s="555">
        <f t="shared" si="21"/>
        <v>85.428523623708244</v>
      </c>
      <c r="AY12" s="555">
        <f t="shared" ref="AY12:BF12" si="22">SUM(AY13:AY19)</f>
        <v>-592.3816815214783</v>
      </c>
      <c r="AZ12" s="555">
        <f t="shared" si="22"/>
        <v>-642.63977439676637</v>
      </c>
      <c r="BA12" s="555">
        <f t="shared" si="22"/>
        <v>1436.5544570261204</v>
      </c>
      <c r="BB12" s="555">
        <f t="shared" si="22"/>
        <v>-13.584329995262181</v>
      </c>
      <c r="BC12" s="555">
        <f t="shared" si="22"/>
        <v>-739.21165088767611</v>
      </c>
      <c r="BD12" s="555">
        <f t="shared" si="22"/>
        <v>-639.10450837359554</v>
      </c>
      <c r="BE12" s="555">
        <f t="shared" si="22"/>
        <v>1452.5845620450666</v>
      </c>
      <c r="BF12" s="555">
        <f t="shared" si="22"/>
        <v>-46.408821873187037</v>
      </c>
      <c r="BG12" s="555">
        <f t="shared" ref="BG12:BN12" si="23">SUM(BG13:BG19)</f>
        <v>-699.18367395768701</v>
      </c>
      <c r="BH12" s="555">
        <f t="shared" si="23"/>
        <v>-568.55326185682327</v>
      </c>
      <c r="BI12" s="555">
        <f t="shared" si="23"/>
        <v>1515.6534602854463</v>
      </c>
      <c r="BJ12" s="555">
        <f t="shared" si="23"/>
        <v>-82.652072108076737</v>
      </c>
      <c r="BK12" s="555">
        <f t="shared" si="23"/>
        <v>-754.45764585475308</v>
      </c>
      <c r="BL12" s="555">
        <f t="shared" si="23"/>
        <v>-700.35165450499483</v>
      </c>
      <c r="BM12" s="555">
        <f t="shared" si="23"/>
        <v>1552.1573673062464</v>
      </c>
      <c r="BN12" s="555">
        <f t="shared" si="23"/>
        <v>-49.966259228563956</v>
      </c>
      <c r="BO12" s="555"/>
      <c r="BP12" s="349">
        <f t="shared" ref="BP12:BW12" si="24">SUM(BP13:BP19)</f>
        <v>387</v>
      </c>
      <c r="BQ12" s="349">
        <f t="shared" si="24"/>
        <v>281</v>
      </c>
      <c r="BR12" s="349">
        <f t="shared" si="24"/>
        <v>-178</v>
      </c>
      <c r="BS12" s="349">
        <f t="shared" si="24"/>
        <v>-108</v>
      </c>
      <c r="BT12" s="349">
        <f t="shared" si="24"/>
        <v>360</v>
      </c>
      <c r="BU12" s="349">
        <f t="shared" si="24"/>
        <v>-169</v>
      </c>
      <c r="BV12" s="349">
        <f t="shared" si="24"/>
        <v>-318</v>
      </c>
      <c r="BW12" s="349">
        <f t="shared" si="24"/>
        <v>221</v>
      </c>
      <c r="BX12" s="349">
        <f>SUM(BX13:BX19)</f>
        <v>271</v>
      </c>
      <c r="BY12" s="349">
        <f t="shared" si="8"/>
        <v>85</v>
      </c>
      <c r="BZ12" s="349">
        <f t="shared" si="9"/>
        <v>-1744</v>
      </c>
      <c r="CA12" s="349">
        <f t="shared" si="10"/>
        <v>481</v>
      </c>
      <c r="CB12" s="349">
        <f t="shared" si="11"/>
        <v>386.51975022217192</v>
      </c>
      <c r="CC12" s="349">
        <f t="shared" si="12"/>
        <v>187.94867111261368</v>
      </c>
      <c r="CD12" s="349">
        <f t="shared" si="13"/>
        <v>27.859580910607917</v>
      </c>
      <c r="CE12" s="349">
        <f t="shared" si="14"/>
        <v>165.26445236285937</v>
      </c>
      <c r="CF12" s="349">
        <f t="shared" si="15"/>
        <v>47.381807717934691</v>
      </c>
    </row>
    <row r="13" spans="1:84" s="369" customFormat="1" ht="12.75" customHeight="1" outlineLevel="1">
      <c r="A13" s="561" t="s">
        <v>23</v>
      </c>
      <c r="B13" s="558">
        <v>290</v>
      </c>
      <c r="C13" s="558">
        <v>97</v>
      </c>
      <c r="D13" s="558">
        <v>-334</v>
      </c>
      <c r="E13" s="558">
        <v>57</v>
      </c>
      <c r="F13" s="558">
        <v>58</v>
      </c>
      <c r="G13" s="558">
        <v>307</v>
      </c>
      <c r="H13" s="558">
        <v>-522</v>
      </c>
      <c r="I13" s="558">
        <v>39</v>
      </c>
      <c r="J13" s="558">
        <v>162</v>
      </c>
      <c r="K13" s="558">
        <v>254</v>
      </c>
      <c r="L13" s="558">
        <v>-528</v>
      </c>
      <c r="M13" s="558">
        <v>256</v>
      </c>
      <c r="N13" s="558">
        <v>74</v>
      </c>
      <c r="O13" s="558">
        <v>192</v>
      </c>
      <c r="P13" s="558">
        <v>-470</v>
      </c>
      <c r="Q13" s="558">
        <v>68</v>
      </c>
      <c r="R13" s="558">
        <v>198</v>
      </c>
      <c r="S13" s="558">
        <v>110</v>
      </c>
      <c r="T13" s="558">
        <v>-618</v>
      </c>
      <c r="U13" s="558">
        <v>332</v>
      </c>
      <c r="V13" s="558">
        <v>122</v>
      </c>
      <c r="W13" s="558">
        <v>219</v>
      </c>
      <c r="X13" s="558">
        <v>-598</v>
      </c>
      <c r="Y13" s="558">
        <v>111</v>
      </c>
      <c r="Z13" s="558">
        <v>395</v>
      </c>
      <c r="AA13" s="558">
        <v>-12</v>
      </c>
      <c r="AB13" s="558">
        <v>-481</v>
      </c>
      <c r="AC13" s="558">
        <v>126</v>
      </c>
      <c r="AD13" s="558">
        <v>231</v>
      </c>
      <c r="AE13" s="558">
        <v>135</v>
      </c>
      <c r="AF13" s="558">
        <v>-589</v>
      </c>
      <c r="AG13" s="558">
        <v>-73</v>
      </c>
      <c r="AH13" s="558">
        <v>502</v>
      </c>
      <c r="AI13" s="558">
        <v>169</v>
      </c>
      <c r="AJ13" s="558">
        <v>-591</v>
      </c>
      <c r="AK13" s="558">
        <v>151</v>
      </c>
      <c r="AL13" s="558">
        <v>183</v>
      </c>
      <c r="AM13" s="558">
        <v>294</v>
      </c>
      <c r="AN13" s="558">
        <v>-529</v>
      </c>
      <c r="AO13" s="558">
        <v>59</v>
      </c>
      <c r="AP13" s="558">
        <v>340</v>
      </c>
      <c r="AQ13" s="558">
        <v>-44</v>
      </c>
      <c r="AR13" s="558">
        <v>83</v>
      </c>
      <c r="AS13" s="558">
        <v>-348</v>
      </c>
      <c r="AT13" s="558">
        <v>268</v>
      </c>
      <c r="AU13" s="558">
        <v>12</v>
      </c>
      <c r="AV13" s="558">
        <v>-458</v>
      </c>
      <c r="AW13" s="555">
        <f>BS!AV73-BS!AW73</f>
        <v>-130.63758333333317</v>
      </c>
      <c r="AX13" s="555">
        <f>BS!AW73-BS!AX73</f>
        <v>-42.149691666666968</v>
      </c>
      <c r="AY13" s="555">
        <f>BS!AX73-BS!AY73</f>
        <v>459.40353600256685</v>
      </c>
      <c r="AZ13" s="555">
        <f>BS!AY73-BS!AZ73</f>
        <v>-461.26789457062137</v>
      </c>
      <c r="BA13" s="555">
        <f>BS!AZ73-BS!BA73</f>
        <v>-109.29822280887856</v>
      </c>
      <c r="BB13" s="555">
        <f>BS!BA73-BS!BB73</f>
        <v>93.28372151532858</v>
      </c>
      <c r="BC13" s="555">
        <f>BS!BB73-BS!BC73</f>
        <v>460.37071934625715</v>
      </c>
      <c r="BD13" s="555">
        <f>BS!BC73-BS!BD73</f>
        <v>-482.05025271432305</v>
      </c>
      <c r="BE13" s="555">
        <f>BS!BD73-BS!BE73</f>
        <v>-131.31042092851249</v>
      </c>
      <c r="BF13" s="555">
        <f>BS!BE73-BS!BF73</f>
        <v>30.340230529180644</v>
      </c>
      <c r="BG13" s="555">
        <f>BS!BF73-BS!BG73</f>
        <v>552.53993364547773</v>
      </c>
      <c r="BH13" s="555">
        <f>BS!BG73-BS!BH73</f>
        <v>-629.87650677154716</v>
      </c>
      <c r="BI13" s="555">
        <f>BS!BH73-BS!BI73</f>
        <v>-107.86892753652546</v>
      </c>
      <c r="BJ13" s="555">
        <f>BS!BI73-BS!BJ73</f>
        <v>61.388621636610651</v>
      </c>
      <c r="BK13" s="555">
        <f>BS!BJ73-BS!BK73</f>
        <v>619.51248966459775</v>
      </c>
      <c r="BL13" s="555">
        <f>BS!BK73-BS!BL73</f>
        <v>-532.08744561559865</v>
      </c>
      <c r="BM13" s="555">
        <f>BS!BL73-BS!BM73</f>
        <v>-183.82397150271754</v>
      </c>
      <c r="BN13" s="555">
        <f>BS!BM73-BS!BN73</f>
        <v>47.208589030430403</v>
      </c>
      <c r="BO13" s="555"/>
      <c r="BP13" s="349">
        <v>-66</v>
      </c>
      <c r="BQ13" s="349">
        <f t="shared" ref="BQ13:BQ19" si="25">SUM(C13:F13)</f>
        <v>-122</v>
      </c>
      <c r="BR13" s="349">
        <f t="shared" ref="BR13:BR19" si="26">SUM(G13:J13)</f>
        <v>-14</v>
      </c>
      <c r="BS13" s="349">
        <f t="shared" ref="BS13:BS19" si="27">SUM(K13:N13)</f>
        <v>56</v>
      </c>
      <c r="BT13" s="349">
        <f t="shared" ref="BT13:BT19" si="28">SUM(O13:R13)</f>
        <v>-12</v>
      </c>
      <c r="BU13" s="349">
        <f t="shared" ref="BU13:BU19" si="29">SUM(S13:V13)</f>
        <v>-54</v>
      </c>
      <c r="BV13" s="349">
        <f t="shared" ref="BV13:BV19" si="30">SUM(W13:Z13)</f>
        <v>127</v>
      </c>
      <c r="BW13" s="349">
        <f t="shared" ref="BW13:BW19" si="31">SUM(AA13:AD13)</f>
        <v>-136</v>
      </c>
      <c r="BX13" s="349">
        <f t="shared" ref="BX13:BX19" si="32">SUM(AE13:AH13)</f>
        <v>-25</v>
      </c>
      <c r="BY13" s="349">
        <f t="shared" si="8"/>
        <v>-88</v>
      </c>
      <c r="BZ13" s="349">
        <f t="shared" si="9"/>
        <v>164</v>
      </c>
      <c r="CA13" s="349">
        <f t="shared" si="10"/>
        <v>-41</v>
      </c>
      <c r="CB13" s="349">
        <f t="shared" si="11"/>
        <v>-618.78727500000014</v>
      </c>
      <c r="CC13" s="349">
        <f t="shared" si="12"/>
        <v>-17.878859861604496</v>
      </c>
      <c r="CD13" s="349">
        <f t="shared" si="13"/>
        <v>-122.64972376739775</v>
      </c>
      <c r="CE13" s="349">
        <f t="shared" si="14"/>
        <v>-123.81687902598424</v>
      </c>
      <c r="CF13" s="349">
        <f t="shared" si="15"/>
        <v>-49.19033842328804</v>
      </c>
    </row>
    <row r="14" spans="1:84" s="369" customFormat="1" ht="12.75" customHeight="1" outlineLevel="1">
      <c r="A14" s="561" t="s">
        <v>92</v>
      </c>
      <c r="B14" s="558">
        <v>46</v>
      </c>
      <c r="C14" s="558">
        <v>16</v>
      </c>
      <c r="D14" s="558">
        <v>-71</v>
      </c>
      <c r="E14" s="558">
        <v>51</v>
      </c>
      <c r="F14" s="558">
        <v>29</v>
      </c>
      <c r="G14" s="558">
        <v>4</v>
      </c>
      <c r="H14" s="558">
        <v>-15</v>
      </c>
      <c r="I14" s="558">
        <v>22</v>
      </c>
      <c r="J14" s="558">
        <v>10</v>
      </c>
      <c r="K14" s="558">
        <v>-2</v>
      </c>
      <c r="L14" s="558">
        <v>-11</v>
      </c>
      <c r="M14" s="558">
        <v>13</v>
      </c>
      <c r="N14" s="558">
        <v>16</v>
      </c>
      <c r="O14" s="558">
        <v>1</v>
      </c>
      <c r="P14" s="558">
        <v>-16</v>
      </c>
      <c r="Q14" s="558">
        <v>3</v>
      </c>
      <c r="R14" s="558">
        <v>-1</v>
      </c>
      <c r="S14" s="558">
        <v>19</v>
      </c>
      <c r="T14" s="558">
        <v>-30</v>
      </c>
      <c r="U14" s="558">
        <v>27</v>
      </c>
      <c r="V14" s="558">
        <v>3</v>
      </c>
      <c r="W14" s="558">
        <v>3</v>
      </c>
      <c r="X14" s="558">
        <v>-29</v>
      </c>
      <c r="Y14" s="558">
        <v>20</v>
      </c>
      <c r="Z14" s="558">
        <v>9</v>
      </c>
      <c r="AA14" s="558">
        <v>7</v>
      </c>
      <c r="AB14" s="558">
        <v>0</v>
      </c>
      <c r="AC14" s="558">
        <v>15</v>
      </c>
      <c r="AD14" s="558">
        <v>0</v>
      </c>
      <c r="AE14" s="558">
        <v>0</v>
      </c>
      <c r="AF14" s="558">
        <v>0</v>
      </c>
      <c r="AG14" s="558">
        <v>0</v>
      </c>
      <c r="AH14" s="558">
        <v>0</v>
      </c>
      <c r="AI14" s="558">
        <v>0</v>
      </c>
      <c r="AJ14" s="558">
        <v>0</v>
      </c>
      <c r="AK14" s="558">
        <v>0</v>
      </c>
      <c r="AL14" s="558">
        <v>0</v>
      </c>
      <c r="AM14" s="558">
        <v>0</v>
      </c>
      <c r="AN14" s="558">
        <v>0</v>
      </c>
      <c r="AO14" s="558">
        <v>0</v>
      </c>
      <c r="AP14" s="558">
        <v>0</v>
      </c>
      <c r="AQ14" s="558">
        <v>0</v>
      </c>
      <c r="AR14" s="558">
        <v>0</v>
      </c>
      <c r="AS14" s="558">
        <v>0</v>
      </c>
      <c r="AT14" s="558">
        <v>0</v>
      </c>
      <c r="AU14" s="558">
        <v>0</v>
      </c>
      <c r="AV14" s="558">
        <v>0</v>
      </c>
      <c r="AW14" s="555">
        <f>BS!AV74-BS!AW74</f>
        <v>0</v>
      </c>
      <c r="AX14" s="555">
        <f>BS!AW74-BS!AX74</f>
        <v>0</v>
      </c>
      <c r="AY14" s="555">
        <f>BS!AX74-BS!AY74</f>
        <v>0</v>
      </c>
      <c r="AZ14" s="555">
        <f>BS!AY74-BS!AZ74</f>
        <v>0</v>
      </c>
      <c r="BA14" s="555">
        <f>BS!AZ74-BS!BA74</f>
        <v>0</v>
      </c>
      <c r="BB14" s="555">
        <f>BS!BA74-BS!BB74</f>
        <v>0</v>
      </c>
      <c r="BC14" s="555">
        <f>BS!BB74-BS!BC74</f>
        <v>0</v>
      </c>
      <c r="BD14" s="555">
        <f>BS!BC74-BS!BD74</f>
        <v>0</v>
      </c>
      <c r="BE14" s="555">
        <f>BS!BD74-BS!BE74</f>
        <v>0</v>
      </c>
      <c r="BF14" s="555">
        <f>BS!BE74-BS!BF74</f>
        <v>0</v>
      </c>
      <c r="BG14" s="555">
        <f>BS!BF74-BS!BG74</f>
        <v>0</v>
      </c>
      <c r="BH14" s="555">
        <f>BS!BG74-BS!BH74</f>
        <v>0</v>
      </c>
      <c r="BI14" s="555">
        <f>BS!BH74-BS!BI74</f>
        <v>0</v>
      </c>
      <c r="BJ14" s="555">
        <f>BS!BI74-BS!BJ74</f>
        <v>0</v>
      </c>
      <c r="BK14" s="555">
        <f>BS!BJ74-BS!BK74</f>
        <v>0</v>
      </c>
      <c r="BL14" s="555">
        <f>BS!BK74-BS!BL74</f>
        <v>0</v>
      </c>
      <c r="BM14" s="555">
        <f>BS!BL74-BS!BM74</f>
        <v>0</v>
      </c>
      <c r="BN14" s="555">
        <f>BS!BM74-BS!BN74</f>
        <v>0</v>
      </c>
      <c r="BO14" s="555"/>
      <c r="BP14" s="349">
        <v>123</v>
      </c>
      <c r="BQ14" s="349">
        <f t="shared" si="25"/>
        <v>25</v>
      </c>
      <c r="BR14" s="349">
        <f t="shared" si="26"/>
        <v>21</v>
      </c>
      <c r="BS14" s="349">
        <f t="shared" si="27"/>
        <v>16</v>
      </c>
      <c r="BT14" s="349">
        <f t="shared" si="28"/>
        <v>-13</v>
      </c>
      <c r="BU14" s="349">
        <f t="shared" si="29"/>
        <v>19</v>
      </c>
      <c r="BV14" s="349">
        <f t="shared" si="30"/>
        <v>3</v>
      </c>
      <c r="BW14" s="349">
        <f t="shared" si="31"/>
        <v>22</v>
      </c>
      <c r="BX14" s="349">
        <f t="shared" si="32"/>
        <v>0</v>
      </c>
      <c r="BY14" s="349">
        <f t="shared" si="8"/>
        <v>0</v>
      </c>
      <c r="BZ14" s="349">
        <f t="shared" si="9"/>
        <v>0</v>
      </c>
      <c r="CA14" s="349">
        <f t="shared" si="10"/>
        <v>0</v>
      </c>
      <c r="CB14" s="349">
        <f t="shared" si="11"/>
        <v>0</v>
      </c>
      <c r="CC14" s="349">
        <f t="shared" si="12"/>
        <v>0</v>
      </c>
      <c r="CD14" s="349">
        <f t="shared" si="13"/>
        <v>0</v>
      </c>
      <c r="CE14" s="349">
        <f t="shared" si="14"/>
        <v>0</v>
      </c>
      <c r="CF14" s="349">
        <f t="shared" si="15"/>
        <v>0</v>
      </c>
    </row>
    <row r="15" spans="1:84" s="369" customFormat="1" ht="12.75" customHeight="1" outlineLevel="1">
      <c r="A15" s="561" t="s">
        <v>73</v>
      </c>
      <c r="B15" s="558">
        <v>71</v>
      </c>
      <c r="C15" s="558">
        <v>-37</v>
      </c>
      <c r="D15" s="558">
        <v>51</v>
      </c>
      <c r="E15" s="558">
        <v>-23</v>
      </c>
      <c r="F15" s="558">
        <v>14</v>
      </c>
      <c r="G15" s="558">
        <v>-101</v>
      </c>
      <c r="H15" s="558">
        <v>38</v>
      </c>
      <c r="I15" s="558">
        <v>-18</v>
      </c>
      <c r="J15" s="558">
        <v>-20</v>
      </c>
      <c r="K15" s="558">
        <v>-29</v>
      </c>
      <c r="L15" s="558">
        <v>29</v>
      </c>
      <c r="M15" s="558">
        <v>14</v>
      </c>
      <c r="N15" s="558">
        <v>1</v>
      </c>
      <c r="O15" s="558">
        <v>-30</v>
      </c>
      <c r="P15" s="558">
        <v>38</v>
      </c>
      <c r="Q15" s="558">
        <v>9</v>
      </c>
      <c r="R15" s="558">
        <v>-73</v>
      </c>
      <c r="S15" s="558">
        <v>21</v>
      </c>
      <c r="T15" s="558">
        <v>117</v>
      </c>
      <c r="U15" s="558">
        <v>-1</v>
      </c>
      <c r="V15" s="558">
        <v>-50</v>
      </c>
      <c r="W15" s="558">
        <v>26</v>
      </c>
      <c r="X15" s="558">
        <v>13</v>
      </c>
      <c r="Y15" s="558">
        <v>3</v>
      </c>
      <c r="Z15" s="558">
        <v>-23</v>
      </c>
      <c r="AA15" s="558">
        <v>-1</v>
      </c>
      <c r="AB15" s="558">
        <v>31</v>
      </c>
      <c r="AC15" s="558">
        <v>-12</v>
      </c>
      <c r="AD15" s="558">
        <v>-37</v>
      </c>
      <c r="AE15" s="558">
        <v>80</v>
      </c>
      <c r="AF15" s="558">
        <v>-14</v>
      </c>
      <c r="AG15" s="558">
        <v>13</v>
      </c>
      <c r="AH15" s="558">
        <v>-69</v>
      </c>
      <c r="AI15" s="558">
        <v>48</v>
      </c>
      <c r="AJ15" s="558">
        <v>-28</v>
      </c>
      <c r="AK15" s="558">
        <v>21</v>
      </c>
      <c r="AL15" s="558">
        <v>-65</v>
      </c>
      <c r="AM15" s="558">
        <v>24</v>
      </c>
      <c r="AN15" s="558">
        <v>9</v>
      </c>
      <c r="AO15" s="558">
        <v>43</v>
      </c>
      <c r="AP15" s="558">
        <v>-41</v>
      </c>
      <c r="AQ15" s="558">
        <v>44</v>
      </c>
      <c r="AR15" s="558">
        <v>-157</v>
      </c>
      <c r="AS15" s="558">
        <v>85</v>
      </c>
      <c r="AT15" s="558">
        <v>-42</v>
      </c>
      <c r="AU15" s="558">
        <v>-74</v>
      </c>
      <c r="AV15" s="558">
        <v>23</v>
      </c>
      <c r="AW15" s="555">
        <f>(BS!AV76-BS!AW76)+BS!AV51-BS!AW51</f>
        <v>170.32758709125045</v>
      </c>
      <c r="AX15" s="555">
        <f>(BS!AW76-BS!AX76)+BS!AW51-BS!AX51</f>
        <v>-146.79807677921488</v>
      </c>
      <c r="AY15" s="555">
        <f>(BS!AX76-BS!AY76)+BS!AX51-BS!AY51</f>
        <v>-144.73386946432834</v>
      </c>
      <c r="AZ15" s="555">
        <f>(BS!AY76-BS!AZ76)+BS!AY51-BS!AZ51</f>
        <v>78.528782440727468</v>
      </c>
      <c r="BA15" s="555">
        <f>(BS!AZ76-BS!BA76)+BS!AZ51-BS!BA51</f>
        <v>216.1999594125499</v>
      </c>
      <c r="BB15" s="555">
        <f>(BS!BA76-BS!BB76)+BS!BA51-BS!BB51</f>
        <v>-83.260271064642268</v>
      </c>
      <c r="BC15" s="555">
        <f>SUM(BS!BB13,BS!BB20)-SUM(BS!BC13,BS!BC20)</f>
        <v>-203.21893874386433</v>
      </c>
      <c r="BD15" s="555">
        <f>SUM(BS!BC13,BS!BC20)-SUM(BS!BD13,BS!BD20)</f>
        <v>74.074828418459902</v>
      </c>
      <c r="BE15" s="555">
        <f>SUM(BS!BD13,BS!BD20)-SUM(BS!BE13,BS!BE20)</f>
        <v>211.82766297860985</v>
      </c>
      <c r="BF15" s="555">
        <f>SUM(BS!BE13,BS!BE20)-SUM(BS!BF13,BS!BF20)</f>
        <v>-68.944560586808393</v>
      </c>
      <c r="BG15" s="555">
        <f>SUM(BS!BF13,BS!BF20)-SUM(BS!BG13,BS!BG20)</f>
        <v>-223.52489431194067</v>
      </c>
      <c r="BH15" s="555">
        <f>SUM(BS!BG13,BS!BG20)-SUM(BS!BH13,BS!BH20)</f>
        <v>-7.5656509550063902</v>
      </c>
      <c r="BI15" s="555">
        <f>SUM(BS!BH13,BS!BH20)-SUM(BS!BI13,BS!BI20)</f>
        <v>259.03446366110632</v>
      </c>
      <c r="BJ15" s="555">
        <f>SUM(BS!BI13,BS!BI20)-SUM(BS!BJ13,BS!BJ20)</f>
        <v>-63.74894575844246</v>
      </c>
      <c r="BK15" s="555">
        <f>SUM(BS!BJ13,BS!BJ20)-SUM(BS!BK13,BS!BK20)</f>
        <v>-222.23248416603019</v>
      </c>
      <c r="BL15" s="555">
        <f>SUM(BS!BK13,BS!BK20)-SUM(BS!BL13,BS!BL20)</f>
        <v>88.516573731820813</v>
      </c>
      <c r="BM15" s="555">
        <f>SUM(BS!BL13,BS!BL20)-SUM(BS!BM13,BS!BM20)</f>
        <v>214.52490614592614</v>
      </c>
      <c r="BN15" s="555">
        <f>SUM(BS!BM13,BS!BM20)-SUM(BS!BN13,BS!BN20)</f>
        <v>-74.7239846225159</v>
      </c>
      <c r="BO15" s="555"/>
      <c r="BP15" s="349">
        <v>18</v>
      </c>
      <c r="BQ15" s="349">
        <f t="shared" si="25"/>
        <v>5</v>
      </c>
      <c r="BR15" s="349">
        <f t="shared" si="26"/>
        <v>-101</v>
      </c>
      <c r="BS15" s="349">
        <f t="shared" si="27"/>
        <v>15</v>
      </c>
      <c r="BT15" s="349">
        <f t="shared" si="28"/>
        <v>-56</v>
      </c>
      <c r="BU15" s="349">
        <f t="shared" si="29"/>
        <v>87</v>
      </c>
      <c r="BV15" s="349">
        <f t="shared" si="30"/>
        <v>19</v>
      </c>
      <c r="BW15" s="349">
        <f t="shared" si="31"/>
        <v>-19</v>
      </c>
      <c r="BX15" s="349">
        <f t="shared" si="32"/>
        <v>10</v>
      </c>
      <c r="BY15" s="349">
        <f t="shared" si="8"/>
        <v>-24</v>
      </c>
      <c r="BZ15" s="349">
        <f t="shared" si="9"/>
        <v>35</v>
      </c>
      <c r="CA15" s="349">
        <f t="shared" si="10"/>
        <v>-70</v>
      </c>
      <c r="CB15" s="349">
        <f t="shared" si="11"/>
        <v>-27.470489687964431</v>
      </c>
      <c r="CC15" s="349">
        <f t="shared" si="12"/>
        <v>66.734601324306766</v>
      </c>
      <c r="CD15" s="349">
        <f t="shared" si="13"/>
        <v>13.738992066397032</v>
      </c>
      <c r="CE15" s="349">
        <f t="shared" si="14"/>
        <v>-35.805027364283205</v>
      </c>
      <c r="CF15" s="349">
        <f t="shared" si="15"/>
        <v>6.0850110892008615</v>
      </c>
    </row>
    <row r="16" spans="1:84" s="369" customFormat="1" ht="12.75" customHeight="1" outlineLevel="1">
      <c r="A16" s="561" t="s">
        <v>24</v>
      </c>
      <c r="B16" s="558">
        <v>-93</v>
      </c>
      <c r="C16" s="558">
        <v>-40</v>
      </c>
      <c r="D16" s="558">
        <v>146</v>
      </c>
      <c r="E16" s="558">
        <v>-47</v>
      </c>
      <c r="F16" s="558">
        <v>55</v>
      </c>
      <c r="G16" s="558">
        <v>-133</v>
      </c>
      <c r="H16" s="558">
        <v>76</v>
      </c>
      <c r="I16" s="558">
        <v>-93</v>
      </c>
      <c r="J16" s="558">
        <v>100</v>
      </c>
      <c r="K16" s="558">
        <v>-157</v>
      </c>
      <c r="L16" s="558">
        <v>166</v>
      </c>
      <c r="M16" s="558">
        <v>-124</v>
      </c>
      <c r="N16" s="558">
        <v>37</v>
      </c>
      <c r="O16" s="558">
        <v>-82</v>
      </c>
      <c r="P16" s="558">
        <v>159</v>
      </c>
      <c r="Q16" s="558">
        <v>-64</v>
      </c>
      <c r="R16" s="558">
        <v>-31</v>
      </c>
      <c r="S16" s="558">
        <v>-43</v>
      </c>
      <c r="T16" s="558">
        <v>126</v>
      </c>
      <c r="U16" s="558">
        <v>-112</v>
      </c>
      <c r="V16" s="558">
        <v>-17</v>
      </c>
      <c r="W16" s="558">
        <v>-16</v>
      </c>
      <c r="X16" s="558">
        <v>142</v>
      </c>
      <c r="Y16" s="558">
        <v>-56</v>
      </c>
      <c r="Z16" s="558">
        <v>-57</v>
      </c>
      <c r="AA16" s="558">
        <v>-32</v>
      </c>
      <c r="AB16" s="558">
        <v>165</v>
      </c>
      <c r="AC16" s="558">
        <v>-139</v>
      </c>
      <c r="AD16" s="558">
        <v>11</v>
      </c>
      <c r="AE16" s="558">
        <v>-44</v>
      </c>
      <c r="AF16" s="558">
        <v>148</v>
      </c>
      <c r="AG16" s="558">
        <v>-88</v>
      </c>
      <c r="AH16" s="558">
        <v>-60</v>
      </c>
      <c r="AI16" s="558">
        <v>8</v>
      </c>
      <c r="AJ16" s="558">
        <v>124</v>
      </c>
      <c r="AK16" s="558">
        <v>-97</v>
      </c>
      <c r="AL16" s="558">
        <v>24</v>
      </c>
      <c r="AM16" s="558">
        <v>-40</v>
      </c>
      <c r="AN16" s="558">
        <v>91</v>
      </c>
      <c r="AO16" s="558">
        <v>-84</v>
      </c>
      <c r="AP16" s="558">
        <v>-3</v>
      </c>
      <c r="AQ16" s="558">
        <v>-3</v>
      </c>
      <c r="AR16" s="558">
        <v>109</v>
      </c>
      <c r="AS16" s="558">
        <v>-77</v>
      </c>
      <c r="AT16" s="558">
        <v>-11</v>
      </c>
      <c r="AU16" s="558">
        <v>-19</v>
      </c>
      <c r="AV16" s="558">
        <v>61</v>
      </c>
      <c r="AW16" s="555">
        <f>BS!AW79-BS!AV79</f>
        <v>31.942113829787274</v>
      </c>
      <c r="AX16" s="555">
        <f>BS!AX79-BS!AW79</f>
        <v>-52.294167521062491</v>
      </c>
      <c r="AY16" s="555">
        <f>BS!AY79-BS!AX79</f>
        <v>-32.426525745990375</v>
      </c>
      <c r="AZ16" s="555">
        <f>BS!AZ79-BS!AY79</f>
        <v>60.400788626089536</v>
      </c>
      <c r="BA16" s="555">
        <f>BS!BA79-BS!AZ79</f>
        <v>40.100574299225769</v>
      </c>
      <c r="BB16" s="555">
        <f>BS!BB79-BS!BA79</f>
        <v>-72.755186738109174</v>
      </c>
      <c r="BC16" s="555">
        <f>BS!BC79-BS!BB79</f>
        <v>-27.92933429574181</v>
      </c>
      <c r="BD16" s="555">
        <f>BS!BD79-BS!BC79</f>
        <v>65.563276829729972</v>
      </c>
      <c r="BE16" s="555">
        <f>BS!BE79-BS!BD79</f>
        <v>39.664383148979027</v>
      </c>
      <c r="BF16" s="555">
        <f>BS!BF79-BS!BE79</f>
        <v>-72.400486962075931</v>
      </c>
      <c r="BG16" s="555">
        <f>BS!BG79-BS!BF79</f>
        <v>-28.757080629130982</v>
      </c>
      <c r="BH16" s="555">
        <f>BS!BH79-BS!BG79</f>
        <v>94.028951374191081</v>
      </c>
      <c r="BI16" s="555">
        <f>BS!BI79-BS!BH79</f>
        <v>21.388681208266149</v>
      </c>
      <c r="BJ16" s="555">
        <f>BS!BJ79-BS!BI79</f>
        <v>-78.734377389778004</v>
      </c>
      <c r="BK16" s="555">
        <f>BS!BK79-BS!BJ79</f>
        <v>-31.038596701070745</v>
      </c>
      <c r="BL16" s="555">
        <f>BS!BL79-BS!BK79</f>
        <v>72.056187627177081</v>
      </c>
      <c r="BM16" s="555">
        <f>BS!BM79-BS!BL79</f>
        <v>43.483285821066318</v>
      </c>
      <c r="BN16" s="555">
        <f>BS!BN79-BS!BM79</f>
        <v>-78.239881344398867</v>
      </c>
      <c r="BO16" s="555"/>
      <c r="BP16" s="349">
        <v>-57</v>
      </c>
      <c r="BQ16" s="349">
        <f t="shared" si="25"/>
        <v>114</v>
      </c>
      <c r="BR16" s="349">
        <f t="shared" si="26"/>
        <v>-50</v>
      </c>
      <c r="BS16" s="349">
        <f t="shared" si="27"/>
        <v>-78</v>
      </c>
      <c r="BT16" s="349">
        <f t="shared" si="28"/>
        <v>-18</v>
      </c>
      <c r="BU16" s="349">
        <f t="shared" si="29"/>
        <v>-46</v>
      </c>
      <c r="BV16" s="349">
        <f t="shared" si="30"/>
        <v>13</v>
      </c>
      <c r="BW16" s="349">
        <f>SUM(AA16:AD16)</f>
        <v>5</v>
      </c>
      <c r="BX16" s="349">
        <f>SUM(AE16:AH16)</f>
        <v>-44</v>
      </c>
      <c r="BY16" s="349">
        <f t="shared" si="8"/>
        <v>59</v>
      </c>
      <c r="BZ16" s="349">
        <f t="shared" si="9"/>
        <v>-36</v>
      </c>
      <c r="CA16" s="349">
        <f t="shared" si="10"/>
        <v>18</v>
      </c>
      <c r="CB16" s="349">
        <f t="shared" si="11"/>
        <v>21.647946308724784</v>
      </c>
      <c r="CC16" s="349">
        <f t="shared" si="12"/>
        <v>-4.6803495587842434</v>
      </c>
      <c r="CD16" s="349">
        <f t="shared" si="13"/>
        <v>4.8978387208912579</v>
      </c>
      <c r="CE16" s="349">
        <f t="shared" si="14"/>
        <v>7.9261745635482441</v>
      </c>
      <c r="CF16" s="349">
        <f t="shared" si="15"/>
        <v>6.2609954027737871</v>
      </c>
    </row>
    <row r="17" spans="1:84" s="369" customFormat="1" ht="12.75" customHeight="1" outlineLevel="1">
      <c r="A17" s="561" t="s">
        <v>94</v>
      </c>
      <c r="B17" s="558">
        <v>-95</v>
      </c>
      <c r="C17" s="558">
        <v>-109</v>
      </c>
      <c r="D17" s="558">
        <v>-33</v>
      </c>
      <c r="E17" s="558">
        <v>176</v>
      </c>
      <c r="F17" s="558">
        <v>-38</v>
      </c>
      <c r="G17" s="558">
        <v>-181</v>
      </c>
      <c r="H17" s="558">
        <v>183</v>
      </c>
      <c r="I17" s="558">
        <v>48</v>
      </c>
      <c r="J17" s="558">
        <v>-37</v>
      </c>
      <c r="K17" s="558">
        <v>-119</v>
      </c>
      <c r="L17" s="558">
        <v>228</v>
      </c>
      <c r="M17" s="558">
        <v>-56</v>
      </c>
      <c r="N17" s="558">
        <v>-159</v>
      </c>
      <c r="O17" s="558">
        <v>-195</v>
      </c>
      <c r="P17" s="558">
        <v>158</v>
      </c>
      <c r="Q17" s="558">
        <v>112</v>
      </c>
      <c r="R17" s="558">
        <v>-78</v>
      </c>
      <c r="S17" s="558">
        <v>-84</v>
      </c>
      <c r="T17" s="558">
        <v>257</v>
      </c>
      <c r="U17" s="558">
        <v>-105</v>
      </c>
      <c r="V17" s="558">
        <v>-37</v>
      </c>
      <c r="W17" s="558">
        <v>-331</v>
      </c>
      <c r="X17" s="558">
        <v>182</v>
      </c>
      <c r="Y17" s="558">
        <v>25</v>
      </c>
      <c r="Z17" s="558">
        <v>-128</v>
      </c>
      <c r="AA17" s="558">
        <v>-72</v>
      </c>
      <c r="AB17" s="558">
        <v>181</v>
      </c>
      <c r="AC17" s="558">
        <v>145</v>
      </c>
      <c r="AD17" s="558">
        <v>-86</v>
      </c>
      <c r="AE17" s="558">
        <v>-116</v>
      </c>
      <c r="AF17" s="558">
        <v>216</v>
      </c>
      <c r="AG17" s="558">
        <v>165</v>
      </c>
      <c r="AH17" s="558">
        <v>-222</v>
      </c>
      <c r="AI17" s="558">
        <v>-59</v>
      </c>
      <c r="AJ17" s="558">
        <v>60</v>
      </c>
      <c r="AK17" s="558">
        <v>148</v>
      </c>
      <c r="AL17" s="558">
        <v>-120</v>
      </c>
      <c r="AM17" s="558">
        <v>-56</v>
      </c>
      <c r="AN17" s="558">
        <v>144</v>
      </c>
      <c r="AO17" s="558">
        <v>176</v>
      </c>
      <c r="AP17" s="558">
        <v>-145</v>
      </c>
      <c r="AQ17" s="558">
        <v>-66</v>
      </c>
      <c r="AR17" s="558">
        <v>-30</v>
      </c>
      <c r="AS17" s="558">
        <v>341</v>
      </c>
      <c r="AT17" s="558">
        <v>-109</v>
      </c>
      <c r="AU17" s="558">
        <v>-302</v>
      </c>
      <c r="AV17" s="558">
        <v>52</v>
      </c>
      <c r="AW17" s="555">
        <f>BS!AW80-BS!AV80</f>
        <v>363.07735901075898</v>
      </c>
      <c r="AX17" s="555">
        <f>BS!AX80-BS!AW80</f>
        <v>316.89597209065278</v>
      </c>
      <c r="AY17" s="555">
        <f>BS!AY80-BS!AX80</f>
        <v>-338.27059012440145</v>
      </c>
      <c r="AZ17" s="555">
        <f>BS!AZ80-BS!AY80</f>
        <v>-152.14388747298199</v>
      </c>
      <c r="BA17" s="555">
        <f>BS!BA80-BS!AZ80</f>
        <v>369.12223940485615</v>
      </c>
      <c r="BB17" s="555">
        <f>BS!BB80-BS!BA80</f>
        <v>210.96580231639427</v>
      </c>
      <c r="BC17" s="555">
        <f>BS!BC80-BS!BB80</f>
        <v>-394.75840481544947</v>
      </c>
      <c r="BD17" s="555">
        <f>BS!BD80-BS!BC80</f>
        <v>-144.41826465910071</v>
      </c>
      <c r="BE17" s="555">
        <f>BS!BE80-BS!BD80</f>
        <v>404.38716953208177</v>
      </c>
      <c r="BF17" s="555">
        <f>BS!BF80-BS!BE80</f>
        <v>222.19162644439984</v>
      </c>
      <c r="BG17" s="555">
        <f>BS!BG80-BS!BF80</f>
        <v>-422.34868778287887</v>
      </c>
      <c r="BH17" s="555">
        <f>BS!BH80-BS!BG80</f>
        <v>-10.704144677672275</v>
      </c>
      <c r="BI17" s="555">
        <f>BS!BI80-BS!BH80</f>
        <v>408.44633398971541</v>
      </c>
      <c r="BJ17" s="555">
        <f>BS!BJ80-BS!BI80</f>
        <v>206.60853400594942</v>
      </c>
      <c r="BK17" s="555">
        <f>BS!BK80-BS!BJ80</f>
        <v>-492.80522054150697</v>
      </c>
      <c r="BL17" s="555">
        <f>BS!BL80-BS!BK80</f>
        <v>-166.68918381577305</v>
      </c>
      <c r="BM17" s="555">
        <f>BS!BM80-BS!BL80</f>
        <v>497.55383076174076</v>
      </c>
      <c r="BN17" s="555">
        <f>BS!BN80-BS!BM80</f>
        <v>234.24688427084448</v>
      </c>
      <c r="BO17" s="555"/>
      <c r="BP17" s="349">
        <v>-138</v>
      </c>
      <c r="BQ17" s="349">
        <f t="shared" si="25"/>
        <v>-4</v>
      </c>
      <c r="BR17" s="349">
        <f t="shared" si="26"/>
        <v>13</v>
      </c>
      <c r="BS17" s="349">
        <f t="shared" si="27"/>
        <v>-106</v>
      </c>
      <c r="BT17" s="349">
        <f t="shared" si="28"/>
        <v>-3</v>
      </c>
      <c r="BU17" s="349">
        <f t="shared" si="29"/>
        <v>31</v>
      </c>
      <c r="BV17" s="349">
        <f t="shared" si="30"/>
        <v>-252</v>
      </c>
      <c r="BW17" s="349">
        <f t="shared" si="31"/>
        <v>168</v>
      </c>
      <c r="BX17" s="349">
        <f t="shared" si="32"/>
        <v>43</v>
      </c>
      <c r="BY17" s="349">
        <f t="shared" si="8"/>
        <v>29</v>
      </c>
      <c r="BZ17" s="349">
        <f t="shared" si="9"/>
        <v>119</v>
      </c>
      <c r="CA17" s="349">
        <f t="shared" si="10"/>
        <v>136</v>
      </c>
      <c r="CB17" s="349">
        <f t="shared" si="11"/>
        <v>429.97333110141176</v>
      </c>
      <c r="CC17" s="349">
        <f t="shared" si="12"/>
        <v>89.673564123866981</v>
      </c>
      <c r="CD17" s="349">
        <f t="shared" si="13"/>
        <v>87.402126501931434</v>
      </c>
      <c r="CE17" s="349">
        <f t="shared" si="14"/>
        <v>182.00203553511369</v>
      </c>
      <c r="CF17" s="349">
        <f t="shared" si="15"/>
        <v>72.306310675305212</v>
      </c>
    </row>
    <row r="18" spans="1:84" s="369" customFormat="1" ht="12.75" customHeight="1" outlineLevel="1">
      <c r="A18" s="561" t="s">
        <v>65</v>
      </c>
      <c r="B18" s="558">
        <v>26</v>
      </c>
      <c r="C18" s="558">
        <v>3</v>
      </c>
      <c r="D18" s="558">
        <v>24</v>
      </c>
      <c r="E18" s="558">
        <v>5</v>
      </c>
      <c r="F18" s="558">
        <v>-8</v>
      </c>
      <c r="G18" s="558">
        <v>1</v>
      </c>
      <c r="H18" s="558">
        <v>-49</v>
      </c>
      <c r="I18" s="558">
        <v>4</v>
      </c>
      <c r="J18" s="558">
        <v>-46</v>
      </c>
      <c r="K18" s="558">
        <v>-10</v>
      </c>
      <c r="L18" s="558">
        <v>0</v>
      </c>
      <c r="M18" s="558">
        <v>-3</v>
      </c>
      <c r="N18" s="558">
        <v>6</v>
      </c>
      <c r="O18" s="558">
        <v>2</v>
      </c>
      <c r="P18" s="558">
        <v>3</v>
      </c>
      <c r="Q18" s="558">
        <v>2</v>
      </c>
      <c r="R18" s="558">
        <v>9</v>
      </c>
      <c r="S18" s="558">
        <v>1</v>
      </c>
      <c r="T18" s="558">
        <v>3</v>
      </c>
      <c r="U18" s="558">
        <v>5</v>
      </c>
      <c r="V18" s="558">
        <v>-8</v>
      </c>
      <c r="W18" s="558">
        <v>0</v>
      </c>
      <c r="X18" s="558">
        <v>1</v>
      </c>
      <c r="Y18" s="558">
        <v>5</v>
      </c>
      <c r="Z18" s="558">
        <v>-409</v>
      </c>
      <c r="AA18" s="558">
        <v>43</v>
      </c>
      <c r="AB18" s="558">
        <v>-23</v>
      </c>
      <c r="AC18" s="558">
        <v>-20</v>
      </c>
      <c r="AD18" s="558">
        <v>100</v>
      </c>
      <c r="AE18" s="558">
        <v>55</v>
      </c>
      <c r="AF18" s="558">
        <v>-15</v>
      </c>
      <c r="AG18" s="558">
        <v>90</v>
      </c>
      <c r="AH18" s="558">
        <v>74</v>
      </c>
      <c r="AI18" s="558">
        <v>-74</v>
      </c>
      <c r="AJ18" s="558">
        <v>-20</v>
      </c>
      <c r="AK18" s="558">
        <v>5</v>
      </c>
      <c r="AL18" s="558">
        <v>73</v>
      </c>
      <c r="AM18" s="558">
        <v>-1174</v>
      </c>
      <c r="AN18" s="558">
        <v>-626</v>
      </c>
      <c r="AO18" s="558">
        <v>7</v>
      </c>
      <c r="AP18" s="558">
        <v>-78</v>
      </c>
      <c r="AQ18" s="558">
        <v>10</v>
      </c>
      <c r="AR18" s="558">
        <v>-42</v>
      </c>
      <c r="AS18" s="558">
        <v>14</v>
      </c>
      <c r="AT18" s="558">
        <v>-125</v>
      </c>
      <c r="AU18" s="558">
        <v>28</v>
      </c>
      <c r="AV18" s="558">
        <v>-168</v>
      </c>
      <c r="AW18" s="555">
        <f>BS!AV63-BS!AW63+BS!AW57-BS!AV57</f>
        <v>20.709999999999866</v>
      </c>
      <c r="AX18" s="555">
        <f>BS!AW63-BS!AX63+BS!AX57-BS!AW57</f>
        <v>20.502900000000139</v>
      </c>
      <c r="AY18" s="555">
        <f>BS!AX63-BS!AY63+BS!AY57-BS!AX57</f>
        <v>20.2978710000001</v>
      </c>
      <c r="AZ18" s="555">
        <f>BS!AY63-BS!AZ63+BS!AZ57-BS!AY57</f>
        <v>20.094892290000004</v>
      </c>
      <c r="BA18" s="555">
        <f>BS!AZ63-BS!BA63+BS!BA57-BS!AZ57</f>
        <v>19.893943367099965</v>
      </c>
      <c r="BB18" s="555">
        <f>BS!BA63-BS!BB63+BS!BB57-BS!BA57</f>
        <v>19.695003933429007</v>
      </c>
      <c r="BC18" s="555">
        <f>(BS!BB12-BS!BC12)+(BS!BB19-BS!BC19)+(BS!BC32-BS!BB32)</f>
        <v>19.49805389409476</v>
      </c>
      <c r="BD18" s="555">
        <f>(BS!BC12-BS!BD12)+(BS!BC19-BS!BD19)+(BS!BD32-BS!BC32)</f>
        <v>19.303073355153714</v>
      </c>
      <c r="BE18" s="555">
        <f>(BS!BD12-BS!BE12)+(BS!BD19-BS!BE19)+(BS!BE32-BS!BD32)</f>
        <v>19.11004262160224</v>
      </c>
      <c r="BF18" s="555">
        <f>(BS!BE12-BS!BF12)+(BS!BE19-BS!BF19)+(BS!BF32-BS!BE32)</f>
        <v>18.91894219538618</v>
      </c>
      <c r="BG18" s="555">
        <f>(BS!BF12-BS!BG12)+(BS!BF19-BS!BG19)+(BS!BG32-BS!BF32)</f>
        <v>18.729752773432374</v>
      </c>
      <c r="BH18" s="555">
        <f>(BS!BG12-BS!BH12)+(BS!BG19-BS!BH19)+(BS!BH32-BS!BG32)</f>
        <v>18.542455245698115</v>
      </c>
      <c r="BI18" s="555">
        <f>(BS!BH12-BS!BI12)+(BS!BH19-BS!BI19)+(BS!BI32-BS!BH32)</f>
        <v>18.357030693240951</v>
      </c>
      <c r="BJ18" s="555">
        <f>(BS!BI12-BS!BJ12)+(BS!BI19-BS!BJ19)+(BS!BJ32-BS!BI32)</f>
        <v>18.17346038630869</v>
      </c>
      <c r="BK18" s="555">
        <f>(BS!BJ12-BS!BK12)+(BS!BJ19-BS!BK19)+(BS!BK32-BS!BJ32)</f>
        <v>17.991725782445506</v>
      </c>
      <c r="BL18" s="555">
        <f>(BS!BK12-BS!BL12)+(BS!BK19-BS!BL19)+(BS!BL32-BS!BK32)</f>
        <v>17.811808524621107</v>
      </c>
      <c r="BM18" s="555">
        <f>(BS!BL12-BS!BM12)+(BS!BL19-BS!BM19)+(BS!BM32-BS!BL32)</f>
        <v>17.633690439374952</v>
      </c>
      <c r="BN18" s="555">
        <f>(BS!BM12-BS!BN12)+(BS!BM19-BS!BN19)+(BS!BN32-BS!BM32)</f>
        <v>17.457353534981095</v>
      </c>
      <c r="BO18" s="555"/>
      <c r="BP18" s="349">
        <v>2</v>
      </c>
      <c r="BQ18" s="349">
        <f t="shared" si="25"/>
        <v>24</v>
      </c>
      <c r="BR18" s="349">
        <f t="shared" si="26"/>
        <v>-90</v>
      </c>
      <c r="BS18" s="349">
        <f t="shared" si="27"/>
        <v>-7</v>
      </c>
      <c r="BT18" s="349">
        <f t="shared" si="28"/>
        <v>16</v>
      </c>
      <c r="BU18" s="349">
        <f t="shared" si="29"/>
        <v>1</v>
      </c>
      <c r="BV18" s="349">
        <f t="shared" si="30"/>
        <v>-403</v>
      </c>
      <c r="BW18" s="349">
        <f t="shared" si="31"/>
        <v>100</v>
      </c>
      <c r="BX18" s="349">
        <f t="shared" si="32"/>
        <v>204</v>
      </c>
      <c r="BY18" s="349">
        <f t="shared" si="8"/>
        <v>-16</v>
      </c>
      <c r="BZ18" s="349">
        <f t="shared" si="9"/>
        <v>-1871</v>
      </c>
      <c r="CA18" s="349">
        <f t="shared" si="10"/>
        <v>-143</v>
      </c>
      <c r="CB18" s="349">
        <f t="shared" si="11"/>
        <v>-98.787099999999995</v>
      </c>
      <c r="CC18" s="349">
        <f t="shared" si="12"/>
        <v>79.981710590529076</v>
      </c>
      <c r="CD18" s="349">
        <f t="shared" si="13"/>
        <v>76.830112066236893</v>
      </c>
      <c r="CE18" s="349">
        <f t="shared" si="14"/>
        <v>73.802699098680137</v>
      </c>
      <c r="CF18" s="349">
        <f t="shared" si="15"/>
        <v>70.894578281422667</v>
      </c>
    </row>
    <row r="19" spans="1:84" s="369" customFormat="1" ht="12.75" customHeight="1" outlineLevel="1">
      <c r="A19" s="561" t="s">
        <v>63</v>
      </c>
      <c r="B19" s="558">
        <v>-129</v>
      </c>
      <c r="C19" s="558">
        <v>-276</v>
      </c>
      <c r="D19" s="558">
        <v>253</v>
      </c>
      <c r="E19" s="558">
        <v>357</v>
      </c>
      <c r="F19" s="558">
        <v>-95</v>
      </c>
      <c r="G19" s="558">
        <v>-475</v>
      </c>
      <c r="H19" s="558">
        <v>319</v>
      </c>
      <c r="I19" s="558">
        <v>590</v>
      </c>
      <c r="J19" s="558">
        <v>-391</v>
      </c>
      <c r="K19" s="558">
        <v>-464</v>
      </c>
      <c r="L19" s="558">
        <v>369</v>
      </c>
      <c r="M19" s="558">
        <v>260</v>
      </c>
      <c r="N19" s="558">
        <v>-169</v>
      </c>
      <c r="O19" s="558">
        <v>-454</v>
      </c>
      <c r="P19" s="558">
        <v>345</v>
      </c>
      <c r="Q19" s="558">
        <v>764</v>
      </c>
      <c r="R19" s="558">
        <v>-209</v>
      </c>
      <c r="S19" s="558">
        <v>-439</v>
      </c>
      <c r="T19" s="558">
        <v>230</v>
      </c>
      <c r="U19" s="558">
        <v>302</v>
      </c>
      <c r="V19" s="558">
        <v>-300</v>
      </c>
      <c r="W19" s="558">
        <v>-508</v>
      </c>
      <c r="X19" s="558">
        <v>338</v>
      </c>
      <c r="Y19" s="558">
        <v>732</v>
      </c>
      <c r="Z19" s="558">
        <v>-387</v>
      </c>
      <c r="AA19" s="558">
        <v>-585</v>
      </c>
      <c r="AB19" s="558">
        <v>194</v>
      </c>
      <c r="AC19" s="558">
        <v>904</v>
      </c>
      <c r="AD19" s="558">
        <v>-432</v>
      </c>
      <c r="AE19" s="558">
        <v>-657</v>
      </c>
      <c r="AF19" s="558">
        <v>234</v>
      </c>
      <c r="AG19" s="558">
        <v>831</v>
      </c>
      <c r="AH19" s="558">
        <v>-325</v>
      </c>
      <c r="AI19" s="558">
        <v>-373</v>
      </c>
      <c r="AJ19" s="558">
        <v>-28</v>
      </c>
      <c r="AK19" s="558">
        <v>355</v>
      </c>
      <c r="AL19" s="558">
        <v>171</v>
      </c>
      <c r="AM19" s="558">
        <v>-421</v>
      </c>
      <c r="AN19" s="558">
        <v>-33</v>
      </c>
      <c r="AO19" s="558">
        <v>427</v>
      </c>
      <c r="AP19" s="558">
        <v>-128</v>
      </c>
      <c r="AQ19" s="558">
        <v>-67</v>
      </c>
      <c r="AR19" s="558">
        <v>-240</v>
      </c>
      <c r="AS19" s="558">
        <v>741</v>
      </c>
      <c r="AT19" s="558">
        <v>147</v>
      </c>
      <c r="AU19" s="558">
        <v>-222</v>
      </c>
      <c r="AV19" s="558">
        <v>17</v>
      </c>
      <c r="AW19" s="555">
        <f>Drivers!AW101</f>
        <v>895.6717500000002</v>
      </c>
      <c r="AX19" s="555">
        <f>Drivers!AX101</f>
        <v>-10.728412500000331</v>
      </c>
      <c r="AY19" s="555">
        <f>Drivers!AY101</f>
        <v>-556.65210318932509</v>
      </c>
      <c r="AZ19" s="555">
        <f>Drivers!AZ101</f>
        <v>-188.25245570998004</v>
      </c>
      <c r="BA19" s="555">
        <f>Drivers!BA101</f>
        <v>900.53596335126736</v>
      </c>
      <c r="BB19" s="555">
        <f>Drivers!BB101</f>
        <v>-181.51339995766261</v>
      </c>
      <c r="BC19" s="555">
        <f>Drivers!BC101</f>
        <v>-593.17374627297249</v>
      </c>
      <c r="BD19" s="555">
        <f>Drivers!BD101</f>
        <v>-171.57716960351536</v>
      </c>
      <c r="BE19" s="555">
        <f>Drivers!BE101</f>
        <v>908.90572469230619</v>
      </c>
      <c r="BF19" s="555">
        <f>Drivers!BF101</f>
        <v>-176.51457349326938</v>
      </c>
      <c r="BG19" s="555">
        <f>Drivers!BG101</f>
        <v>-595.82269765264664</v>
      </c>
      <c r="BH19" s="555">
        <f>Drivers!BH101</f>
        <v>-32.978366072486551</v>
      </c>
      <c r="BI19" s="555">
        <f>Drivers!BI101</f>
        <v>916.2958782696428</v>
      </c>
      <c r="BJ19" s="555">
        <f>Drivers!BJ101</f>
        <v>-226.33936498872504</v>
      </c>
      <c r="BK19" s="555">
        <f>Drivers!BK101</f>
        <v>-645.88555989318843</v>
      </c>
      <c r="BL19" s="555">
        <f>Drivers!BL101</f>
        <v>-179.95959495724219</v>
      </c>
      <c r="BM19" s="555">
        <f>Drivers!BM101</f>
        <v>962.78562564085587</v>
      </c>
      <c r="BN19" s="555">
        <f>Drivers!BN101</f>
        <v>-195.91522009790515</v>
      </c>
      <c r="BO19" s="555"/>
      <c r="BP19" s="349">
        <v>505</v>
      </c>
      <c r="BQ19" s="349">
        <f t="shared" si="25"/>
        <v>239</v>
      </c>
      <c r="BR19" s="349">
        <f t="shared" si="26"/>
        <v>43</v>
      </c>
      <c r="BS19" s="349">
        <f t="shared" si="27"/>
        <v>-4</v>
      </c>
      <c r="BT19" s="349">
        <f t="shared" si="28"/>
        <v>446</v>
      </c>
      <c r="BU19" s="349">
        <f t="shared" si="29"/>
        <v>-207</v>
      </c>
      <c r="BV19" s="349">
        <f t="shared" si="30"/>
        <v>175</v>
      </c>
      <c r="BW19" s="349">
        <f t="shared" si="31"/>
        <v>81</v>
      </c>
      <c r="BX19" s="349">
        <f t="shared" si="32"/>
        <v>83</v>
      </c>
      <c r="BY19" s="349">
        <f t="shared" si="8"/>
        <v>125</v>
      </c>
      <c r="BZ19" s="349">
        <f t="shared" si="9"/>
        <v>-155</v>
      </c>
      <c r="CA19" s="349">
        <f t="shared" si="10"/>
        <v>581</v>
      </c>
      <c r="CB19" s="349">
        <f t="shared" si="11"/>
        <v>679.94333749999987</v>
      </c>
      <c r="CC19" s="349">
        <f t="shared" si="12"/>
        <v>-25.881995505700388</v>
      </c>
      <c r="CD19" s="349">
        <f t="shared" si="13"/>
        <v>-32.359764677451039</v>
      </c>
      <c r="CE19" s="349">
        <f t="shared" si="14"/>
        <v>61.155449555784571</v>
      </c>
      <c r="CF19" s="349">
        <f t="shared" si="15"/>
        <v>-58.974749307479897</v>
      </c>
    </row>
    <row r="20" spans="1:84" s="565" customFormat="1" ht="12.75" customHeight="1">
      <c r="A20" s="562" t="s">
        <v>66</v>
      </c>
      <c r="B20" s="563">
        <f t="shared" ref="B20:AG20" si="33">B6+SUM(B7:B12)</f>
        <v>253</v>
      </c>
      <c r="C20" s="563">
        <f t="shared" si="33"/>
        <v>-148</v>
      </c>
      <c r="D20" s="563">
        <f t="shared" si="33"/>
        <v>-134</v>
      </c>
      <c r="E20" s="563">
        <f t="shared" si="33"/>
        <v>349</v>
      </c>
      <c r="F20" s="563">
        <f t="shared" si="33"/>
        <v>253</v>
      </c>
      <c r="G20" s="563">
        <f t="shared" si="33"/>
        <v>-274</v>
      </c>
      <c r="H20" s="563">
        <f t="shared" si="33"/>
        <v>-211</v>
      </c>
      <c r="I20" s="563">
        <f t="shared" si="33"/>
        <v>475</v>
      </c>
      <c r="J20" s="563">
        <f t="shared" si="33"/>
        <v>287</v>
      </c>
      <c r="K20" s="563">
        <f t="shared" si="33"/>
        <v>-244</v>
      </c>
      <c r="L20" s="563">
        <f t="shared" si="33"/>
        <v>-28</v>
      </c>
      <c r="M20" s="563">
        <f t="shared" si="33"/>
        <v>363</v>
      </c>
      <c r="N20" s="563">
        <f t="shared" si="33"/>
        <v>233</v>
      </c>
      <c r="O20" s="563">
        <f t="shared" si="33"/>
        <v>-248</v>
      </c>
      <c r="P20" s="563">
        <f t="shared" si="33"/>
        <v>-6</v>
      </c>
      <c r="Q20" s="563">
        <f t="shared" si="33"/>
        <v>685</v>
      </c>
      <c r="R20" s="563">
        <f t="shared" si="33"/>
        <v>281</v>
      </c>
      <c r="S20" s="563">
        <f t="shared" si="33"/>
        <v>4</v>
      </c>
      <c r="T20" s="563">
        <f t="shared" si="33"/>
        <v>183</v>
      </c>
      <c r="U20" s="563">
        <f t="shared" si="33"/>
        <v>682</v>
      </c>
      <c r="V20" s="563">
        <f t="shared" si="33"/>
        <v>198</v>
      </c>
      <c r="W20" s="563">
        <f t="shared" si="33"/>
        <v>-71</v>
      </c>
      <c r="X20" s="563">
        <f t="shared" si="33"/>
        <v>9</v>
      </c>
      <c r="Y20" s="563">
        <f t="shared" si="33"/>
        <v>889</v>
      </c>
      <c r="Z20" s="563">
        <f t="shared" si="33"/>
        <v>396</v>
      </c>
      <c r="AA20" s="563">
        <f t="shared" si="33"/>
        <v>-118</v>
      </c>
      <c r="AB20" s="563">
        <f t="shared" si="33"/>
        <v>122</v>
      </c>
      <c r="AC20" s="563">
        <f t="shared" si="33"/>
        <v>1115</v>
      </c>
      <c r="AD20" s="563">
        <f t="shared" si="33"/>
        <v>437</v>
      </c>
      <c r="AE20" s="563">
        <f t="shared" si="33"/>
        <v>176</v>
      </c>
      <c r="AF20" s="563">
        <f t="shared" si="33"/>
        <v>52</v>
      </c>
      <c r="AG20" s="563">
        <f t="shared" si="33"/>
        <v>849</v>
      </c>
      <c r="AH20" s="563">
        <f t="shared" ref="AH20:BN20" si="34">AH6+SUM(AH7:AH12)</f>
        <v>615</v>
      </c>
      <c r="AI20" s="563">
        <f t="shared" si="34"/>
        <v>120</v>
      </c>
      <c r="AJ20" s="563">
        <f t="shared" si="34"/>
        <v>-126</v>
      </c>
      <c r="AK20" s="563">
        <f t="shared" si="34"/>
        <v>954</v>
      </c>
      <c r="AL20" s="563">
        <f t="shared" si="34"/>
        <v>599</v>
      </c>
      <c r="AM20" s="563">
        <f t="shared" si="34"/>
        <v>158</v>
      </c>
      <c r="AN20" s="563">
        <f t="shared" si="34"/>
        <v>37</v>
      </c>
      <c r="AO20" s="563">
        <f t="shared" si="34"/>
        <v>1104</v>
      </c>
      <c r="AP20" s="563">
        <f t="shared" si="34"/>
        <v>498</v>
      </c>
      <c r="AQ20" s="563">
        <f t="shared" si="34"/>
        <v>378</v>
      </c>
      <c r="AR20" s="563">
        <f t="shared" si="34"/>
        <v>61</v>
      </c>
      <c r="AS20" s="563">
        <f t="shared" si="34"/>
        <v>1124</v>
      </c>
      <c r="AT20" s="563">
        <f t="shared" si="34"/>
        <v>371</v>
      </c>
      <c r="AU20" s="563">
        <f t="shared" si="34"/>
        <v>-143</v>
      </c>
      <c r="AV20" s="563">
        <f t="shared" si="34"/>
        <v>64</v>
      </c>
      <c r="AW20" s="563">
        <f t="shared" si="34"/>
        <v>1587.9404192621371</v>
      </c>
      <c r="AX20" s="563">
        <f t="shared" si="34"/>
        <v>461.88302572256885</v>
      </c>
      <c r="AY20" s="563">
        <f t="shared" si="34"/>
        <v>236.55641726541467</v>
      </c>
      <c r="AZ20" s="563">
        <f t="shared" si="34"/>
        <v>47.719046609227405</v>
      </c>
      <c r="BA20" s="563">
        <f t="shared" si="34"/>
        <v>1715.2737358627764</v>
      </c>
      <c r="BB20" s="563">
        <f t="shared" si="34"/>
        <v>597.86186981412368</v>
      </c>
      <c r="BC20" s="563">
        <f t="shared" si="34"/>
        <v>152.03154774821655</v>
      </c>
      <c r="BD20" s="563">
        <f t="shared" si="34"/>
        <v>89.089990055110604</v>
      </c>
      <c r="BE20" s="563">
        <f t="shared" si="34"/>
        <v>1818.4069949240827</v>
      </c>
      <c r="BF20" s="563">
        <f t="shared" si="34"/>
        <v>606.16990677805836</v>
      </c>
      <c r="BG20" s="563">
        <f t="shared" si="34"/>
        <v>229.784281545157</v>
      </c>
      <c r="BH20" s="563">
        <f t="shared" si="34"/>
        <v>179.41621002074828</v>
      </c>
      <c r="BI20" s="563">
        <f t="shared" si="34"/>
        <v>1968.4434968137919</v>
      </c>
      <c r="BJ20" s="563">
        <f t="shared" si="34"/>
        <v>660.91091686056916</v>
      </c>
      <c r="BK20" s="563">
        <f t="shared" si="34"/>
        <v>259.84829434726953</v>
      </c>
      <c r="BL20" s="563">
        <f t="shared" si="34"/>
        <v>122.2274223781219</v>
      </c>
      <c r="BM20" s="563">
        <f t="shared" si="34"/>
        <v>2010.713526743913</v>
      </c>
      <c r="BN20" s="563">
        <f t="shared" si="34"/>
        <v>713.40348377855162</v>
      </c>
      <c r="BO20" s="563"/>
      <c r="BP20" s="564">
        <v>152</v>
      </c>
      <c r="BQ20" s="564">
        <f t="shared" ref="BQ20:CF20" si="35">BQ6+SUM(BQ7:BQ12)</f>
        <v>320</v>
      </c>
      <c r="BR20" s="564">
        <f t="shared" si="35"/>
        <v>277</v>
      </c>
      <c r="BS20" s="564">
        <f t="shared" si="35"/>
        <v>324</v>
      </c>
      <c r="BT20" s="564">
        <f t="shared" si="35"/>
        <v>712</v>
      </c>
      <c r="BU20" s="564">
        <f t="shared" si="35"/>
        <v>1067</v>
      </c>
      <c r="BV20" s="564">
        <f t="shared" si="35"/>
        <v>1223</v>
      </c>
      <c r="BW20" s="564">
        <f t="shared" si="35"/>
        <v>1556</v>
      </c>
      <c r="BX20" s="564">
        <f t="shared" si="35"/>
        <v>1692</v>
      </c>
      <c r="BY20" s="564">
        <f t="shared" si="35"/>
        <v>1547</v>
      </c>
      <c r="BZ20" s="564">
        <f t="shared" si="35"/>
        <v>1797</v>
      </c>
      <c r="CA20" s="564">
        <f t="shared" si="35"/>
        <v>1934</v>
      </c>
      <c r="CB20" s="564">
        <f t="shared" si="35"/>
        <v>1970.8234449847059</v>
      </c>
      <c r="CC20" s="564">
        <f t="shared" si="35"/>
        <v>2597.4110695515424</v>
      </c>
      <c r="CD20" s="564">
        <f t="shared" si="35"/>
        <v>2665.6984395054683</v>
      </c>
      <c r="CE20" s="564">
        <f t="shared" si="35"/>
        <v>3038.5549052402666</v>
      </c>
      <c r="CF20" s="564">
        <f t="shared" si="35"/>
        <v>3106.1927272478561</v>
      </c>
    </row>
    <row r="21" spans="1:84" ht="12.75" customHeight="1">
      <c r="A21" s="566"/>
      <c r="B21" s="567"/>
      <c r="C21" s="567"/>
      <c r="D21" s="567"/>
      <c r="E21" s="567"/>
      <c r="F21" s="567"/>
      <c r="G21" s="567"/>
      <c r="H21" s="567"/>
      <c r="I21" s="567"/>
      <c r="J21" s="567"/>
      <c r="K21" s="567"/>
      <c r="L21" s="567"/>
      <c r="M21" s="567"/>
      <c r="N21" s="567"/>
      <c r="O21" s="567"/>
      <c r="P21" s="567"/>
      <c r="Q21" s="567"/>
      <c r="R21" s="567"/>
      <c r="S21" s="567"/>
      <c r="T21" s="567"/>
      <c r="U21" s="567"/>
      <c r="V21" s="567"/>
      <c r="W21" s="567"/>
      <c r="X21" s="567"/>
      <c r="Y21" s="567"/>
      <c r="Z21" s="567"/>
      <c r="AA21" s="567"/>
      <c r="AB21" s="567"/>
      <c r="AC21" s="567"/>
      <c r="AD21" s="567"/>
      <c r="AE21" s="567"/>
      <c r="AF21" s="567"/>
      <c r="AG21" s="567"/>
      <c r="AH21" s="567"/>
      <c r="AI21" s="567"/>
      <c r="AJ21" s="567"/>
      <c r="AK21" s="567"/>
      <c r="AL21" s="567"/>
      <c r="AM21" s="567"/>
      <c r="AN21" s="567"/>
      <c r="AO21" s="567"/>
      <c r="AP21" s="567"/>
      <c r="AQ21" s="567"/>
      <c r="AR21" s="567"/>
      <c r="AS21" s="567"/>
      <c r="AT21" s="567"/>
      <c r="AU21" s="567"/>
      <c r="AV21" s="567"/>
      <c r="AW21" s="567"/>
      <c r="AX21" s="567"/>
      <c r="AY21" s="567"/>
      <c r="AZ21" s="567"/>
      <c r="BA21" s="567"/>
      <c r="BB21" s="567"/>
      <c r="BC21" s="567"/>
      <c r="BD21" s="567"/>
      <c r="BE21" s="567"/>
      <c r="BF21" s="567"/>
      <c r="BG21" s="567"/>
      <c r="BH21" s="567"/>
      <c r="BI21" s="567"/>
      <c r="BJ21" s="567"/>
      <c r="BK21" s="567"/>
      <c r="BL21" s="567"/>
      <c r="BM21" s="567"/>
      <c r="BN21" s="567"/>
      <c r="BO21" s="567"/>
      <c r="BP21" s="568"/>
      <c r="BQ21" s="568"/>
      <c r="BR21" s="568"/>
      <c r="BS21" s="568"/>
      <c r="BT21" s="568"/>
      <c r="BU21" s="568"/>
      <c r="BV21" s="568"/>
      <c r="BW21" s="568"/>
      <c r="BX21" s="568"/>
      <c r="BY21" s="568"/>
      <c r="BZ21" s="568"/>
      <c r="CA21" s="568"/>
      <c r="CB21" s="568"/>
      <c r="CC21" s="568"/>
      <c r="CD21" s="568"/>
      <c r="CE21" s="568"/>
      <c r="CF21" s="568"/>
    </row>
    <row r="22" spans="1:84" s="369" customFormat="1" ht="12.75" customHeight="1">
      <c r="A22" s="557" t="s">
        <v>8</v>
      </c>
      <c r="B22" s="558">
        <v>-22</v>
      </c>
      <c r="C22" s="558">
        <v>-11</v>
      </c>
      <c r="D22" s="558">
        <v>-12</v>
      </c>
      <c r="E22" s="558">
        <v>-15</v>
      </c>
      <c r="F22" s="558">
        <v>-21</v>
      </c>
      <c r="G22" s="558">
        <v>-32</v>
      </c>
      <c r="H22" s="558">
        <v>-52</v>
      </c>
      <c r="I22" s="558">
        <v>-44</v>
      </c>
      <c r="J22" s="558">
        <v>-44</v>
      </c>
      <c r="K22" s="558">
        <v>-31</v>
      </c>
      <c r="L22" s="558">
        <v>-25</v>
      </c>
      <c r="M22" s="558">
        <v>-25</v>
      </c>
      <c r="N22" s="558">
        <v>-25</v>
      </c>
      <c r="O22" s="558">
        <v>-29</v>
      </c>
      <c r="P22" s="558">
        <v>-24</v>
      </c>
      <c r="Q22" s="558">
        <v>-28</v>
      </c>
      <c r="R22" s="558">
        <v>-16</v>
      </c>
      <c r="S22" s="558">
        <v>-27</v>
      </c>
      <c r="T22" s="558">
        <v>-21</v>
      </c>
      <c r="U22" s="558">
        <v>-15</v>
      </c>
      <c r="V22" s="558">
        <v>-32</v>
      </c>
      <c r="W22" s="558">
        <v>-24</v>
      </c>
      <c r="X22" s="558">
        <v>-18</v>
      </c>
      <c r="Y22" s="558">
        <v>-21</v>
      </c>
      <c r="Z22" s="558">
        <v>-30</v>
      </c>
      <c r="AA22" s="558">
        <v>-40</v>
      </c>
      <c r="AB22" s="558">
        <v>-29</v>
      </c>
      <c r="AC22" s="558">
        <v>-25</v>
      </c>
      <c r="AD22" s="558">
        <v>-29</v>
      </c>
      <c r="AE22" s="558">
        <v>-33</v>
      </c>
      <c r="AF22" s="558">
        <v>-30</v>
      </c>
      <c r="AG22" s="558">
        <v>-24</v>
      </c>
      <c r="AH22" s="558">
        <v>-20</v>
      </c>
      <c r="AI22" s="558">
        <v>-32</v>
      </c>
      <c r="AJ22" s="558">
        <v>-31</v>
      </c>
      <c r="AK22" s="558">
        <v>-21</v>
      </c>
      <c r="AL22" s="558">
        <v>-35</v>
      </c>
      <c r="AM22" s="558">
        <v>-45</v>
      </c>
      <c r="AN22" s="558">
        <v>-27</v>
      </c>
      <c r="AO22" s="558">
        <v>-28</v>
      </c>
      <c r="AP22" s="558">
        <v>-40</v>
      </c>
      <c r="AQ22" s="558">
        <v>-38</v>
      </c>
      <c r="AR22" s="558">
        <v>-25</v>
      </c>
      <c r="AS22" s="558">
        <v>-30</v>
      </c>
      <c r="AT22" s="558">
        <v>-31</v>
      </c>
      <c r="AU22" s="558">
        <v>-44</v>
      </c>
      <c r="AV22" s="558">
        <v>-43</v>
      </c>
      <c r="AW22" s="555">
        <f>BS!AW99</f>
        <v>-53.02618660620891</v>
      </c>
      <c r="AX22" s="555">
        <f>BS!AX99</f>
        <v>-86.729027483748155</v>
      </c>
      <c r="AY22" s="555">
        <f>BS!AY99</f>
        <v>-46.637579051459483</v>
      </c>
      <c r="AZ22" s="555">
        <f>BS!AZ99</f>
        <v>-48.044808307607688</v>
      </c>
      <c r="BA22" s="555">
        <f>BS!BA99</f>
        <v>-44.379557652721495</v>
      </c>
      <c r="BB22" s="555">
        <f>BS!BB99</f>
        <v>-42.652998674047403</v>
      </c>
      <c r="BC22" s="555">
        <f>BS!BC99</f>
        <v>-47.697139610317485</v>
      </c>
      <c r="BD22" s="555">
        <f>BS!BD99</f>
        <v>-49.54690279264404</v>
      </c>
      <c r="BE22" s="555">
        <f>BS!BE99</f>
        <v>-46.394643009088675</v>
      </c>
      <c r="BF22" s="555">
        <f>BS!BF99</f>
        <v>-44.626878913503774</v>
      </c>
      <c r="BG22" s="555">
        <f>BS!BG99</f>
        <v>-49.606822876324152</v>
      </c>
      <c r="BH22" s="555">
        <f>BS!BH99</f>
        <v>-56.652366788222231</v>
      </c>
      <c r="BI22" s="555">
        <f>BS!BI99</f>
        <v>-51.621345876091411</v>
      </c>
      <c r="BJ22" s="555">
        <f>BS!BJ99</f>
        <v>-48.737193340186032</v>
      </c>
      <c r="BK22" s="555">
        <f>BS!BK99</f>
        <v>-53.168267691642001</v>
      </c>
      <c r="BL22" s="555">
        <f>BS!BL99</f>
        <v>-55.020732872746848</v>
      </c>
      <c r="BM22" s="555">
        <f>BS!BM99</f>
        <v>-52.80294369741879</v>
      </c>
      <c r="BN22" s="555">
        <f>BS!BN99</f>
        <v>-50.37015129604108</v>
      </c>
      <c r="BO22" s="555"/>
      <c r="BP22" s="349">
        <v>-72</v>
      </c>
      <c r="BQ22" s="349">
        <f t="shared" ref="BQ22:BQ28" si="36">SUM(C22:F22)</f>
        <v>-59</v>
      </c>
      <c r="BR22" s="349">
        <f t="shared" ref="BR22:BR28" si="37">SUM(G22:J22)</f>
        <v>-172</v>
      </c>
      <c r="BS22" s="349">
        <f t="shared" ref="BS22:BS28" si="38">SUM(K22:N22)</f>
        <v>-106</v>
      </c>
      <c r="BT22" s="349">
        <f t="shared" ref="BT22:BT28" si="39">SUM(O22:R22)</f>
        <v>-97</v>
      </c>
      <c r="BU22" s="349">
        <f t="shared" ref="BU22:BU28" si="40">SUM(S22:V22)</f>
        <v>-95</v>
      </c>
      <c r="BV22" s="349">
        <f t="shared" ref="BV22:BV28" si="41">SUM(W22:Z22)</f>
        <v>-93</v>
      </c>
      <c r="BW22" s="349">
        <f t="shared" ref="BW22:BW28" si="42">SUM(AA22:AD22)</f>
        <v>-123</v>
      </c>
      <c r="BX22" s="349">
        <f t="shared" ref="BX22:BX28" si="43">SUM(AE22:AH22)</f>
        <v>-107</v>
      </c>
      <c r="BY22" s="349">
        <f t="shared" ref="BY22:BY28" si="44">SUM(AI22:AL22)</f>
        <v>-119</v>
      </c>
      <c r="BZ22" s="349">
        <f t="shared" ref="BZ22:BZ28" si="45">SUM(AM22:AP22)</f>
        <v>-140</v>
      </c>
      <c r="CA22" s="349">
        <f t="shared" ref="CA22:CA28" si="46">SUM(AQ22:AT22)</f>
        <v>-124</v>
      </c>
      <c r="CB22" s="349">
        <f t="shared" ref="CB22:CB28" si="47">SUM(AU22:AX22)</f>
        <v>-226.75521408995706</v>
      </c>
      <c r="CC22" s="349">
        <f t="shared" ref="CC22:CC28" si="48">SUM(AY22:BB22)</f>
        <v>-181.71494368583609</v>
      </c>
      <c r="CD22" s="349">
        <f t="shared" ref="CD22:CD28" si="49">SUM(BC22:BF22)</f>
        <v>-188.26556432555395</v>
      </c>
      <c r="CE22" s="349">
        <f t="shared" ref="CE22:CE28" si="50">SUM(BG22:BJ22)</f>
        <v>-206.61772888082382</v>
      </c>
      <c r="CF22" s="349">
        <f t="shared" ref="CF22:CF28" si="51">SUM(BK22:BN22)</f>
        <v>-211.36209555784873</v>
      </c>
    </row>
    <row r="23" spans="1:84" s="369" customFormat="1" ht="12.75" customHeight="1">
      <c r="A23" s="557" t="s">
        <v>139</v>
      </c>
      <c r="B23" s="558">
        <v>0</v>
      </c>
      <c r="C23" s="558">
        <v>0</v>
      </c>
      <c r="D23" s="558">
        <v>0</v>
      </c>
      <c r="E23" s="558">
        <v>0</v>
      </c>
      <c r="F23" s="558">
        <v>0</v>
      </c>
      <c r="G23" s="558">
        <v>0</v>
      </c>
      <c r="H23" s="558">
        <v>26</v>
      </c>
      <c r="I23" s="558">
        <v>0</v>
      </c>
      <c r="J23" s="558">
        <v>0</v>
      </c>
      <c r="K23" s="558">
        <v>0</v>
      </c>
      <c r="L23" s="558">
        <v>0</v>
      </c>
      <c r="M23" s="558">
        <v>0</v>
      </c>
      <c r="N23" s="558">
        <v>0</v>
      </c>
      <c r="O23" s="558">
        <v>0</v>
      </c>
      <c r="P23" s="558">
        <v>0</v>
      </c>
      <c r="Q23" s="558">
        <v>0</v>
      </c>
      <c r="R23" s="558">
        <v>0</v>
      </c>
      <c r="S23" s="558">
        <v>0</v>
      </c>
      <c r="T23" s="558">
        <v>0</v>
      </c>
      <c r="U23" s="558">
        <v>0</v>
      </c>
      <c r="V23" s="558">
        <v>0</v>
      </c>
      <c r="W23" s="558">
        <v>0</v>
      </c>
      <c r="X23" s="558">
        <v>0</v>
      </c>
      <c r="Y23" s="558">
        <v>0</v>
      </c>
      <c r="Z23" s="558">
        <v>0</v>
      </c>
      <c r="AA23" s="558">
        <v>0</v>
      </c>
      <c r="AB23" s="558">
        <v>0</v>
      </c>
      <c r="AC23" s="558">
        <v>0</v>
      </c>
      <c r="AD23" s="558">
        <v>0</v>
      </c>
      <c r="AE23" s="558">
        <v>0</v>
      </c>
      <c r="AF23" s="558">
        <v>0</v>
      </c>
      <c r="AG23" s="558">
        <v>0</v>
      </c>
      <c r="AH23" s="558">
        <v>0</v>
      </c>
      <c r="AI23" s="558">
        <v>0</v>
      </c>
      <c r="AJ23" s="558">
        <v>0</v>
      </c>
      <c r="AK23" s="558">
        <v>0</v>
      </c>
      <c r="AL23" s="558">
        <v>0</v>
      </c>
      <c r="AM23" s="558">
        <v>0</v>
      </c>
      <c r="AN23" s="558">
        <v>0</v>
      </c>
      <c r="AO23" s="558">
        <v>0</v>
      </c>
      <c r="AP23" s="558">
        <v>0</v>
      </c>
      <c r="AQ23" s="558">
        <v>0</v>
      </c>
      <c r="AR23" s="558">
        <v>0</v>
      </c>
      <c r="AS23" s="558">
        <v>0</v>
      </c>
      <c r="AT23" s="558">
        <v>0</v>
      </c>
      <c r="AU23" s="558">
        <v>0</v>
      </c>
      <c r="AV23" s="558">
        <v>0</v>
      </c>
      <c r="AW23" s="559">
        <v>0</v>
      </c>
      <c r="AX23" s="559">
        <v>0</v>
      </c>
      <c r="AY23" s="559">
        <v>0</v>
      </c>
      <c r="AZ23" s="559">
        <v>0</v>
      </c>
      <c r="BA23" s="559">
        <v>0</v>
      </c>
      <c r="BB23" s="559">
        <v>0</v>
      </c>
      <c r="BC23" s="559">
        <v>0</v>
      </c>
      <c r="BD23" s="559">
        <v>0</v>
      </c>
      <c r="BE23" s="559">
        <v>0</v>
      </c>
      <c r="BF23" s="559">
        <v>0</v>
      </c>
      <c r="BG23" s="559">
        <v>0</v>
      </c>
      <c r="BH23" s="559">
        <v>0</v>
      </c>
      <c r="BI23" s="559">
        <v>0</v>
      </c>
      <c r="BJ23" s="559">
        <v>0</v>
      </c>
      <c r="BK23" s="559">
        <v>0</v>
      </c>
      <c r="BL23" s="559">
        <v>0</v>
      </c>
      <c r="BM23" s="559">
        <v>0</v>
      </c>
      <c r="BN23" s="559">
        <v>0</v>
      </c>
      <c r="BO23" s="559"/>
      <c r="BP23" s="349">
        <v>-233</v>
      </c>
      <c r="BQ23" s="349">
        <f t="shared" si="36"/>
        <v>0</v>
      </c>
      <c r="BR23" s="349">
        <f t="shared" si="37"/>
        <v>26</v>
      </c>
      <c r="BS23" s="349">
        <f t="shared" si="38"/>
        <v>0</v>
      </c>
      <c r="BT23" s="349">
        <f t="shared" si="39"/>
        <v>0</v>
      </c>
      <c r="BU23" s="349">
        <f t="shared" si="40"/>
        <v>0</v>
      </c>
      <c r="BV23" s="349">
        <f t="shared" si="41"/>
        <v>0</v>
      </c>
      <c r="BW23" s="349">
        <f t="shared" si="42"/>
        <v>0</v>
      </c>
      <c r="BX23" s="349">
        <f t="shared" si="43"/>
        <v>0</v>
      </c>
      <c r="BY23" s="349">
        <f t="shared" si="44"/>
        <v>0</v>
      </c>
      <c r="BZ23" s="349">
        <f t="shared" si="45"/>
        <v>0</v>
      </c>
      <c r="CA23" s="349">
        <f t="shared" si="46"/>
        <v>0</v>
      </c>
      <c r="CB23" s="349">
        <f t="shared" si="47"/>
        <v>0</v>
      </c>
      <c r="CC23" s="349">
        <f t="shared" si="48"/>
        <v>0</v>
      </c>
      <c r="CD23" s="349">
        <f t="shared" si="49"/>
        <v>0</v>
      </c>
      <c r="CE23" s="349">
        <f t="shared" si="50"/>
        <v>0</v>
      </c>
      <c r="CF23" s="349">
        <f t="shared" si="51"/>
        <v>0</v>
      </c>
    </row>
    <row r="24" spans="1:84" s="369" customFormat="1" ht="12.75" customHeight="1">
      <c r="A24" s="557" t="s">
        <v>150</v>
      </c>
      <c r="B24" s="558">
        <v>7</v>
      </c>
      <c r="C24" s="558">
        <v>8</v>
      </c>
      <c r="D24" s="558">
        <v>124</v>
      </c>
      <c r="E24" s="558">
        <v>0</v>
      </c>
      <c r="F24" s="558">
        <v>0</v>
      </c>
      <c r="G24" s="558">
        <v>0</v>
      </c>
      <c r="H24" s="558">
        <v>0</v>
      </c>
      <c r="I24" s="558">
        <v>0</v>
      </c>
      <c r="J24" s="558">
        <v>0</v>
      </c>
      <c r="K24" s="558">
        <v>0</v>
      </c>
      <c r="L24" s="558">
        <v>0</v>
      </c>
      <c r="M24" s="558">
        <v>25</v>
      </c>
      <c r="N24" s="558">
        <v>47</v>
      </c>
      <c r="O24" s="558">
        <v>0</v>
      </c>
      <c r="P24" s="558">
        <v>0</v>
      </c>
      <c r="Q24" s="558">
        <v>0</v>
      </c>
      <c r="R24" s="558">
        <v>0</v>
      </c>
      <c r="S24" s="558">
        <v>0</v>
      </c>
      <c r="T24" s="558">
        <v>0</v>
      </c>
      <c r="U24" s="558">
        <v>0</v>
      </c>
      <c r="V24" s="558">
        <v>0</v>
      </c>
      <c r="W24" s="558">
        <v>0</v>
      </c>
      <c r="X24" s="558">
        <v>0</v>
      </c>
      <c r="Y24" s="558">
        <v>0</v>
      </c>
      <c r="Z24" s="558">
        <v>0</v>
      </c>
      <c r="AA24" s="558">
        <v>0</v>
      </c>
      <c r="AB24" s="558">
        <v>0</v>
      </c>
      <c r="AC24" s="558">
        <v>0</v>
      </c>
      <c r="AD24" s="558">
        <v>0</v>
      </c>
      <c r="AE24" s="558">
        <v>0</v>
      </c>
      <c r="AF24" s="558">
        <v>0</v>
      </c>
      <c r="AG24" s="558">
        <v>0</v>
      </c>
      <c r="AH24" s="558">
        <v>0</v>
      </c>
      <c r="AI24" s="558">
        <v>0</v>
      </c>
      <c r="AJ24" s="558">
        <v>0</v>
      </c>
      <c r="AK24" s="558">
        <v>0</v>
      </c>
      <c r="AL24" s="558">
        <v>0</v>
      </c>
      <c r="AM24" s="558">
        <v>0</v>
      </c>
      <c r="AN24" s="558">
        <v>0</v>
      </c>
      <c r="AO24" s="558">
        <v>0</v>
      </c>
      <c r="AP24" s="558">
        <v>0</v>
      </c>
      <c r="AQ24" s="558">
        <v>0</v>
      </c>
      <c r="AR24" s="558">
        <v>0</v>
      </c>
      <c r="AS24" s="558">
        <v>0</v>
      </c>
      <c r="AT24" s="558">
        <v>0</v>
      </c>
      <c r="AU24" s="558">
        <v>0</v>
      </c>
      <c r="AV24" s="558">
        <v>0</v>
      </c>
      <c r="AW24" s="559">
        <v>0</v>
      </c>
      <c r="AX24" s="559">
        <v>0</v>
      </c>
      <c r="AY24" s="559">
        <v>0</v>
      </c>
      <c r="AZ24" s="559">
        <v>0</v>
      </c>
      <c r="BA24" s="559">
        <v>0</v>
      </c>
      <c r="BB24" s="559">
        <v>0</v>
      </c>
      <c r="BC24" s="559">
        <v>0</v>
      </c>
      <c r="BD24" s="559">
        <v>0</v>
      </c>
      <c r="BE24" s="559">
        <v>0</v>
      </c>
      <c r="BF24" s="559">
        <v>0</v>
      </c>
      <c r="BG24" s="559">
        <v>0</v>
      </c>
      <c r="BH24" s="559">
        <v>0</v>
      </c>
      <c r="BI24" s="559">
        <v>0</v>
      </c>
      <c r="BJ24" s="559">
        <v>0</v>
      </c>
      <c r="BK24" s="559">
        <v>0</v>
      </c>
      <c r="BL24" s="559">
        <v>0</v>
      </c>
      <c r="BM24" s="559">
        <v>0</v>
      </c>
      <c r="BN24" s="559">
        <v>0</v>
      </c>
      <c r="BO24" s="559"/>
      <c r="BP24" s="349">
        <v>17</v>
      </c>
      <c r="BQ24" s="349">
        <f t="shared" si="36"/>
        <v>132</v>
      </c>
      <c r="BR24" s="349">
        <f t="shared" si="37"/>
        <v>0</v>
      </c>
      <c r="BS24" s="349">
        <f t="shared" si="38"/>
        <v>72</v>
      </c>
      <c r="BT24" s="349">
        <f t="shared" si="39"/>
        <v>0</v>
      </c>
      <c r="BU24" s="349">
        <f t="shared" si="40"/>
        <v>0</v>
      </c>
      <c r="BV24" s="349">
        <f t="shared" si="41"/>
        <v>0</v>
      </c>
      <c r="BW24" s="349">
        <f t="shared" si="42"/>
        <v>0</v>
      </c>
      <c r="BX24" s="349">
        <f t="shared" si="43"/>
        <v>0</v>
      </c>
      <c r="BY24" s="349">
        <f t="shared" si="44"/>
        <v>0</v>
      </c>
      <c r="BZ24" s="349">
        <f t="shared" si="45"/>
        <v>0</v>
      </c>
      <c r="CA24" s="349">
        <f t="shared" si="46"/>
        <v>0</v>
      </c>
      <c r="CB24" s="349">
        <f t="shared" si="47"/>
        <v>0</v>
      </c>
      <c r="CC24" s="349">
        <f t="shared" si="48"/>
        <v>0</v>
      </c>
      <c r="CD24" s="349">
        <f t="shared" si="49"/>
        <v>0</v>
      </c>
      <c r="CE24" s="349">
        <f t="shared" si="50"/>
        <v>0</v>
      </c>
      <c r="CF24" s="349">
        <f t="shared" si="51"/>
        <v>0</v>
      </c>
    </row>
    <row r="25" spans="1:84" s="369" customFormat="1" ht="12.75" customHeight="1">
      <c r="A25" s="367" t="s">
        <v>140</v>
      </c>
      <c r="B25" s="558">
        <v>53</v>
      </c>
      <c r="C25" s="558">
        <v>98</v>
      </c>
      <c r="D25" s="558">
        <v>99</v>
      </c>
      <c r="E25" s="558">
        <v>85</v>
      </c>
      <c r="F25" s="558">
        <v>160</v>
      </c>
      <c r="G25" s="558">
        <v>83</v>
      </c>
      <c r="H25" s="558">
        <v>236</v>
      </c>
      <c r="I25" s="558">
        <v>144</v>
      </c>
      <c r="J25" s="558">
        <v>63</v>
      </c>
      <c r="K25" s="558">
        <v>128</v>
      </c>
      <c r="L25" s="558">
        <v>152</v>
      </c>
      <c r="M25" s="558">
        <v>124</v>
      </c>
      <c r="N25" s="558">
        <v>55</v>
      </c>
      <c r="O25" s="558">
        <v>133</v>
      </c>
      <c r="P25" s="558">
        <v>117</v>
      </c>
      <c r="Q25" s="558">
        <v>81</v>
      </c>
      <c r="R25" s="558">
        <v>70</v>
      </c>
      <c r="S25" s="558">
        <v>155</v>
      </c>
      <c r="T25" s="558">
        <v>197</v>
      </c>
      <c r="U25" s="558">
        <v>168</v>
      </c>
      <c r="V25" s="558">
        <v>207</v>
      </c>
      <c r="W25" s="558">
        <v>249</v>
      </c>
      <c r="X25" s="558">
        <v>264</v>
      </c>
      <c r="Y25" s="558">
        <v>194</v>
      </c>
      <c r="Z25" s="558">
        <v>234</v>
      </c>
      <c r="AA25" s="558">
        <v>276</v>
      </c>
      <c r="AB25" s="558">
        <v>368</v>
      </c>
      <c r="AC25" s="558">
        <v>324</v>
      </c>
      <c r="AD25" s="558">
        <v>313</v>
      </c>
      <c r="AE25" s="558">
        <v>438</v>
      </c>
      <c r="AF25" s="558">
        <v>612</v>
      </c>
      <c r="AG25" s="558">
        <v>606</v>
      </c>
      <c r="AH25" s="558">
        <v>1510</v>
      </c>
      <c r="AI25" s="558">
        <v>207</v>
      </c>
      <c r="AJ25" s="558">
        <v>239</v>
      </c>
      <c r="AK25" s="558">
        <v>509</v>
      </c>
      <c r="AL25" s="558">
        <v>733</v>
      </c>
      <c r="AM25" s="558">
        <v>358</v>
      </c>
      <c r="AN25" s="558">
        <v>435</v>
      </c>
      <c r="AO25" s="558">
        <v>582</v>
      </c>
      <c r="AP25" s="558">
        <v>767</v>
      </c>
      <c r="AQ25" s="558">
        <v>694</v>
      </c>
      <c r="AR25" s="558">
        <v>724</v>
      </c>
      <c r="AS25" s="558">
        <v>670</v>
      </c>
      <c r="AT25" s="558">
        <v>1598</v>
      </c>
      <c r="AU25" s="558">
        <v>507</v>
      </c>
      <c r="AV25" s="558">
        <v>621</v>
      </c>
      <c r="AW25" s="555">
        <f>AW84*(BS!AV$8)</f>
        <v>116.19675456389453</v>
      </c>
      <c r="AX25" s="555">
        <f>AX84*(BS!AW$8)</f>
        <v>256.68864097363087</v>
      </c>
      <c r="AY25" s="555">
        <f>AY84*(BS!AX$8)</f>
        <v>60.711836185805616</v>
      </c>
      <c r="AZ25" s="555">
        <f>AZ84*(BS!AY$8)</f>
        <v>73.89877696941528</v>
      </c>
      <c r="BA25" s="555">
        <f>BA84*(BS!AZ$8)</f>
        <v>19.416945708931756</v>
      </c>
      <c r="BB25" s="555">
        <f>BB84*(BS!BA$8)</f>
        <v>42.893705806075609</v>
      </c>
      <c r="BC25" s="555">
        <f>BC84*(BS!BB$8)</f>
        <v>10.14519236388073</v>
      </c>
      <c r="BD25" s="555">
        <f>BD84*(BS!BC$8)</f>
        <v>12.34878328363787</v>
      </c>
      <c r="BE25" s="555">
        <f>BE84*(BS!BD$8)</f>
        <v>3.2446498362076706</v>
      </c>
      <c r="BF25" s="555">
        <f>BF84*(BS!BE$8)</f>
        <v>7.1677110089463234</v>
      </c>
      <c r="BG25" s="555">
        <f>BG84*(BS!BF$8)</f>
        <v>1.6953025071609948</v>
      </c>
      <c r="BH25" s="555">
        <f>BH84*(BS!BG$8)</f>
        <v>2.0635314255520982</v>
      </c>
      <c r="BI25" s="555">
        <f>BI84*(BS!BH$8)</f>
        <v>0.54219405654308039</v>
      </c>
      <c r="BJ25" s="555">
        <f>BJ84*(BS!BI$8)</f>
        <v>1.197753379949122</v>
      </c>
      <c r="BK25" s="555">
        <f>BK84*(BS!BJ$8)</f>
        <v>0.2832918773446475</v>
      </c>
      <c r="BL25" s="555">
        <f>BL84*(BS!BK$8)</f>
        <v>0.34482441277296816</v>
      </c>
      <c r="BM25" s="555">
        <f>BM84*(BS!BL$8)</f>
        <v>9.0602810716313459E-2</v>
      </c>
      <c r="BN25" s="555">
        <f>BN84*(BS!BM$8)</f>
        <v>0.20014941414196871</v>
      </c>
      <c r="BO25" s="555"/>
      <c r="BP25" s="349">
        <v>710</v>
      </c>
      <c r="BQ25" s="349">
        <f t="shared" si="36"/>
        <v>442</v>
      </c>
      <c r="BR25" s="349">
        <f t="shared" si="37"/>
        <v>526</v>
      </c>
      <c r="BS25" s="349">
        <f t="shared" si="38"/>
        <v>459</v>
      </c>
      <c r="BT25" s="349">
        <f t="shared" si="39"/>
        <v>401</v>
      </c>
      <c r="BU25" s="349">
        <f t="shared" si="40"/>
        <v>727</v>
      </c>
      <c r="BV25" s="349">
        <f t="shared" si="41"/>
        <v>941</v>
      </c>
      <c r="BW25" s="349">
        <f t="shared" si="42"/>
        <v>1281</v>
      </c>
      <c r="BX25" s="349">
        <f t="shared" si="43"/>
        <v>3166</v>
      </c>
      <c r="BY25" s="349">
        <f t="shared" si="44"/>
        <v>1688</v>
      </c>
      <c r="BZ25" s="349">
        <f t="shared" si="45"/>
        <v>2142</v>
      </c>
      <c r="CA25" s="349">
        <f t="shared" si="46"/>
        <v>3686</v>
      </c>
      <c r="CB25" s="349">
        <f t="shared" si="47"/>
        <v>1500.8853955375253</v>
      </c>
      <c r="CC25" s="349">
        <f t="shared" si="48"/>
        <v>196.92126467022828</v>
      </c>
      <c r="CD25" s="349">
        <f t="shared" si="49"/>
        <v>32.906336492672594</v>
      </c>
      <c r="CE25" s="349">
        <f t="shared" si="50"/>
        <v>5.4987813692052949</v>
      </c>
      <c r="CF25" s="349">
        <f t="shared" si="51"/>
        <v>0.91886851497589783</v>
      </c>
    </row>
    <row r="26" spans="1:84" s="369" customFormat="1" ht="12.75" customHeight="1">
      <c r="A26" s="367" t="s">
        <v>141</v>
      </c>
      <c r="B26" s="558">
        <v>-135</v>
      </c>
      <c r="C26" s="558">
        <v>-148</v>
      </c>
      <c r="D26" s="558">
        <v>-114</v>
      </c>
      <c r="E26" s="558">
        <v>-105</v>
      </c>
      <c r="F26" s="558">
        <v>-147</v>
      </c>
      <c r="G26" s="558">
        <v>-90</v>
      </c>
      <c r="H26" s="558">
        <v>-89</v>
      </c>
      <c r="I26" s="558">
        <v>-195</v>
      </c>
      <c r="J26" s="558">
        <v>-94</v>
      </c>
      <c r="K26" s="558">
        <v>-137</v>
      </c>
      <c r="L26" s="558">
        <v>-60</v>
      </c>
      <c r="M26" s="558">
        <v>-47</v>
      </c>
      <c r="N26" s="558">
        <v>-170</v>
      </c>
      <c r="O26" s="558">
        <v>-101</v>
      </c>
      <c r="P26" s="558">
        <v>-90</v>
      </c>
      <c r="Q26" s="558">
        <v>-79</v>
      </c>
      <c r="R26" s="558">
        <v>-330</v>
      </c>
      <c r="S26" s="558">
        <v>-335</v>
      </c>
      <c r="T26" s="558">
        <v>-202</v>
      </c>
      <c r="U26" s="558">
        <v>-180</v>
      </c>
      <c r="V26" s="558">
        <v>-385</v>
      </c>
      <c r="W26" s="558">
        <v>-365</v>
      </c>
      <c r="X26" s="558">
        <v>-186</v>
      </c>
      <c r="Y26" s="558">
        <v>-176</v>
      </c>
      <c r="Z26" s="558">
        <v>-605</v>
      </c>
      <c r="AA26" s="558">
        <v>-317</v>
      </c>
      <c r="AB26" s="558">
        <v>-507</v>
      </c>
      <c r="AC26" s="558">
        <v>-548</v>
      </c>
      <c r="AD26" s="558">
        <v>-545</v>
      </c>
      <c r="AE26" s="558">
        <v>-693</v>
      </c>
      <c r="AF26" s="558">
        <v>-702</v>
      </c>
      <c r="AG26" s="558">
        <v>-617</v>
      </c>
      <c r="AH26" s="558">
        <v>-275</v>
      </c>
      <c r="AI26" s="558">
        <v>-228</v>
      </c>
      <c r="AJ26" s="558">
        <v>-801</v>
      </c>
      <c r="AK26" s="558">
        <v>-115</v>
      </c>
      <c r="AL26" s="558">
        <v>-198</v>
      </c>
      <c r="AM26" s="558">
        <v>-1263</v>
      </c>
      <c r="AN26" s="558">
        <v>-721</v>
      </c>
      <c r="AO26" s="558">
        <v>-637</v>
      </c>
      <c r="AP26" s="558">
        <v>-738</v>
      </c>
      <c r="AQ26" s="558">
        <v>-664</v>
      </c>
      <c r="AR26" s="558">
        <v>-752</v>
      </c>
      <c r="AS26" s="558">
        <v>-640</v>
      </c>
      <c r="AT26" s="558">
        <v>-772</v>
      </c>
      <c r="AU26" s="558">
        <v>-285</v>
      </c>
      <c r="AV26" s="558">
        <v>-84</v>
      </c>
      <c r="AW26" s="555">
        <f>AW85*(BS!AV$8)</f>
        <v>-85.5</v>
      </c>
      <c r="AX26" s="555">
        <f>AX85*(BS!AW$8)</f>
        <v>-77.825811359026375</v>
      </c>
      <c r="AY26" s="555">
        <f>AY85*(BS!AX$8)</f>
        <v>-33.110103955375251</v>
      </c>
      <c r="AZ26" s="555">
        <f>AZ85*(BS!AY$8)</f>
        <v>-26.209670897767658</v>
      </c>
      <c r="BA26" s="555">
        <f>BA85*(BS!AZ$8)</f>
        <v>-14.287394379855755</v>
      </c>
      <c r="BB26" s="555">
        <f>BB85*(BS!BA$8)</f>
        <v>-13.005006547586754</v>
      </c>
      <c r="BC26" s="555">
        <f>BC85*(BS!BB$8)</f>
        <v>-5.5328317329645404</v>
      </c>
      <c r="BD26" s="555">
        <f>BD85*(BS!BC$8)</f>
        <v>-4.3797415752354922</v>
      </c>
      <c r="BE26" s="555">
        <f>BE85*(BS!BD$8)</f>
        <v>-2.3874811481348979</v>
      </c>
      <c r="BF26" s="555">
        <f>BF85*(BS!BE$8)</f>
        <v>-2.1731889761167045</v>
      </c>
      <c r="BG26" s="555">
        <f>BG85*(BS!BF$8)</f>
        <v>-0.92455846790929996</v>
      </c>
      <c r="BH26" s="555">
        <f>BH85*(BS!BG$8)</f>
        <v>-0.73187245809637624</v>
      </c>
      <c r="BI26" s="555">
        <f>BI85*(BS!BH$8)</f>
        <v>-0.39895771623244569</v>
      </c>
      <c r="BJ26" s="555">
        <f>BJ85*(BS!BI$8)</f>
        <v>-0.36314863115478702</v>
      </c>
      <c r="BK26" s="555">
        <f>BK85*(BS!BJ$8)</f>
        <v>-0.15449744395620324</v>
      </c>
      <c r="BL26" s="555">
        <f>BL85*(BS!BK$8)</f>
        <v>-0.12229883560909217</v>
      </c>
      <c r="BM26" s="555">
        <f>BM85*(BS!BL$8)</f>
        <v>-6.6667441318123188E-2</v>
      </c>
      <c r="BN26" s="555">
        <f>BN85*(BS!BM$8)</f>
        <v>-6.0683598968575621E-2</v>
      </c>
      <c r="BO26" s="555"/>
      <c r="BP26" s="349">
        <v>-611</v>
      </c>
      <c r="BQ26" s="349">
        <f t="shared" si="36"/>
        <v>-514</v>
      </c>
      <c r="BR26" s="349">
        <f t="shared" si="37"/>
        <v>-468</v>
      </c>
      <c r="BS26" s="349">
        <f t="shared" si="38"/>
        <v>-414</v>
      </c>
      <c r="BT26" s="349">
        <f t="shared" si="39"/>
        <v>-600</v>
      </c>
      <c r="BU26" s="349">
        <f t="shared" si="40"/>
        <v>-1102</v>
      </c>
      <c r="BV26" s="349">
        <f t="shared" si="41"/>
        <v>-1332</v>
      </c>
      <c r="BW26" s="349">
        <f t="shared" si="42"/>
        <v>-1917</v>
      </c>
      <c r="BX26" s="349">
        <f t="shared" si="43"/>
        <v>-2287</v>
      </c>
      <c r="BY26" s="349">
        <f t="shared" si="44"/>
        <v>-1342</v>
      </c>
      <c r="BZ26" s="349">
        <f t="shared" si="45"/>
        <v>-3359</v>
      </c>
      <c r="CA26" s="349">
        <f t="shared" si="46"/>
        <v>-2828</v>
      </c>
      <c r="CB26" s="349">
        <f t="shared" si="47"/>
        <v>-532.32581135902637</v>
      </c>
      <c r="CC26" s="349">
        <f t="shared" si="48"/>
        <v>-86.612175780585432</v>
      </c>
      <c r="CD26" s="349">
        <f t="shared" si="49"/>
        <v>-14.473243432451635</v>
      </c>
      <c r="CE26" s="349">
        <f t="shared" si="50"/>
        <v>-2.4185372733929089</v>
      </c>
      <c r="CF26" s="349">
        <f t="shared" si="51"/>
        <v>-0.4041473198519942</v>
      </c>
    </row>
    <row r="27" spans="1:84" s="369" customFormat="1" ht="12.75" customHeight="1">
      <c r="A27" s="367" t="s">
        <v>142</v>
      </c>
      <c r="B27" s="558">
        <v>0</v>
      </c>
      <c r="C27" s="558">
        <v>0</v>
      </c>
      <c r="D27" s="558">
        <v>0</v>
      </c>
      <c r="E27" s="558">
        <v>0</v>
      </c>
      <c r="F27" s="558">
        <v>0</v>
      </c>
      <c r="G27" s="558">
        <v>0</v>
      </c>
      <c r="H27" s="558">
        <v>0</v>
      </c>
      <c r="I27" s="558">
        <v>0</v>
      </c>
      <c r="J27" s="558">
        <v>75</v>
      </c>
      <c r="K27" s="558">
        <v>0</v>
      </c>
      <c r="L27" s="558">
        <v>25</v>
      </c>
      <c r="M27" s="558">
        <v>0</v>
      </c>
      <c r="N27" s="558">
        <v>6</v>
      </c>
      <c r="O27" s="558">
        <v>0</v>
      </c>
      <c r="P27" s="558">
        <v>0</v>
      </c>
      <c r="Q27" s="558">
        <v>0</v>
      </c>
      <c r="R27" s="558">
        <v>0</v>
      </c>
      <c r="S27" s="558">
        <v>0</v>
      </c>
      <c r="T27" s="558">
        <v>0</v>
      </c>
      <c r="U27" s="558">
        <v>0</v>
      </c>
      <c r="V27" s="558">
        <v>0</v>
      </c>
      <c r="W27" s="558">
        <v>0</v>
      </c>
      <c r="X27" s="558">
        <v>0</v>
      </c>
      <c r="Y27" s="558">
        <v>0</v>
      </c>
      <c r="Z27" s="558">
        <v>0</v>
      </c>
      <c r="AA27" s="558">
        <v>0</v>
      </c>
      <c r="AB27" s="558">
        <v>0</v>
      </c>
      <c r="AC27" s="558">
        <v>0</v>
      </c>
      <c r="AD27" s="558">
        <v>0</v>
      </c>
      <c r="AE27" s="558">
        <v>0</v>
      </c>
      <c r="AF27" s="558">
        <v>0</v>
      </c>
      <c r="AG27" s="558">
        <v>0</v>
      </c>
      <c r="AH27" s="558">
        <v>0</v>
      </c>
      <c r="AI27" s="558">
        <v>0</v>
      </c>
      <c r="AJ27" s="558">
        <v>0</v>
      </c>
      <c r="AK27" s="558">
        <v>0</v>
      </c>
      <c r="AL27" s="558">
        <v>0</v>
      </c>
      <c r="AM27" s="558">
        <v>0</v>
      </c>
      <c r="AN27" s="558">
        <v>0</v>
      </c>
      <c r="AO27" s="558">
        <v>0</v>
      </c>
      <c r="AP27" s="558">
        <v>0</v>
      </c>
      <c r="AQ27" s="558">
        <v>0</v>
      </c>
      <c r="AR27" s="558">
        <v>0</v>
      </c>
      <c r="AS27" s="558">
        <v>0</v>
      </c>
      <c r="AT27" s="558">
        <v>-1239</v>
      </c>
      <c r="AU27" s="558">
        <v>0</v>
      </c>
      <c r="AV27" s="558">
        <v>0</v>
      </c>
      <c r="AW27" s="559">
        <v>0</v>
      </c>
      <c r="AX27" s="559">
        <v>0</v>
      </c>
      <c r="AY27" s="559">
        <v>0</v>
      </c>
      <c r="AZ27" s="559">
        <v>0</v>
      </c>
      <c r="BA27" s="559">
        <v>0</v>
      </c>
      <c r="BB27" s="559">
        <v>0</v>
      </c>
      <c r="BC27" s="559">
        <v>0</v>
      </c>
      <c r="BD27" s="559">
        <v>0</v>
      </c>
      <c r="BE27" s="559">
        <v>0</v>
      </c>
      <c r="BF27" s="559">
        <v>0</v>
      </c>
      <c r="BG27" s="559">
        <v>0</v>
      </c>
      <c r="BH27" s="559">
        <v>0</v>
      </c>
      <c r="BI27" s="559">
        <v>0</v>
      </c>
      <c r="BJ27" s="559">
        <v>0</v>
      </c>
      <c r="BK27" s="559">
        <v>0</v>
      </c>
      <c r="BL27" s="559">
        <v>0</v>
      </c>
      <c r="BM27" s="559">
        <v>0</v>
      </c>
      <c r="BN27" s="559">
        <v>0</v>
      </c>
      <c r="BO27" s="559"/>
      <c r="BP27" s="349">
        <v>-100</v>
      </c>
      <c r="BQ27" s="349">
        <f t="shared" si="36"/>
        <v>0</v>
      </c>
      <c r="BR27" s="349">
        <f t="shared" si="37"/>
        <v>75</v>
      </c>
      <c r="BS27" s="349">
        <f t="shared" si="38"/>
        <v>31</v>
      </c>
      <c r="BT27" s="349">
        <f t="shared" si="39"/>
        <v>0</v>
      </c>
      <c r="BU27" s="349">
        <f t="shared" si="40"/>
        <v>0</v>
      </c>
      <c r="BV27" s="349">
        <f t="shared" si="41"/>
        <v>0</v>
      </c>
      <c r="BW27" s="349">
        <f t="shared" si="42"/>
        <v>0</v>
      </c>
      <c r="BX27" s="349">
        <f t="shared" si="43"/>
        <v>0</v>
      </c>
      <c r="BY27" s="349">
        <f t="shared" si="44"/>
        <v>0</v>
      </c>
      <c r="BZ27" s="349">
        <f t="shared" si="45"/>
        <v>0</v>
      </c>
      <c r="CA27" s="349">
        <f t="shared" si="46"/>
        <v>-1239</v>
      </c>
      <c r="CB27" s="349">
        <f t="shared" si="47"/>
        <v>0</v>
      </c>
      <c r="CC27" s="349">
        <f t="shared" si="48"/>
        <v>0</v>
      </c>
      <c r="CD27" s="349">
        <f t="shared" si="49"/>
        <v>0</v>
      </c>
      <c r="CE27" s="349">
        <f t="shared" si="50"/>
        <v>0</v>
      </c>
      <c r="CF27" s="349">
        <f t="shared" si="51"/>
        <v>0</v>
      </c>
    </row>
    <row r="28" spans="1:84" s="369" customFormat="1" ht="12.75" customHeight="1">
      <c r="A28" s="367" t="s">
        <v>143</v>
      </c>
      <c r="B28" s="558">
        <v>-4</v>
      </c>
      <c r="C28" s="558">
        <v>0</v>
      </c>
      <c r="D28" s="558">
        <v>0</v>
      </c>
      <c r="E28" s="558">
        <v>-16</v>
      </c>
      <c r="F28" s="558">
        <v>0</v>
      </c>
      <c r="G28" s="558">
        <v>-25</v>
      </c>
      <c r="H28" s="558">
        <v>-632</v>
      </c>
      <c r="I28" s="558">
        <v>-19</v>
      </c>
      <c r="J28" s="558">
        <v>0</v>
      </c>
      <c r="K28" s="558">
        <v>0</v>
      </c>
      <c r="L28" s="558">
        <v>-10</v>
      </c>
      <c r="M28" s="558">
        <v>0</v>
      </c>
      <c r="N28" s="558">
        <v>0</v>
      </c>
      <c r="O28" s="558">
        <v>-5</v>
      </c>
      <c r="P28" s="558">
        <v>0</v>
      </c>
      <c r="Q28" s="558">
        <v>0</v>
      </c>
      <c r="R28" s="558">
        <v>0</v>
      </c>
      <c r="S28" s="558">
        <v>0</v>
      </c>
      <c r="T28" s="558">
        <v>0</v>
      </c>
      <c r="U28" s="558">
        <v>0</v>
      </c>
      <c r="V28" s="558">
        <v>0</v>
      </c>
      <c r="W28" s="558">
        <v>0</v>
      </c>
      <c r="X28" s="558">
        <v>0</v>
      </c>
      <c r="Y28" s="558">
        <v>0</v>
      </c>
      <c r="Z28" s="558">
        <v>0</v>
      </c>
      <c r="AA28" s="558">
        <v>0</v>
      </c>
      <c r="AB28" s="558">
        <v>0</v>
      </c>
      <c r="AC28" s="558">
        <v>0</v>
      </c>
      <c r="AD28" s="558">
        <v>0</v>
      </c>
      <c r="AE28" s="558">
        <v>0</v>
      </c>
      <c r="AF28" s="558">
        <v>0</v>
      </c>
      <c r="AG28" s="558">
        <v>-150</v>
      </c>
      <c r="AH28" s="558">
        <v>0</v>
      </c>
      <c r="AI28" s="558">
        <v>-50</v>
      </c>
      <c r="AJ28" s="558">
        <v>-8</v>
      </c>
      <c r="AK28" s="558">
        <v>0</v>
      </c>
      <c r="AL28" s="558">
        <v>0</v>
      </c>
      <c r="AM28" s="558">
        <v>0</v>
      </c>
      <c r="AN28" s="558">
        <v>0</v>
      </c>
      <c r="AO28" s="558">
        <v>0</v>
      </c>
      <c r="AP28" s="558">
        <v>0</v>
      </c>
      <c r="AQ28" s="558">
        <v>0</v>
      </c>
      <c r="AR28" s="558">
        <v>0</v>
      </c>
      <c r="AS28" s="558">
        <v>0</v>
      </c>
      <c r="AT28" s="558">
        <v>0</v>
      </c>
      <c r="AU28" s="558">
        <v>-1989</v>
      </c>
      <c r="AV28" s="558">
        <v>-1405</v>
      </c>
      <c r="AW28" s="559">
        <v>0</v>
      </c>
      <c r="AX28" s="559">
        <v>0</v>
      </c>
      <c r="AY28" s="559">
        <v>0</v>
      </c>
      <c r="AZ28" s="559">
        <v>0</v>
      </c>
      <c r="BA28" s="559">
        <v>0</v>
      </c>
      <c r="BB28" s="559">
        <v>0</v>
      </c>
      <c r="BC28" s="559">
        <v>0</v>
      </c>
      <c r="BD28" s="559">
        <v>0</v>
      </c>
      <c r="BE28" s="559">
        <v>0</v>
      </c>
      <c r="BF28" s="559">
        <v>0</v>
      </c>
      <c r="BG28" s="559">
        <v>0</v>
      </c>
      <c r="BH28" s="559">
        <v>0</v>
      </c>
      <c r="BI28" s="559">
        <v>0</v>
      </c>
      <c r="BJ28" s="559">
        <v>0</v>
      </c>
      <c r="BK28" s="559">
        <v>0</v>
      </c>
      <c r="BL28" s="559">
        <v>0</v>
      </c>
      <c r="BM28" s="559">
        <v>0</v>
      </c>
      <c r="BN28" s="559">
        <v>0</v>
      </c>
      <c r="BO28" s="559"/>
      <c r="BP28" s="349">
        <v>-283</v>
      </c>
      <c r="BQ28" s="349">
        <f t="shared" si="36"/>
        <v>-16</v>
      </c>
      <c r="BR28" s="349">
        <f t="shared" si="37"/>
        <v>-676</v>
      </c>
      <c r="BS28" s="349">
        <f t="shared" si="38"/>
        <v>-10</v>
      </c>
      <c r="BT28" s="349">
        <f t="shared" si="39"/>
        <v>-5</v>
      </c>
      <c r="BU28" s="349">
        <f t="shared" si="40"/>
        <v>0</v>
      </c>
      <c r="BV28" s="349">
        <f t="shared" si="41"/>
        <v>0</v>
      </c>
      <c r="BW28" s="349">
        <f t="shared" si="42"/>
        <v>0</v>
      </c>
      <c r="BX28" s="349">
        <f t="shared" si="43"/>
        <v>-150</v>
      </c>
      <c r="BY28" s="349">
        <f t="shared" si="44"/>
        <v>-58</v>
      </c>
      <c r="BZ28" s="349">
        <f t="shared" si="45"/>
        <v>0</v>
      </c>
      <c r="CA28" s="349">
        <f t="shared" si="46"/>
        <v>0</v>
      </c>
      <c r="CB28" s="349">
        <f t="shared" si="47"/>
        <v>-3394</v>
      </c>
      <c r="CC28" s="349">
        <f t="shared" si="48"/>
        <v>0</v>
      </c>
      <c r="CD28" s="349">
        <f t="shared" si="49"/>
        <v>0</v>
      </c>
      <c r="CE28" s="349">
        <f t="shared" si="50"/>
        <v>0</v>
      </c>
      <c r="CF28" s="349">
        <f t="shared" si="51"/>
        <v>0</v>
      </c>
    </row>
    <row r="29" spans="1:84" s="565" customFormat="1" ht="12.75" customHeight="1">
      <c r="A29" s="562" t="s">
        <v>67</v>
      </c>
      <c r="B29" s="563">
        <f t="shared" ref="B29:AG29" si="52">SUM(B22:B28)</f>
        <v>-101</v>
      </c>
      <c r="C29" s="563">
        <f t="shared" si="52"/>
        <v>-53</v>
      </c>
      <c r="D29" s="563">
        <f t="shared" si="52"/>
        <v>97</v>
      </c>
      <c r="E29" s="563">
        <f t="shared" si="52"/>
        <v>-51</v>
      </c>
      <c r="F29" s="563">
        <f t="shared" si="52"/>
        <v>-8</v>
      </c>
      <c r="G29" s="563">
        <f t="shared" si="52"/>
        <v>-64</v>
      </c>
      <c r="H29" s="563">
        <f t="shared" si="52"/>
        <v>-511</v>
      </c>
      <c r="I29" s="563">
        <f t="shared" si="52"/>
        <v>-114</v>
      </c>
      <c r="J29" s="563">
        <f t="shared" si="52"/>
        <v>0</v>
      </c>
      <c r="K29" s="563">
        <f t="shared" si="52"/>
        <v>-40</v>
      </c>
      <c r="L29" s="563">
        <f t="shared" si="52"/>
        <v>82</v>
      </c>
      <c r="M29" s="563">
        <f t="shared" si="52"/>
        <v>77</v>
      </c>
      <c r="N29" s="563">
        <f t="shared" si="52"/>
        <v>-87</v>
      </c>
      <c r="O29" s="563">
        <f t="shared" si="52"/>
        <v>-2</v>
      </c>
      <c r="P29" s="563">
        <f t="shared" si="52"/>
        <v>3</v>
      </c>
      <c r="Q29" s="563">
        <f t="shared" si="52"/>
        <v>-26</v>
      </c>
      <c r="R29" s="563">
        <f t="shared" si="52"/>
        <v>-276</v>
      </c>
      <c r="S29" s="563">
        <f t="shared" si="52"/>
        <v>-207</v>
      </c>
      <c r="T29" s="563">
        <f t="shared" si="52"/>
        <v>-26</v>
      </c>
      <c r="U29" s="563">
        <f t="shared" si="52"/>
        <v>-27</v>
      </c>
      <c r="V29" s="563">
        <f t="shared" si="52"/>
        <v>-210</v>
      </c>
      <c r="W29" s="563">
        <f t="shared" si="52"/>
        <v>-140</v>
      </c>
      <c r="X29" s="563">
        <f t="shared" si="52"/>
        <v>60</v>
      </c>
      <c r="Y29" s="563">
        <f t="shared" si="52"/>
        <v>-3</v>
      </c>
      <c r="Z29" s="563">
        <f t="shared" si="52"/>
        <v>-401</v>
      </c>
      <c r="AA29" s="563">
        <f t="shared" si="52"/>
        <v>-81</v>
      </c>
      <c r="AB29" s="563">
        <f t="shared" si="52"/>
        <v>-168</v>
      </c>
      <c r="AC29" s="563">
        <f t="shared" si="52"/>
        <v>-249</v>
      </c>
      <c r="AD29" s="563">
        <f t="shared" si="52"/>
        <v>-261</v>
      </c>
      <c r="AE29" s="563">
        <f t="shared" si="52"/>
        <v>-288</v>
      </c>
      <c r="AF29" s="563">
        <f t="shared" si="52"/>
        <v>-120</v>
      </c>
      <c r="AG29" s="563">
        <f t="shared" si="52"/>
        <v>-185</v>
      </c>
      <c r="AH29" s="563">
        <f t="shared" ref="AH29:BM29" si="53">SUM(AH22:AH28)</f>
        <v>1215</v>
      </c>
      <c r="AI29" s="563">
        <f t="shared" si="53"/>
        <v>-103</v>
      </c>
      <c r="AJ29" s="563">
        <f t="shared" si="53"/>
        <v>-601</v>
      </c>
      <c r="AK29" s="563">
        <f t="shared" si="53"/>
        <v>373</v>
      </c>
      <c r="AL29" s="563">
        <f t="shared" si="53"/>
        <v>500</v>
      </c>
      <c r="AM29" s="563">
        <f t="shared" si="53"/>
        <v>-950</v>
      </c>
      <c r="AN29" s="563">
        <f t="shared" si="53"/>
        <v>-313</v>
      </c>
      <c r="AO29" s="563">
        <f t="shared" si="53"/>
        <v>-83</v>
      </c>
      <c r="AP29" s="563">
        <f t="shared" si="53"/>
        <v>-11</v>
      </c>
      <c r="AQ29" s="563">
        <f t="shared" si="53"/>
        <v>-8</v>
      </c>
      <c r="AR29" s="563">
        <f t="shared" si="53"/>
        <v>-53</v>
      </c>
      <c r="AS29" s="563">
        <f t="shared" si="53"/>
        <v>0</v>
      </c>
      <c r="AT29" s="563">
        <f t="shared" si="53"/>
        <v>-444</v>
      </c>
      <c r="AU29" s="563">
        <f t="shared" si="53"/>
        <v>-1811</v>
      </c>
      <c r="AV29" s="563">
        <f t="shared" si="53"/>
        <v>-911</v>
      </c>
      <c r="AW29" s="563">
        <f t="shared" si="53"/>
        <v>-22.32943204231438</v>
      </c>
      <c r="AX29" s="563">
        <f t="shared" si="53"/>
        <v>92.133802130856338</v>
      </c>
      <c r="AY29" s="563">
        <f t="shared" si="53"/>
        <v>-19.035846821029118</v>
      </c>
      <c r="AZ29" s="563">
        <f t="shared" si="53"/>
        <v>-0.35570223596006656</v>
      </c>
      <c r="BA29" s="563">
        <f t="shared" si="53"/>
        <v>-39.250006323645493</v>
      </c>
      <c r="BB29" s="563">
        <f t="shared" si="53"/>
        <v>-12.764299415558549</v>
      </c>
      <c r="BC29" s="563">
        <f t="shared" si="53"/>
        <v>-43.084778979401293</v>
      </c>
      <c r="BD29" s="563">
        <f t="shared" si="53"/>
        <v>-41.577861084241661</v>
      </c>
      <c r="BE29" s="563">
        <f t="shared" si="53"/>
        <v>-45.5374743210159</v>
      </c>
      <c r="BF29" s="563">
        <f t="shared" si="53"/>
        <v>-39.632356880674152</v>
      </c>
      <c r="BG29" s="563">
        <f t="shared" si="53"/>
        <v>-48.836078837072456</v>
      </c>
      <c r="BH29" s="563">
        <f t="shared" si="53"/>
        <v>-55.320707820766508</v>
      </c>
      <c r="BI29" s="563">
        <f t="shared" si="53"/>
        <v>-51.478109535780774</v>
      </c>
      <c r="BJ29" s="563">
        <f t="shared" si="53"/>
        <v>-47.902588591391698</v>
      </c>
      <c r="BK29" s="563">
        <f t="shared" si="53"/>
        <v>-53.039473258253558</v>
      </c>
      <c r="BL29" s="563">
        <f t="shared" si="53"/>
        <v>-54.798207295582976</v>
      </c>
      <c r="BM29" s="563">
        <f t="shared" si="53"/>
        <v>-52.779008328020602</v>
      </c>
      <c r="BN29" s="563">
        <f>SUM(BN22:BN28)</f>
        <v>-50.230685480867685</v>
      </c>
      <c r="BO29" s="563"/>
      <c r="BP29" s="564">
        <v>-572</v>
      </c>
      <c r="BQ29" s="564">
        <f>SUM(C29:F29)</f>
        <v>-15</v>
      </c>
      <c r="BR29" s="564">
        <f>SUM(G29:J29)</f>
        <v>-689</v>
      </c>
      <c r="BS29" s="564">
        <f>SUM(K29:N29)</f>
        <v>32</v>
      </c>
      <c r="BT29" s="564">
        <f>SUM(O29:R29)</f>
        <v>-301</v>
      </c>
      <c r="BU29" s="564">
        <f>SUM(S29:V29)</f>
        <v>-470</v>
      </c>
      <c r="BV29" s="564">
        <f>SUM(W29:Z29)</f>
        <v>-484</v>
      </c>
      <c r="BW29" s="564">
        <f>SUM(AA29:AD29)</f>
        <v>-759</v>
      </c>
      <c r="BX29" s="564">
        <f>SUM(AE29:AH29)</f>
        <v>622</v>
      </c>
      <c r="BY29" s="564">
        <f>SUM(AI29:AL29)</f>
        <v>169</v>
      </c>
      <c r="BZ29" s="564">
        <f>SUM(AM29:AP29)</f>
        <v>-1357</v>
      </c>
      <c r="CA29" s="564">
        <f>SUM(AQ29:AT29)</f>
        <v>-505</v>
      </c>
      <c r="CB29" s="564">
        <f>SUM(AU29:AX29)</f>
        <v>-2652.1956299114581</v>
      </c>
      <c r="CC29" s="564">
        <f>SUM(AY29:BB29)</f>
        <v>-71.405854796193225</v>
      </c>
      <c r="CD29" s="564">
        <f>SUM(BC29:BF29)</f>
        <v>-169.83247126533303</v>
      </c>
      <c r="CE29" s="564">
        <f>SUM(BG29:BJ29)</f>
        <v>-203.53748478501143</v>
      </c>
      <c r="CF29" s="564">
        <f>SUM(BK29:BN29)</f>
        <v>-210.84737436272482</v>
      </c>
    </row>
    <row r="30" spans="1:84" ht="12.75" customHeight="1">
      <c r="A30" s="566"/>
      <c r="B30" s="567"/>
      <c r="C30" s="567"/>
      <c r="D30" s="567"/>
      <c r="E30" s="567"/>
      <c r="F30" s="567"/>
      <c r="G30" s="567"/>
      <c r="H30" s="567"/>
      <c r="I30" s="567"/>
      <c r="J30" s="567"/>
      <c r="K30" s="567"/>
      <c r="L30" s="567"/>
      <c r="M30" s="567"/>
      <c r="N30" s="567"/>
      <c r="O30" s="567"/>
      <c r="P30" s="567"/>
      <c r="Q30" s="567"/>
      <c r="R30" s="567"/>
      <c r="S30" s="567"/>
      <c r="T30" s="567"/>
      <c r="U30" s="567"/>
      <c r="V30" s="567"/>
      <c r="W30" s="567"/>
      <c r="X30" s="567"/>
      <c r="Y30" s="567"/>
      <c r="Z30" s="567"/>
      <c r="AA30" s="567"/>
      <c r="AB30" s="567"/>
      <c r="AC30" s="567"/>
      <c r="AD30" s="567"/>
      <c r="AE30" s="567"/>
      <c r="AF30" s="567"/>
      <c r="AG30" s="567"/>
      <c r="AH30" s="567"/>
      <c r="AI30" s="567"/>
      <c r="AJ30" s="567"/>
      <c r="AK30" s="567"/>
      <c r="AL30" s="567"/>
      <c r="AM30" s="567"/>
      <c r="AN30" s="567"/>
      <c r="AO30" s="567"/>
      <c r="AP30" s="567"/>
      <c r="AQ30" s="567"/>
      <c r="AR30" s="567"/>
      <c r="AS30" s="567"/>
      <c r="AT30" s="567"/>
      <c r="AU30" s="567"/>
      <c r="AV30" s="567"/>
      <c r="AW30" s="567"/>
      <c r="AX30" s="567"/>
      <c r="AY30" s="567"/>
      <c r="AZ30" s="567"/>
      <c r="BA30" s="567"/>
      <c r="BB30" s="567"/>
      <c r="BC30" s="567"/>
      <c r="BD30" s="567"/>
      <c r="BE30" s="567"/>
      <c r="BF30" s="567"/>
      <c r="BG30" s="567"/>
      <c r="BH30" s="567"/>
      <c r="BI30" s="567"/>
      <c r="BJ30" s="567"/>
      <c r="BK30" s="567"/>
      <c r="BL30" s="567"/>
      <c r="BM30" s="567"/>
      <c r="BN30" s="567"/>
      <c r="BO30" s="567"/>
      <c r="BP30" s="569"/>
      <c r="BQ30" s="569"/>
      <c r="BR30" s="569"/>
      <c r="BS30" s="569"/>
      <c r="BT30" s="569"/>
      <c r="BU30" s="569"/>
      <c r="BV30" s="569"/>
      <c r="BW30" s="569"/>
      <c r="BX30" s="569"/>
      <c r="BY30" s="569"/>
      <c r="BZ30" s="569"/>
      <c r="CA30" s="569"/>
      <c r="CB30" s="569"/>
      <c r="CC30" s="569"/>
      <c r="CD30" s="569"/>
      <c r="CE30" s="569"/>
      <c r="CF30" s="569"/>
    </row>
    <row r="31" spans="1:84" s="369" customFormat="1" ht="12.75" customHeight="1">
      <c r="A31" s="367" t="s">
        <v>144</v>
      </c>
      <c r="B31" s="558">
        <v>0</v>
      </c>
      <c r="C31" s="558">
        <v>0</v>
      </c>
      <c r="D31" s="558">
        <v>0</v>
      </c>
      <c r="E31" s="558">
        <v>0</v>
      </c>
      <c r="F31" s="558">
        <v>0</v>
      </c>
      <c r="G31" s="558">
        <v>0</v>
      </c>
      <c r="H31" s="558">
        <v>0</v>
      </c>
      <c r="I31" s="558">
        <v>0</v>
      </c>
      <c r="J31" s="558">
        <v>0</v>
      </c>
      <c r="K31" s="558">
        <v>0</v>
      </c>
      <c r="L31" s="558">
        <v>-2</v>
      </c>
      <c r="M31" s="558">
        <v>0</v>
      </c>
      <c r="N31" s="558">
        <v>0</v>
      </c>
      <c r="O31" s="558">
        <v>0</v>
      </c>
      <c r="P31" s="558">
        <v>0</v>
      </c>
      <c r="Q31" s="558">
        <v>0</v>
      </c>
      <c r="R31" s="558">
        <v>0</v>
      </c>
      <c r="S31" s="558">
        <v>0</v>
      </c>
      <c r="T31" s="558">
        <v>0</v>
      </c>
      <c r="U31" s="558">
        <v>0</v>
      </c>
      <c r="V31" s="558">
        <v>0</v>
      </c>
      <c r="W31" s="558">
        <v>0</v>
      </c>
      <c r="X31" s="558">
        <v>0</v>
      </c>
      <c r="Y31" s="558">
        <v>0</v>
      </c>
      <c r="Z31" s="558">
        <v>0</v>
      </c>
      <c r="AA31" s="558">
        <v>0</v>
      </c>
      <c r="AB31" s="558">
        <v>0</v>
      </c>
      <c r="AC31" s="558">
        <v>0</v>
      </c>
      <c r="AD31" s="558">
        <v>0</v>
      </c>
      <c r="AE31" s="558">
        <v>0</v>
      </c>
      <c r="AF31" s="558">
        <v>0</v>
      </c>
      <c r="AG31" s="558">
        <v>0</v>
      </c>
      <c r="AH31" s="558">
        <v>0</v>
      </c>
      <c r="AI31" s="558">
        <v>0</v>
      </c>
      <c r="AJ31" s="558">
        <v>0</v>
      </c>
      <c r="AK31" s="558">
        <v>0</v>
      </c>
      <c r="AL31" s="558">
        <v>0</v>
      </c>
      <c r="AM31" s="558">
        <v>0</v>
      </c>
      <c r="AN31" s="558">
        <v>0</v>
      </c>
      <c r="AO31" s="558">
        <v>0</v>
      </c>
      <c r="AP31" s="558">
        <v>0</v>
      </c>
      <c r="AQ31" s="558">
        <v>0</v>
      </c>
      <c r="AR31" s="558">
        <v>0</v>
      </c>
      <c r="AS31" s="558">
        <v>0</v>
      </c>
      <c r="AT31" s="558">
        <v>0</v>
      </c>
      <c r="AU31" s="558">
        <v>0</v>
      </c>
      <c r="AV31" s="558">
        <v>0</v>
      </c>
      <c r="AW31" s="555">
        <f>Debt!AW21</f>
        <v>0</v>
      </c>
      <c r="AX31" s="555">
        <f>Debt!AX21</f>
        <v>0</v>
      </c>
      <c r="AY31" s="555">
        <f>Debt!AY21</f>
        <v>0</v>
      </c>
      <c r="AZ31" s="555">
        <f>Debt!AZ21</f>
        <v>0</v>
      </c>
      <c r="BA31" s="555">
        <f>Debt!BA21</f>
        <v>0</v>
      </c>
      <c r="BB31" s="555">
        <f>Debt!BB21</f>
        <v>0</v>
      </c>
      <c r="BC31" s="555">
        <f>Debt!BC21</f>
        <v>0</v>
      </c>
      <c r="BD31" s="555">
        <f>Debt!BD21</f>
        <v>0</v>
      </c>
      <c r="BE31" s="555">
        <f>Debt!BE21</f>
        <v>0</v>
      </c>
      <c r="BF31" s="555">
        <f>Debt!BF21</f>
        <v>0</v>
      </c>
      <c r="BG31" s="555">
        <f>Debt!BG21</f>
        <v>0</v>
      </c>
      <c r="BH31" s="555">
        <f>Debt!BH21</f>
        <v>0</v>
      </c>
      <c r="BI31" s="555">
        <f>Debt!BI21</f>
        <v>0</v>
      </c>
      <c r="BJ31" s="555">
        <f>Debt!BJ21</f>
        <v>0</v>
      </c>
      <c r="BK31" s="555">
        <f>Debt!BK21</f>
        <v>0</v>
      </c>
      <c r="BL31" s="555">
        <f>Debt!BL21</f>
        <v>0</v>
      </c>
      <c r="BM31" s="555">
        <f>Debt!BM21</f>
        <v>0</v>
      </c>
      <c r="BN31" s="555">
        <f>Debt!BN21</f>
        <v>0</v>
      </c>
      <c r="BO31" s="555"/>
      <c r="BP31" s="349">
        <v>0</v>
      </c>
      <c r="BQ31" s="349">
        <f t="shared" ref="BQ31:BQ40" si="54">SUM(C31:F31)</f>
        <v>0</v>
      </c>
      <c r="BR31" s="349">
        <f t="shared" ref="BR31:BR40" si="55">SUM(G31:J31)</f>
        <v>0</v>
      </c>
      <c r="BS31" s="349">
        <f t="shared" ref="BS31:BS40" si="56">SUM(K31:N31)</f>
        <v>-2</v>
      </c>
      <c r="BT31" s="349">
        <f t="shared" ref="BT31:BT40" si="57">SUM(O31:R31)</f>
        <v>0</v>
      </c>
      <c r="BU31" s="349">
        <f t="shared" ref="BU31:BU40" si="58">SUM(S31:V31)</f>
        <v>0</v>
      </c>
      <c r="BV31" s="349">
        <f t="shared" ref="BV31:BV40" si="59">SUM(W31:Z31)</f>
        <v>0</v>
      </c>
      <c r="BW31" s="349">
        <f t="shared" ref="BW31:BW40" si="60">SUM(AA31:AD31)</f>
        <v>0</v>
      </c>
      <c r="BX31" s="349">
        <f t="shared" ref="BX31:BX40" si="61">SUM(AE31:AH31)</f>
        <v>0</v>
      </c>
      <c r="BY31" s="349">
        <f t="shared" ref="BY31:BY40" si="62">SUM(AI31:AL31)</f>
        <v>0</v>
      </c>
      <c r="BZ31" s="349">
        <f t="shared" ref="BZ31:BZ40" si="63">SUM(AM31:AP31)</f>
        <v>0</v>
      </c>
      <c r="CA31" s="349">
        <f t="shared" ref="CA31:CA40" si="64">SUM(AQ31:AT31)</f>
        <v>0</v>
      </c>
      <c r="CB31" s="349">
        <f t="shared" ref="CB31:CB40" si="65">SUM(AU31:AX31)</f>
        <v>0</v>
      </c>
      <c r="CC31" s="349">
        <f t="shared" ref="CC31:CC40" si="66">SUM(AY31:BB31)</f>
        <v>0</v>
      </c>
      <c r="CD31" s="349">
        <f t="shared" ref="CD31:CD40" si="67">SUM(BC31:BF31)</f>
        <v>0</v>
      </c>
      <c r="CE31" s="349">
        <f t="shared" ref="CE31:CE40" si="68">SUM(BG31:BJ31)</f>
        <v>0</v>
      </c>
      <c r="CF31" s="349">
        <f t="shared" ref="CF31:CF40" si="69">SUM(BK31:BN31)</f>
        <v>0</v>
      </c>
    </row>
    <row r="32" spans="1:84" s="369" customFormat="1" ht="12.75" customHeight="1">
      <c r="A32" s="367" t="s">
        <v>191</v>
      </c>
      <c r="B32" s="558">
        <v>0</v>
      </c>
      <c r="C32" s="558">
        <v>0</v>
      </c>
      <c r="D32" s="558">
        <v>0</v>
      </c>
      <c r="E32" s="558">
        <v>0</v>
      </c>
      <c r="F32" s="558">
        <v>0</v>
      </c>
      <c r="G32" s="558">
        <v>0</v>
      </c>
      <c r="H32" s="558">
        <v>617</v>
      </c>
      <c r="I32" s="558">
        <v>0</v>
      </c>
      <c r="J32" s="558">
        <v>0</v>
      </c>
      <c r="K32" s="558">
        <v>0</v>
      </c>
      <c r="L32" s="558">
        <v>0</v>
      </c>
      <c r="M32" s="558">
        <v>0</v>
      </c>
      <c r="N32" s="558">
        <v>0</v>
      </c>
      <c r="O32" s="558">
        <v>0</v>
      </c>
      <c r="P32" s="558">
        <v>0</v>
      </c>
      <c r="Q32" s="558">
        <v>0</v>
      </c>
      <c r="R32" s="558">
        <v>0</v>
      </c>
      <c r="S32" s="558">
        <v>0</v>
      </c>
      <c r="T32" s="558">
        <v>0</v>
      </c>
      <c r="U32" s="558">
        <v>0</v>
      </c>
      <c r="V32" s="558">
        <v>0</v>
      </c>
      <c r="W32" s="558">
        <v>0</v>
      </c>
      <c r="X32" s="558">
        <v>-198</v>
      </c>
      <c r="Y32" s="558">
        <v>-95</v>
      </c>
      <c r="Z32" s="558">
        <v>-177</v>
      </c>
      <c r="AA32" s="558">
        <v>-27</v>
      </c>
      <c r="AB32" s="558">
        <v>-136</v>
      </c>
      <c r="AC32" s="558">
        <v>0</v>
      </c>
      <c r="AD32" s="558">
        <v>0</v>
      </c>
      <c r="AE32" s="558">
        <v>0</v>
      </c>
      <c r="AF32" s="558">
        <v>0</v>
      </c>
      <c r="AG32" s="558">
        <v>0</v>
      </c>
      <c r="AH32" s="558">
        <v>0</v>
      </c>
      <c r="AI32" s="558">
        <v>0</v>
      </c>
      <c r="AJ32" s="558">
        <v>0</v>
      </c>
      <c r="AK32" s="558">
        <v>0</v>
      </c>
      <c r="AL32" s="558">
        <v>0</v>
      </c>
      <c r="AM32" s="558">
        <v>0</v>
      </c>
      <c r="AN32" s="558">
        <v>0</v>
      </c>
      <c r="AO32" s="558">
        <v>0</v>
      </c>
      <c r="AP32" s="558">
        <v>0</v>
      </c>
      <c r="AQ32" s="558">
        <v>0</v>
      </c>
      <c r="AR32" s="558">
        <v>0</v>
      </c>
      <c r="AS32" s="558">
        <v>0</v>
      </c>
      <c r="AT32" s="558">
        <v>-600</v>
      </c>
      <c r="AU32" s="558">
        <v>0</v>
      </c>
      <c r="AV32" s="558">
        <v>0</v>
      </c>
      <c r="AW32" s="559">
        <v>0</v>
      </c>
      <c r="AX32" s="559">
        <v>0</v>
      </c>
      <c r="AY32" s="559">
        <v>0</v>
      </c>
      <c r="AZ32" s="559">
        <v>0</v>
      </c>
      <c r="BA32" s="559">
        <v>0</v>
      </c>
      <c r="BB32" s="559">
        <v>0</v>
      </c>
      <c r="BC32" s="559">
        <v>0</v>
      </c>
      <c r="BD32" s="559">
        <v>0</v>
      </c>
      <c r="BE32" s="559">
        <v>0</v>
      </c>
      <c r="BF32" s="559">
        <v>0</v>
      </c>
      <c r="BG32" s="559">
        <v>0</v>
      </c>
      <c r="BH32" s="559">
        <v>0</v>
      </c>
      <c r="BI32" s="559">
        <v>0</v>
      </c>
      <c r="BJ32" s="559">
        <v>0</v>
      </c>
      <c r="BK32" s="559">
        <v>0</v>
      </c>
      <c r="BL32" s="559">
        <v>0</v>
      </c>
      <c r="BM32" s="559">
        <v>0</v>
      </c>
      <c r="BN32" s="559">
        <v>0</v>
      </c>
      <c r="BO32" s="559"/>
      <c r="BP32" s="349">
        <v>0</v>
      </c>
      <c r="BQ32" s="349">
        <f t="shared" si="54"/>
        <v>0</v>
      </c>
      <c r="BR32" s="349">
        <f t="shared" si="55"/>
        <v>617</v>
      </c>
      <c r="BS32" s="349">
        <f t="shared" si="56"/>
        <v>0</v>
      </c>
      <c r="BT32" s="349">
        <f t="shared" si="57"/>
        <v>0</v>
      </c>
      <c r="BU32" s="349">
        <f t="shared" si="58"/>
        <v>0</v>
      </c>
      <c r="BV32" s="349">
        <f t="shared" si="59"/>
        <v>-470</v>
      </c>
      <c r="BW32" s="349">
        <f t="shared" si="60"/>
        <v>-163</v>
      </c>
      <c r="BX32" s="349">
        <f t="shared" si="61"/>
        <v>0</v>
      </c>
      <c r="BY32" s="349">
        <f t="shared" si="62"/>
        <v>0</v>
      </c>
      <c r="BZ32" s="349">
        <f t="shared" si="63"/>
        <v>0</v>
      </c>
      <c r="CA32" s="349">
        <f t="shared" si="64"/>
        <v>-600</v>
      </c>
      <c r="CB32" s="349">
        <f t="shared" si="65"/>
        <v>0</v>
      </c>
      <c r="CC32" s="349">
        <f t="shared" si="66"/>
        <v>0</v>
      </c>
      <c r="CD32" s="349">
        <f t="shared" si="67"/>
        <v>0</v>
      </c>
      <c r="CE32" s="349">
        <f t="shared" si="68"/>
        <v>0</v>
      </c>
      <c r="CF32" s="349">
        <f t="shared" si="69"/>
        <v>0</v>
      </c>
    </row>
    <row r="33" spans="1:84" s="369" customFormat="1" ht="12.75" customHeight="1">
      <c r="A33" s="367" t="s">
        <v>192</v>
      </c>
      <c r="B33" s="558">
        <v>0</v>
      </c>
      <c r="C33" s="558">
        <v>0</v>
      </c>
      <c r="D33" s="558">
        <v>0</v>
      </c>
      <c r="E33" s="558">
        <v>0</v>
      </c>
      <c r="F33" s="558">
        <v>0</v>
      </c>
      <c r="G33" s="558">
        <v>0</v>
      </c>
      <c r="H33" s="558">
        <v>0</v>
      </c>
      <c r="I33" s="558">
        <v>0</v>
      </c>
      <c r="J33" s="558">
        <v>0</v>
      </c>
      <c r="K33" s="558">
        <v>0</v>
      </c>
      <c r="L33" s="558">
        <v>0</v>
      </c>
      <c r="M33" s="558">
        <v>0</v>
      </c>
      <c r="N33" s="558">
        <v>0</v>
      </c>
      <c r="O33" s="558">
        <v>0</v>
      </c>
      <c r="P33" s="558">
        <v>0</v>
      </c>
      <c r="Q33" s="558">
        <v>0</v>
      </c>
      <c r="R33" s="558">
        <v>0</v>
      </c>
      <c r="S33" s="558">
        <v>0</v>
      </c>
      <c r="T33" s="558">
        <v>0</v>
      </c>
      <c r="U33" s="558">
        <v>0</v>
      </c>
      <c r="V33" s="558">
        <v>0</v>
      </c>
      <c r="W33" s="558">
        <v>0</v>
      </c>
      <c r="X33" s="558">
        <v>0</v>
      </c>
      <c r="Y33" s="558">
        <v>0</v>
      </c>
      <c r="Z33" s="558">
        <v>989</v>
      </c>
      <c r="AA33" s="558">
        <v>0</v>
      </c>
      <c r="AB33" s="558">
        <v>0</v>
      </c>
      <c r="AC33" s="558">
        <v>0</v>
      </c>
      <c r="AD33" s="558">
        <v>0</v>
      </c>
      <c r="AE33" s="558">
        <v>0</v>
      </c>
      <c r="AF33" s="558">
        <v>0</v>
      </c>
      <c r="AG33" s="558">
        <v>0</v>
      </c>
      <c r="AH33" s="558">
        <v>0</v>
      </c>
      <c r="AI33" s="558">
        <v>0</v>
      </c>
      <c r="AJ33" s="558">
        <v>0</v>
      </c>
      <c r="AK33" s="558">
        <v>0</v>
      </c>
      <c r="AL33" s="558">
        <v>0</v>
      </c>
      <c r="AM33" s="558">
        <v>0</v>
      </c>
      <c r="AN33" s="558">
        <v>0</v>
      </c>
      <c r="AO33" s="558">
        <v>0</v>
      </c>
      <c r="AP33" s="558">
        <v>0</v>
      </c>
      <c r="AQ33" s="558">
        <v>0</v>
      </c>
      <c r="AR33" s="558">
        <v>0</v>
      </c>
      <c r="AS33" s="558">
        <v>0</v>
      </c>
      <c r="AT33" s="558">
        <f>1478</f>
        <v>1478</v>
      </c>
      <c r="AU33" s="558">
        <v>0</v>
      </c>
      <c r="AV33" s="558">
        <v>0</v>
      </c>
      <c r="AW33" s="559">
        <v>0</v>
      </c>
      <c r="AX33" s="559">
        <v>0</v>
      </c>
      <c r="AY33" s="559">
        <v>0</v>
      </c>
      <c r="AZ33" s="559">
        <v>0</v>
      </c>
      <c r="BA33" s="559">
        <v>0</v>
      </c>
      <c r="BB33" s="559">
        <v>0</v>
      </c>
      <c r="BC33" s="559">
        <v>0</v>
      </c>
      <c r="BD33" s="559">
        <v>0</v>
      </c>
      <c r="BE33" s="559">
        <v>0</v>
      </c>
      <c r="BF33" s="559">
        <v>0</v>
      </c>
      <c r="BG33" s="559">
        <v>0</v>
      </c>
      <c r="BH33" s="559">
        <v>0</v>
      </c>
      <c r="BI33" s="559">
        <v>0</v>
      </c>
      <c r="BJ33" s="559">
        <v>0</v>
      </c>
      <c r="BK33" s="559">
        <v>0</v>
      </c>
      <c r="BL33" s="559">
        <v>0</v>
      </c>
      <c r="BM33" s="559">
        <v>0</v>
      </c>
      <c r="BN33" s="559">
        <v>0</v>
      </c>
      <c r="BO33" s="559"/>
      <c r="BP33" s="349">
        <v>0</v>
      </c>
      <c r="BQ33" s="349">
        <f>SUM(C33:F33)</f>
        <v>0</v>
      </c>
      <c r="BR33" s="349">
        <f>SUM(G33:J33)</f>
        <v>0</v>
      </c>
      <c r="BS33" s="349">
        <f>SUM(K33:N33)</f>
        <v>0</v>
      </c>
      <c r="BT33" s="349">
        <f>SUM(O33:R33)</f>
        <v>0</v>
      </c>
      <c r="BU33" s="349">
        <f>SUM(S33:V33)</f>
        <v>0</v>
      </c>
      <c r="BV33" s="349">
        <f>SUM(W33:Z33)</f>
        <v>989</v>
      </c>
      <c r="BW33" s="349">
        <f>SUM(AA33:AD33)</f>
        <v>0</v>
      </c>
      <c r="BX33" s="349">
        <f>SUM(AE33:AH33)</f>
        <v>0</v>
      </c>
      <c r="BY33" s="349">
        <f>SUM(AI33:AL33)</f>
        <v>0</v>
      </c>
      <c r="BZ33" s="349">
        <f t="shared" si="63"/>
        <v>0</v>
      </c>
      <c r="CA33" s="349">
        <f t="shared" si="64"/>
        <v>1478</v>
      </c>
      <c r="CB33" s="349">
        <f t="shared" si="65"/>
        <v>0</v>
      </c>
      <c r="CC33" s="349">
        <f t="shared" si="66"/>
        <v>0</v>
      </c>
      <c r="CD33" s="349">
        <f t="shared" si="67"/>
        <v>0</v>
      </c>
      <c r="CE33" s="349">
        <f t="shared" si="68"/>
        <v>0</v>
      </c>
      <c r="CF33" s="349">
        <f t="shared" si="69"/>
        <v>0</v>
      </c>
    </row>
    <row r="34" spans="1:84" s="369" customFormat="1" ht="12.75" customHeight="1">
      <c r="A34" s="367" t="s">
        <v>145</v>
      </c>
      <c r="B34" s="558">
        <v>0</v>
      </c>
      <c r="C34" s="558">
        <v>0</v>
      </c>
      <c r="D34" s="558">
        <v>0</v>
      </c>
      <c r="E34" s="558">
        <v>0</v>
      </c>
      <c r="F34" s="558">
        <v>0</v>
      </c>
      <c r="G34" s="558">
        <v>0</v>
      </c>
      <c r="H34" s="558">
        <v>65</v>
      </c>
      <c r="I34" s="558">
        <v>0</v>
      </c>
      <c r="J34" s="558">
        <v>0</v>
      </c>
      <c r="K34" s="558">
        <v>0</v>
      </c>
      <c r="L34" s="558">
        <v>0</v>
      </c>
      <c r="M34" s="558">
        <v>0</v>
      </c>
      <c r="N34" s="558">
        <v>0</v>
      </c>
      <c r="O34" s="558">
        <v>0</v>
      </c>
      <c r="P34" s="558">
        <v>0</v>
      </c>
      <c r="Q34" s="558">
        <v>0</v>
      </c>
      <c r="R34" s="558">
        <v>0</v>
      </c>
      <c r="S34" s="558">
        <v>0</v>
      </c>
      <c r="T34" s="558">
        <v>0</v>
      </c>
      <c r="U34" s="558">
        <v>0</v>
      </c>
      <c r="V34" s="558">
        <v>0</v>
      </c>
      <c r="W34" s="558">
        <v>0</v>
      </c>
      <c r="X34" s="558">
        <v>0</v>
      </c>
      <c r="Y34" s="558">
        <v>0</v>
      </c>
      <c r="Z34" s="558">
        <v>0</v>
      </c>
      <c r="AA34" s="558">
        <v>0</v>
      </c>
      <c r="AB34" s="558">
        <v>0</v>
      </c>
      <c r="AC34" s="558">
        <v>0</v>
      </c>
      <c r="AD34" s="558">
        <v>0</v>
      </c>
      <c r="AE34" s="558">
        <v>0</v>
      </c>
      <c r="AF34" s="558">
        <v>0</v>
      </c>
      <c r="AG34" s="558">
        <v>0</v>
      </c>
      <c r="AH34" s="558">
        <v>0</v>
      </c>
      <c r="AI34" s="558">
        <v>0</v>
      </c>
      <c r="AJ34" s="558">
        <v>0</v>
      </c>
      <c r="AK34" s="558">
        <v>0</v>
      </c>
      <c r="AL34" s="558">
        <v>0</v>
      </c>
      <c r="AM34" s="558">
        <v>0</v>
      </c>
      <c r="AN34" s="558">
        <v>0</v>
      </c>
      <c r="AO34" s="558">
        <v>0</v>
      </c>
      <c r="AP34" s="558">
        <v>0</v>
      </c>
      <c r="AQ34" s="558">
        <v>0</v>
      </c>
      <c r="AR34" s="558">
        <v>0</v>
      </c>
      <c r="AS34" s="558">
        <v>0</v>
      </c>
      <c r="AT34" s="558">
        <v>0</v>
      </c>
      <c r="AU34" s="558">
        <v>0</v>
      </c>
      <c r="AV34" s="558">
        <v>0</v>
      </c>
      <c r="AW34" s="559">
        <v>0</v>
      </c>
      <c r="AX34" s="559">
        <v>0</v>
      </c>
      <c r="AY34" s="559">
        <v>0</v>
      </c>
      <c r="AZ34" s="559">
        <v>0</v>
      </c>
      <c r="BA34" s="559">
        <v>0</v>
      </c>
      <c r="BB34" s="559">
        <v>0</v>
      </c>
      <c r="BC34" s="559">
        <v>0</v>
      </c>
      <c r="BD34" s="559">
        <v>0</v>
      </c>
      <c r="BE34" s="559">
        <v>0</v>
      </c>
      <c r="BF34" s="559">
        <v>0</v>
      </c>
      <c r="BG34" s="559">
        <v>0</v>
      </c>
      <c r="BH34" s="559">
        <v>0</v>
      </c>
      <c r="BI34" s="559">
        <v>0</v>
      </c>
      <c r="BJ34" s="559">
        <v>0</v>
      </c>
      <c r="BK34" s="559">
        <v>0</v>
      </c>
      <c r="BL34" s="559">
        <v>0</v>
      </c>
      <c r="BM34" s="559">
        <v>0</v>
      </c>
      <c r="BN34" s="559">
        <v>0</v>
      </c>
      <c r="BO34" s="559"/>
      <c r="BP34" s="349">
        <v>0</v>
      </c>
      <c r="BQ34" s="349">
        <f t="shared" si="54"/>
        <v>0</v>
      </c>
      <c r="BR34" s="349">
        <f t="shared" si="55"/>
        <v>65</v>
      </c>
      <c r="BS34" s="349">
        <f t="shared" si="56"/>
        <v>0</v>
      </c>
      <c r="BT34" s="349">
        <f t="shared" si="57"/>
        <v>0</v>
      </c>
      <c r="BU34" s="349">
        <f t="shared" si="58"/>
        <v>0</v>
      </c>
      <c r="BV34" s="349">
        <f t="shared" si="59"/>
        <v>0</v>
      </c>
      <c r="BW34" s="349">
        <f t="shared" si="60"/>
        <v>0</v>
      </c>
      <c r="BX34" s="349">
        <f t="shared" si="61"/>
        <v>0</v>
      </c>
      <c r="BY34" s="349">
        <f t="shared" si="62"/>
        <v>0</v>
      </c>
      <c r="BZ34" s="349">
        <f t="shared" si="63"/>
        <v>0</v>
      </c>
      <c r="CA34" s="349">
        <f t="shared" si="64"/>
        <v>0</v>
      </c>
      <c r="CB34" s="349">
        <f t="shared" si="65"/>
        <v>0</v>
      </c>
      <c r="CC34" s="349">
        <f t="shared" si="66"/>
        <v>0</v>
      </c>
      <c r="CD34" s="349">
        <f t="shared" si="67"/>
        <v>0</v>
      </c>
      <c r="CE34" s="349">
        <f t="shared" si="68"/>
        <v>0</v>
      </c>
      <c r="CF34" s="349">
        <f t="shared" si="69"/>
        <v>0</v>
      </c>
    </row>
    <row r="35" spans="1:84" s="369" customFormat="1" ht="12.75" customHeight="1">
      <c r="A35" s="367" t="s">
        <v>146</v>
      </c>
      <c r="B35" s="558">
        <v>0</v>
      </c>
      <c r="C35" s="558">
        <v>0</v>
      </c>
      <c r="D35" s="558">
        <v>0</v>
      </c>
      <c r="E35" s="558">
        <v>0</v>
      </c>
      <c r="F35" s="558">
        <v>0</v>
      </c>
      <c r="G35" s="558">
        <v>0</v>
      </c>
      <c r="H35" s="558">
        <v>-107</v>
      </c>
      <c r="I35" s="558">
        <v>0</v>
      </c>
      <c r="J35" s="558">
        <v>0</v>
      </c>
      <c r="K35" s="558">
        <v>0</v>
      </c>
      <c r="L35" s="558">
        <v>0</v>
      </c>
      <c r="M35" s="558">
        <v>0</v>
      </c>
      <c r="N35" s="558">
        <v>0</v>
      </c>
      <c r="O35" s="558">
        <v>0</v>
      </c>
      <c r="P35" s="558">
        <v>0</v>
      </c>
      <c r="Q35" s="558">
        <v>0</v>
      </c>
      <c r="R35" s="558">
        <v>0</v>
      </c>
      <c r="S35" s="558">
        <v>0</v>
      </c>
      <c r="T35" s="558">
        <v>0</v>
      </c>
      <c r="U35" s="558">
        <v>0</v>
      </c>
      <c r="V35" s="558">
        <v>0</v>
      </c>
      <c r="W35" s="558">
        <v>0</v>
      </c>
      <c r="X35" s="558">
        <v>0</v>
      </c>
      <c r="Y35" s="558">
        <v>0</v>
      </c>
      <c r="Z35" s="558">
        <v>0</v>
      </c>
      <c r="AA35" s="558">
        <v>0</v>
      </c>
      <c r="AB35" s="558">
        <v>0</v>
      </c>
      <c r="AC35" s="558">
        <v>0</v>
      </c>
      <c r="AD35" s="558">
        <v>0</v>
      </c>
      <c r="AE35" s="558">
        <v>0</v>
      </c>
      <c r="AF35" s="558">
        <v>0</v>
      </c>
      <c r="AG35" s="558">
        <v>0</v>
      </c>
      <c r="AH35" s="558">
        <v>0</v>
      </c>
      <c r="AI35" s="558">
        <v>0</v>
      </c>
      <c r="AJ35" s="558">
        <v>0</v>
      </c>
      <c r="AK35" s="558">
        <v>0</v>
      </c>
      <c r="AL35" s="558">
        <v>0</v>
      </c>
      <c r="AM35" s="558">
        <v>0</v>
      </c>
      <c r="AN35" s="558">
        <v>0</v>
      </c>
      <c r="AO35" s="558">
        <v>0</v>
      </c>
      <c r="AP35" s="558">
        <v>0</v>
      </c>
      <c r="AQ35" s="558">
        <v>0</v>
      </c>
      <c r="AR35" s="558">
        <v>0</v>
      </c>
      <c r="AS35" s="558">
        <v>0</v>
      </c>
      <c r="AT35" s="558">
        <v>0</v>
      </c>
      <c r="AU35" s="558">
        <v>0</v>
      </c>
      <c r="AV35" s="558">
        <v>0</v>
      </c>
      <c r="AW35" s="559">
        <v>0</v>
      </c>
      <c r="AX35" s="559">
        <v>0</v>
      </c>
      <c r="AY35" s="559">
        <v>0</v>
      </c>
      <c r="AZ35" s="559">
        <v>0</v>
      </c>
      <c r="BA35" s="559">
        <v>0</v>
      </c>
      <c r="BB35" s="559">
        <v>0</v>
      </c>
      <c r="BC35" s="559">
        <v>0</v>
      </c>
      <c r="BD35" s="559">
        <v>0</v>
      </c>
      <c r="BE35" s="559">
        <v>0</v>
      </c>
      <c r="BF35" s="559">
        <v>0</v>
      </c>
      <c r="BG35" s="559">
        <v>0</v>
      </c>
      <c r="BH35" s="559">
        <v>0</v>
      </c>
      <c r="BI35" s="559">
        <v>0</v>
      </c>
      <c r="BJ35" s="559">
        <v>0</v>
      </c>
      <c r="BK35" s="559">
        <v>0</v>
      </c>
      <c r="BL35" s="559">
        <v>0</v>
      </c>
      <c r="BM35" s="559">
        <v>0</v>
      </c>
      <c r="BN35" s="559">
        <v>0</v>
      </c>
      <c r="BO35" s="559"/>
      <c r="BP35" s="349">
        <v>0</v>
      </c>
      <c r="BQ35" s="349">
        <f t="shared" si="54"/>
        <v>0</v>
      </c>
      <c r="BR35" s="349">
        <f t="shared" si="55"/>
        <v>-107</v>
      </c>
      <c r="BS35" s="349">
        <f t="shared" si="56"/>
        <v>0</v>
      </c>
      <c r="BT35" s="349">
        <f t="shared" si="57"/>
        <v>0</v>
      </c>
      <c r="BU35" s="349">
        <f t="shared" si="58"/>
        <v>0</v>
      </c>
      <c r="BV35" s="349">
        <f t="shared" si="59"/>
        <v>0</v>
      </c>
      <c r="BW35" s="349">
        <f t="shared" si="60"/>
        <v>0</v>
      </c>
      <c r="BX35" s="349">
        <f t="shared" si="61"/>
        <v>0</v>
      </c>
      <c r="BY35" s="349">
        <f t="shared" si="62"/>
        <v>0</v>
      </c>
      <c r="BZ35" s="349">
        <f t="shared" si="63"/>
        <v>0</v>
      </c>
      <c r="CA35" s="349">
        <f t="shared" si="64"/>
        <v>0</v>
      </c>
      <c r="CB35" s="349">
        <f t="shared" si="65"/>
        <v>0</v>
      </c>
      <c r="CC35" s="349">
        <f t="shared" si="66"/>
        <v>0</v>
      </c>
      <c r="CD35" s="349">
        <f t="shared" si="67"/>
        <v>0</v>
      </c>
      <c r="CE35" s="349">
        <f t="shared" si="68"/>
        <v>0</v>
      </c>
      <c r="CF35" s="349">
        <f t="shared" si="69"/>
        <v>0</v>
      </c>
    </row>
    <row r="36" spans="1:84" s="369" customFormat="1" ht="12.75" customHeight="1">
      <c r="A36" s="367" t="s">
        <v>147</v>
      </c>
      <c r="B36" s="558">
        <v>14</v>
      </c>
      <c r="C36" s="558">
        <v>1</v>
      </c>
      <c r="D36" s="558">
        <v>16</v>
      </c>
      <c r="E36" s="558">
        <v>0</v>
      </c>
      <c r="F36" s="558">
        <v>17</v>
      </c>
      <c r="G36" s="558">
        <v>14</v>
      </c>
      <c r="H36" s="558">
        <v>21</v>
      </c>
      <c r="I36" s="558">
        <v>4</v>
      </c>
      <c r="J36" s="558">
        <v>18</v>
      </c>
      <c r="K36" s="558">
        <v>0</v>
      </c>
      <c r="L36" s="558">
        <v>18</v>
      </c>
      <c r="M36" s="558">
        <v>1</v>
      </c>
      <c r="N36" s="558">
        <v>15</v>
      </c>
      <c r="O36" s="558">
        <v>22</v>
      </c>
      <c r="P36" s="558">
        <v>28</v>
      </c>
      <c r="Q36" s="558">
        <v>1</v>
      </c>
      <c r="R36" s="558">
        <v>26</v>
      </c>
      <c r="S36" s="558">
        <v>5</v>
      </c>
      <c r="T36" s="558">
        <v>21</v>
      </c>
      <c r="U36" s="558">
        <v>5</v>
      </c>
      <c r="V36" s="558">
        <v>29</v>
      </c>
      <c r="W36" s="558">
        <v>45</v>
      </c>
      <c r="X36" s="558">
        <v>39</v>
      </c>
      <c r="Y36" s="558">
        <v>2</v>
      </c>
      <c r="Z36" s="558">
        <v>21</v>
      </c>
      <c r="AA36" s="558">
        <v>4</v>
      </c>
      <c r="AB36" s="558">
        <v>27</v>
      </c>
      <c r="AC36" s="558">
        <v>2</v>
      </c>
      <c r="AD36" s="558">
        <v>39</v>
      </c>
      <c r="AE36" s="558">
        <v>30</v>
      </c>
      <c r="AF36" s="558">
        <v>27</v>
      </c>
      <c r="AG36" s="558">
        <v>0</v>
      </c>
      <c r="AH36" s="558">
        <v>21</v>
      </c>
      <c r="AI36" s="558">
        <v>1</v>
      </c>
      <c r="AJ36" s="558">
        <v>35</v>
      </c>
      <c r="AK36" s="558">
        <v>0</v>
      </c>
      <c r="AL36" s="558">
        <v>25</v>
      </c>
      <c r="AM36" s="558">
        <v>3</v>
      </c>
      <c r="AN36" s="558">
        <v>30</v>
      </c>
      <c r="AO36" s="558">
        <v>1</v>
      </c>
      <c r="AP36" s="558">
        <v>28</v>
      </c>
      <c r="AQ36" s="558">
        <v>3</v>
      </c>
      <c r="AR36" s="558">
        <v>40</v>
      </c>
      <c r="AS36" s="558">
        <v>13</v>
      </c>
      <c r="AT36" s="558">
        <v>30</v>
      </c>
      <c r="AU36" s="558">
        <v>0</v>
      </c>
      <c r="AV36" s="558">
        <v>41</v>
      </c>
      <c r="AW36" s="555">
        <f t="shared" ref="AW36:BN36" si="70">AW86*AW$11</f>
        <v>15.839859979354355</v>
      </c>
      <c r="AX36" s="555">
        <f t="shared" si="70"/>
        <v>46.339154121247375</v>
      </c>
      <c r="AY36" s="555">
        <f t="shared" si="70"/>
        <v>0</v>
      </c>
      <c r="AZ36" s="555">
        <f t="shared" si="70"/>
        <v>45.511507208613374</v>
      </c>
      <c r="BA36" s="555">
        <f t="shared" si="70"/>
        <v>18.145589887557531</v>
      </c>
      <c r="BB36" s="555">
        <f t="shared" si="70"/>
        <v>45.240581428957583</v>
      </c>
      <c r="BC36" s="555">
        <f t="shared" si="70"/>
        <v>0</v>
      </c>
      <c r="BD36" s="555">
        <f t="shared" si="70"/>
        <v>47.147143376682969</v>
      </c>
      <c r="BE36" s="555">
        <f t="shared" si="70"/>
        <v>18.231989736740097</v>
      </c>
      <c r="BF36" s="555">
        <f t="shared" si="70"/>
        <v>46.250035027814874</v>
      </c>
      <c r="BG36" s="555">
        <f t="shared" si="70"/>
        <v>0</v>
      </c>
      <c r="BH36" s="555">
        <f t="shared" si="70"/>
        <v>56.834386162759948</v>
      </c>
      <c r="BI36" s="555">
        <f t="shared" si="70"/>
        <v>19.514104691037172</v>
      </c>
      <c r="BJ36" s="555">
        <f t="shared" si="70"/>
        <v>48.812018404860069</v>
      </c>
      <c r="BK36" s="555">
        <f t="shared" si="70"/>
        <v>0</v>
      </c>
      <c r="BL36" s="555">
        <f t="shared" si="70"/>
        <v>51.028233953089149</v>
      </c>
      <c r="BM36" s="555">
        <f t="shared" si="70"/>
        <v>19.921640547877601</v>
      </c>
      <c r="BN36" s="555">
        <f t="shared" si="70"/>
        <v>50.521636533694746</v>
      </c>
      <c r="BO36" s="555"/>
      <c r="BP36" s="349">
        <v>39</v>
      </c>
      <c r="BQ36" s="349">
        <f t="shared" si="54"/>
        <v>34</v>
      </c>
      <c r="BR36" s="349">
        <f t="shared" si="55"/>
        <v>57</v>
      </c>
      <c r="BS36" s="349">
        <f t="shared" si="56"/>
        <v>34</v>
      </c>
      <c r="BT36" s="349">
        <f t="shared" si="57"/>
        <v>77</v>
      </c>
      <c r="BU36" s="349">
        <f t="shared" si="58"/>
        <v>60</v>
      </c>
      <c r="BV36" s="349">
        <f t="shared" si="59"/>
        <v>107</v>
      </c>
      <c r="BW36" s="349">
        <f t="shared" si="60"/>
        <v>72</v>
      </c>
      <c r="BX36" s="349">
        <f t="shared" si="61"/>
        <v>78</v>
      </c>
      <c r="BY36" s="349">
        <f t="shared" si="62"/>
        <v>61</v>
      </c>
      <c r="BZ36" s="349">
        <f t="shared" si="63"/>
        <v>62</v>
      </c>
      <c r="CA36" s="349">
        <f t="shared" si="64"/>
        <v>86</v>
      </c>
      <c r="CB36" s="349">
        <f t="shared" si="65"/>
        <v>103.17901410060173</v>
      </c>
      <c r="CC36" s="349">
        <f t="shared" si="66"/>
        <v>108.89767852512848</v>
      </c>
      <c r="CD36" s="349">
        <f t="shared" si="67"/>
        <v>111.62916814123794</v>
      </c>
      <c r="CE36" s="349">
        <f t="shared" si="68"/>
        <v>125.16050925865719</v>
      </c>
      <c r="CF36" s="349">
        <f t="shared" si="69"/>
        <v>121.4715110346615</v>
      </c>
    </row>
    <row r="37" spans="1:84" s="369" customFormat="1" ht="12.75" customHeight="1">
      <c r="A37" s="557" t="s">
        <v>60</v>
      </c>
      <c r="B37" s="558">
        <v>1</v>
      </c>
      <c r="C37" s="558">
        <v>0</v>
      </c>
      <c r="D37" s="558">
        <v>0</v>
      </c>
      <c r="E37" s="558">
        <v>0</v>
      </c>
      <c r="F37" s="558">
        <v>1</v>
      </c>
      <c r="G37" s="558">
        <v>2</v>
      </c>
      <c r="H37" s="558">
        <v>1</v>
      </c>
      <c r="I37" s="558">
        <v>1</v>
      </c>
      <c r="J37" s="558">
        <v>0</v>
      </c>
      <c r="K37" s="558">
        <v>0</v>
      </c>
      <c r="L37" s="558">
        <v>0</v>
      </c>
      <c r="M37" s="558">
        <v>0</v>
      </c>
      <c r="N37" s="558">
        <v>0</v>
      </c>
      <c r="O37" s="558">
        <v>0</v>
      </c>
      <c r="P37" s="558">
        <v>0</v>
      </c>
      <c r="Q37" s="558">
        <v>0</v>
      </c>
      <c r="R37" s="558">
        <v>13</v>
      </c>
      <c r="S37" s="558">
        <v>12</v>
      </c>
      <c r="T37" s="558">
        <v>2</v>
      </c>
      <c r="U37" s="558">
        <v>2</v>
      </c>
      <c r="V37" s="558">
        <v>6</v>
      </c>
      <c r="W37" s="558">
        <v>40</v>
      </c>
      <c r="X37" s="558">
        <v>25</v>
      </c>
      <c r="Y37" s="558">
        <v>8</v>
      </c>
      <c r="Z37" s="558">
        <v>13</v>
      </c>
      <c r="AA37" s="558">
        <v>-97</v>
      </c>
      <c r="AB37" s="558">
        <v>-9</v>
      </c>
      <c r="AC37" s="558">
        <v>16</v>
      </c>
      <c r="AD37" s="558">
        <v>-18</v>
      </c>
      <c r="AE37" s="558">
        <v>-95</v>
      </c>
      <c r="AF37" s="558">
        <v>-10</v>
      </c>
      <c r="AG37" s="558">
        <v>-7</v>
      </c>
      <c r="AH37" s="558">
        <v>-8</v>
      </c>
      <c r="AI37" s="558">
        <v>-89</v>
      </c>
      <c r="AJ37" s="558">
        <v>-7</v>
      </c>
      <c r="AK37" s="558">
        <v>-20</v>
      </c>
      <c r="AL37" s="558">
        <v>-6</v>
      </c>
      <c r="AM37" s="558">
        <v>-51</v>
      </c>
      <c r="AN37" s="558">
        <v>-4</v>
      </c>
      <c r="AO37" s="558">
        <v>-31</v>
      </c>
      <c r="AP37" s="558">
        <v>-5</v>
      </c>
      <c r="AQ37" s="558">
        <v>-69</v>
      </c>
      <c r="AR37" s="558">
        <v>-8</v>
      </c>
      <c r="AS37" s="558">
        <v>-67</v>
      </c>
      <c r="AT37" s="558">
        <v>-8</v>
      </c>
      <c r="AU37" s="558">
        <v>-105</v>
      </c>
      <c r="AV37" s="558">
        <v>-16</v>
      </c>
      <c r="AW37" s="555">
        <f t="shared" ref="AW37:BN37" si="71">AW87*AW$11</f>
        <v>-54.923572813824279</v>
      </c>
      <c r="AX37" s="555">
        <f t="shared" si="71"/>
        <v>-60.059046472005683</v>
      </c>
      <c r="AY37" s="555">
        <f t="shared" si="71"/>
        <v>-57.253998996673424</v>
      </c>
      <c r="AZ37" s="555">
        <f t="shared" si="71"/>
        <v>-53.660276298038148</v>
      </c>
      <c r="BA37" s="555">
        <f t="shared" si="71"/>
        <v>-58.673979456293011</v>
      </c>
      <c r="BB37" s="555">
        <f t="shared" si="71"/>
        <v>-61.122626859126711</v>
      </c>
      <c r="BC37" s="555">
        <f t="shared" si="71"/>
        <v>-49.246714121443276</v>
      </c>
      <c r="BD37" s="555">
        <f t="shared" si="71"/>
        <v>-62.137182017255441</v>
      </c>
      <c r="BE37" s="555">
        <f t="shared" si="71"/>
        <v>-57.943069163935618</v>
      </c>
      <c r="BF37" s="555">
        <f t="shared" si="71"/>
        <v>-62.274163401466083</v>
      </c>
      <c r="BG37" s="555">
        <f t="shared" si="71"/>
        <v>-49.800157075847821</v>
      </c>
      <c r="BH37" s="555">
        <f t="shared" si="71"/>
        <v>-76.200646910785679</v>
      </c>
      <c r="BI37" s="555">
        <f t="shared" si="71"/>
        <v>-61.732853643148303</v>
      </c>
      <c r="BJ37" s="555">
        <f t="shared" si="71"/>
        <v>-65.632468247803573</v>
      </c>
      <c r="BK37" s="555">
        <f t="shared" si="71"/>
        <v>-51.957839580810962</v>
      </c>
      <c r="BL37" s="555">
        <f t="shared" si="71"/>
        <v>-68.588666180826962</v>
      </c>
      <c r="BM37" s="555">
        <f t="shared" si="71"/>
        <v>-62.953124110847028</v>
      </c>
      <c r="BN37" s="555">
        <f t="shared" si="71"/>
        <v>-67.916648928443806</v>
      </c>
      <c r="BO37" s="555"/>
      <c r="BP37" s="349">
        <v>14</v>
      </c>
      <c r="BQ37" s="349">
        <f t="shared" si="54"/>
        <v>1</v>
      </c>
      <c r="BR37" s="349">
        <f t="shared" si="55"/>
        <v>4</v>
      </c>
      <c r="BS37" s="349">
        <f t="shared" si="56"/>
        <v>0</v>
      </c>
      <c r="BT37" s="349">
        <f t="shared" si="57"/>
        <v>13</v>
      </c>
      <c r="BU37" s="349">
        <f t="shared" si="58"/>
        <v>22</v>
      </c>
      <c r="BV37" s="349">
        <f t="shared" si="59"/>
        <v>86</v>
      </c>
      <c r="BW37" s="349">
        <f t="shared" si="60"/>
        <v>-108</v>
      </c>
      <c r="BX37" s="349">
        <f t="shared" si="61"/>
        <v>-120</v>
      </c>
      <c r="BY37" s="349">
        <f t="shared" si="62"/>
        <v>-122</v>
      </c>
      <c r="BZ37" s="349">
        <f t="shared" si="63"/>
        <v>-91</v>
      </c>
      <c r="CA37" s="349">
        <f t="shared" si="64"/>
        <v>-152</v>
      </c>
      <c r="CB37" s="349">
        <f t="shared" si="65"/>
        <v>-235.98261928582997</v>
      </c>
      <c r="CC37" s="349">
        <f t="shared" si="66"/>
        <v>-230.71088161013128</v>
      </c>
      <c r="CD37" s="349">
        <f t="shared" si="67"/>
        <v>-231.6011287041004</v>
      </c>
      <c r="CE37" s="349">
        <f t="shared" si="68"/>
        <v>-253.36612587758538</v>
      </c>
      <c r="CF37" s="349">
        <f t="shared" si="69"/>
        <v>-251.41627880092875</v>
      </c>
    </row>
    <row r="38" spans="1:84" s="369" customFormat="1" ht="12.75" customHeight="1">
      <c r="A38" s="367" t="s">
        <v>148</v>
      </c>
      <c r="B38" s="558">
        <v>0</v>
      </c>
      <c r="C38" s="558">
        <v>0</v>
      </c>
      <c r="D38" s="558">
        <v>0</v>
      </c>
      <c r="E38" s="558">
        <v>0</v>
      </c>
      <c r="F38" s="558">
        <v>-58</v>
      </c>
      <c r="G38" s="558">
        <v>-91</v>
      </c>
      <c r="H38" s="558">
        <v>-98</v>
      </c>
      <c r="I38" s="558">
        <v>-41</v>
      </c>
      <c r="J38" s="558">
        <v>-241</v>
      </c>
      <c r="K38" s="558">
        <v>-71</v>
      </c>
      <c r="L38" s="558">
        <v>-108</v>
      </c>
      <c r="M38" s="558">
        <v>-157</v>
      </c>
      <c r="N38" s="558">
        <v>-13</v>
      </c>
      <c r="O38" s="558">
        <v>0</v>
      </c>
      <c r="P38" s="558">
        <v>0</v>
      </c>
      <c r="Q38" s="558">
        <v>0</v>
      </c>
      <c r="R38" s="558">
        <v>0</v>
      </c>
      <c r="S38" s="558">
        <v>-50</v>
      </c>
      <c r="T38" s="558">
        <v>-95</v>
      </c>
      <c r="U38" s="558">
        <v>-97</v>
      </c>
      <c r="V38" s="558">
        <v>-95</v>
      </c>
      <c r="W38" s="558">
        <v>-132</v>
      </c>
      <c r="X38" s="558">
        <v>-126</v>
      </c>
      <c r="Y38" s="558">
        <v>-126</v>
      </c>
      <c r="Z38" s="558">
        <v>-634</v>
      </c>
      <c r="AA38" s="558">
        <v>-129</v>
      </c>
      <c r="AB38" s="558">
        <v>-127</v>
      </c>
      <c r="AC38" s="558">
        <v>-127</v>
      </c>
      <c r="AD38" s="558">
        <v>-125</v>
      </c>
      <c r="AE38" s="558">
        <v>-150</v>
      </c>
      <c r="AF38" s="558">
        <v>-153</v>
      </c>
      <c r="AG38" s="558">
        <v>-150</v>
      </c>
      <c r="AH38" s="558">
        <v>-148</v>
      </c>
      <c r="AI38" s="558">
        <v>-300</v>
      </c>
      <c r="AJ38" s="558">
        <v>-299</v>
      </c>
      <c r="AK38" s="558">
        <v>-292</v>
      </c>
      <c r="AL38" s="558">
        <v>-301</v>
      </c>
      <c r="AM38" s="558">
        <v>-305</v>
      </c>
      <c r="AN38" s="558">
        <v>-306</v>
      </c>
      <c r="AO38" s="558">
        <v>-305</v>
      </c>
      <c r="AP38" s="558">
        <v>-291</v>
      </c>
      <c r="AQ38" s="558">
        <v>-78</v>
      </c>
      <c r="AR38" s="558">
        <v>0</v>
      </c>
      <c r="AS38" s="558">
        <v>-326</v>
      </c>
      <c r="AT38" s="558">
        <v>-325</v>
      </c>
      <c r="AU38" s="558">
        <v>-325</v>
      </c>
      <c r="AV38" s="558">
        <v>-325</v>
      </c>
      <c r="AW38" s="555">
        <f>Drivers!AW297*Drivers!AW308</f>
        <v>-358.0392075702149</v>
      </c>
      <c r="AX38" s="555">
        <f>Drivers!AX297*Drivers!AX308</f>
        <v>-364.99467303107872</v>
      </c>
      <c r="AY38" s="555">
        <f>Drivers!AY297*Drivers!AY308</f>
        <v>-372.08525916798692</v>
      </c>
      <c r="AZ38" s="555">
        <f>Drivers!AZ297*Drivers!AZ308</f>
        <v>-379.31359090909092</v>
      </c>
      <c r="BA38" s="555">
        <f>Drivers!BA297*Drivers!BA308</f>
        <v>-386.68234417583199</v>
      </c>
      <c r="BB38" s="555">
        <f>Drivers!BB297*Drivers!BB308</f>
        <v>0</v>
      </c>
      <c r="BC38" s="555">
        <f>Drivers!BC297*Drivers!BC308</f>
        <v>0</v>
      </c>
      <c r="BD38" s="555">
        <f>Drivers!BD297*Drivers!BD308</f>
        <v>0</v>
      </c>
      <c r="BE38" s="555">
        <f>Drivers!BE297*Drivers!BE308</f>
        <v>0</v>
      </c>
      <c r="BF38" s="555">
        <f>Drivers!BF297*Drivers!BF308</f>
        <v>0</v>
      </c>
      <c r="BG38" s="555">
        <f>Drivers!BG297*Drivers!BG308</f>
        <v>0</v>
      </c>
      <c r="BH38" s="555">
        <f>Drivers!BH297*Drivers!BH308</f>
        <v>0</v>
      </c>
      <c r="BI38" s="555">
        <f>Drivers!BI297*Drivers!BI308</f>
        <v>0</v>
      </c>
      <c r="BJ38" s="555">
        <f>Drivers!BJ297*Drivers!BJ308</f>
        <v>0</v>
      </c>
      <c r="BK38" s="555">
        <f>Drivers!BK297*Drivers!BK308</f>
        <v>0</v>
      </c>
      <c r="BL38" s="555">
        <f>Drivers!BL297*Drivers!BL308</f>
        <v>0</v>
      </c>
      <c r="BM38" s="555">
        <f>Drivers!BM297*Drivers!BM308</f>
        <v>0</v>
      </c>
      <c r="BN38" s="555">
        <f>Drivers!BN297*Drivers!BN308</f>
        <v>0</v>
      </c>
      <c r="BO38" s="555"/>
      <c r="BP38" s="349">
        <v>0</v>
      </c>
      <c r="BQ38" s="349">
        <f t="shared" si="54"/>
        <v>-58</v>
      </c>
      <c r="BR38" s="349">
        <f t="shared" si="55"/>
        <v>-471</v>
      </c>
      <c r="BS38" s="349">
        <f t="shared" si="56"/>
        <v>-349</v>
      </c>
      <c r="BT38" s="349">
        <f t="shared" si="57"/>
        <v>0</v>
      </c>
      <c r="BU38" s="349">
        <f t="shared" si="58"/>
        <v>-337</v>
      </c>
      <c r="BV38" s="349">
        <f t="shared" si="59"/>
        <v>-1018</v>
      </c>
      <c r="BW38" s="349">
        <f t="shared" si="60"/>
        <v>-508</v>
      </c>
      <c r="BX38" s="349">
        <f t="shared" si="61"/>
        <v>-601</v>
      </c>
      <c r="BY38" s="349">
        <f t="shared" si="62"/>
        <v>-1192</v>
      </c>
      <c r="BZ38" s="349">
        <f t="shared" si="63"/>
        <v>-1207</v>
      </c>
      <c r="CA38" s="349">
        <f t="shared" si="64"/>
        <v>-729</v>
      </c>
      <c r="CB38" s="349">
        <f t="shared" si="65"/>
        <v>-1373.0338806012937</v>
      </c>
      <c r="CC38" s="349">
        <f t="shared" si="66"/>
        <v>-1138.0811942529099</v>
      </c>
      <c r="CD38" s="349">
        <f t="shared" si="67"/>
        <v>0</v>
      </c>
      <c r="CE38" s="349">
        <f t="shared" si="68"/>
        <v>0</v>
      </c>
      <c r="CF38" s="349">
        <f t="shared" si="69"/>
        <v>0</v>
      </c>
    </row>
    <row r="39" spans="1:84" s="369" customFormat="1" ht="12.75" customHeight="1">
      <c r="A39" s="367" t="s">
        <v>175</v>
      </c>
      <c r="B39" s="558">
        <v>0</v>
      </c>
      <c r="C39" s="558">
        <v>0</v>
      </c>
      <c r="D39" s="558">
        <v>0</v>
      </c>
      <c r="E39" s="558">
        <v>0</v>
      </c>
      <c r="F39" s="558">
        <v>0</v>
      </c>
      <c r="G39" s="558">
        <v>0</v>
      </c>
      <c r="H39" s="558">
        <v>0</v>
      </c>
      <c r="I39" s="558">
        <v>0</v>
      </c>
      <c r="J39" s="558">
        <v>0</v>
      </c>
      <c r="K39" s="558">
        <v>0</v>
      </c>
      <c r="L39" s="558">
        <v>0</v>
      </c>
      <c r="M39" s="558">
        <v>0</v>
      </c>
      <c r="N39" s="558">
        <v>0</v>
      </c>
      <c r="O39" s="558">
        <v>0</v>
      </c>
      <c r="P39" s="558">
        <v>0</v>
      </c>
      <c r="Q39" s="558">
        <v>0</v>
      </c>
      <c r="R39" s="558">
        <v>0</v>
      </c>
      <c r="S39" s="558">
        <v>0</v>
      </c>
      <c r="T39" s="558">
        <v>0</v>
      </c>
      <c r="U39" s="558">
        <v>0</v>
      </c>
      <c r="V39" s="558">
        <v>0</v>
      </c>
      <c r="W39" s="558">
        <v>0</v>
      </c>
      <c r="X39" s="558">
        <v>0</v>
      </c>
      <c r="Y39" s="558">
        <v>0</v>
      </c>
      <c r="Z39" s="558">
        <v>0</v>
      </c>
      <c r="AA39" s="558">
        <v>0</v>
      </c>
      <c r="AB39" s="558">
        <v>0</v>
      </c>
      <c r="AC39" s="558">
        <v>0</v>
      </c>
      <c r="AD39" s="558">
        <v>0</v>
      </c>
      <c r="AE39" s="558">
        <v>0</v>
      </c>
      <c r="AF39" s="558">
        <v>0</v>
      </c>
      <c r="AG39" s="558">
        <v>0</v>
      </c>
      <c r="AH39" s="558">
        <v>0</v>
      </c>
      <c r="AI39" s="558">
        <v>0</v>
      </c>
      <c r="AJ39" s="558">
        <v>0</v>
      </c>
      <c r="AK39" s="558">
        <v>0</v>
      </c>
      <c r="AL39" s="558">
        <v>0</v>
      </c>
      <c r="AM39" s="558">
        <v>0</v>
      </c>
      <c r="AN39" s="558">
        <v>0</v>
      </c>
      <c r="AO39" s="558">
        <v>0</v>
      </c>
      <c r="AP39" s="558">
        <v>0</v>
      </c>
      <c r="AQ39" s="558">
        <v>0</v>
      </c>
      <c r="AR39" s="558">
        <v>0</v>
      </c>
      <c r="AS39" s="558">
        <v>-49</v>
      </c>
      <c r="AT39" s="558">
        <v>-49</v>
      </c>
      <c r="AU39" s="558">
        <v>-49</v>
      </c>
      <c r="AV39" s="558">
        <v>-48</v>
      </c>
      <c r="AW39" s="555">
        <f>-1*AW88*Drivers!AW300</f>
        <v>-48.309573040463185</v>
      </c>
      <c r="AX39" s="555">
        <f>-1*AX88*Drivers!AX300</f>
        <v>-48.062866653649174</v>
      </c>
      <c r="AY39" s="555">
        <f>-1*AY88*Drivers!AY300</f>
        <v>-47.812367137939219</v>
      </c>
      <c r="AZ39" s="555">
        <f>-1*AZ88*Drivers!AZ300</f>
        <v>-47.55650339132854</v>
      </c>
      <c r="BA39" s="555">
        <f>-1*BA88*Drivers!BA300</f>
        <v>-47.309305902641917</v>
      </c>
      <c r="BB39" s="555">
        <f>-1*BB88*Drivers!BB300</f>
        <v>-47.270560014454055</v>
      </c>
      <c r="BC39" s="555">
        <f>-1*BC88*Drivers!BC300</f>
        <v>-47.428497333666876</v>
      </c>
      <c r="BD39" s="555">
        <f>-1*BD88*Drivers!BD300</f>
        <v>-47.58670284902049</v>
      </c>
      <c r="BE39" s="555">
        <f>-1*BE88*Drivers!BE300</f>
        <v>-47.754793557714322</v>
      </c>
      <c r="BF39" s="555">
        <f>-1*BF88*Drivers!BF300</f>
        <v>-47.917883073712318</v>
      </c>
      <c r="BG39" s="555">
        <f>-1*BG88*Drivers!BG300</f>
        <v>-48.067613518190655</v>
      </c>
      <c r="BH39" s="555">
        <f>-1*BH88*Drivers!BH300</f>
        <v>-48.232670505415228</v>
      </c>
      <c r="BI39" s="555">
        <f>-1*BI88*Drivers!BI300</f>
        <v>-48.410376750823204</v>
      </c>
      <c r="BJ39" s="555">
        <f>-1*BJ88*Drivers!BJ300</f>
        <v>-48.570845473843931</v>
      </c>
      <c r="BK39" s="555">
        <f>-1*BK88*Drivers!BK300</f>
        <v>-48.716485146103544</v>
      </c>
      <c r="BL39" s="555">
        <f>-1*BL88*Drivers!BL300</f>
        <v>-48.862630110777481</v>
      </c>
      <c r="BM39" s="555">
        <f>-1*BM88*Drivers!BM300</f>
        <v>-49.019307125927867</v>
      </c>
      <c r="BN39" s="555">
        <f>-1*BN88*Drivers!BN300</f>
        <v>-49.172065465190208</v>
      </c>
      <c r="BO39" s="555"/>
      <c r="BP39" s="349">
        <v>0</v>
      </c>
      <c r="BQ39" s="349">
        <f>SUM(C39:F39)</f>
        <v>0</v>
      </c>
      <c r="BR39" s="349">
        <f>SUM(G39:J39)</f>
        <v>0</v>
      </c>
      <c r="BS39" s="349">
        <f>SUM(K39:N39)</f>
        <v>0</v>
      </c>
      <c r="BT39" s="349">
        <f>SUM(O39:R39)</f>
        <v>0</v>
      </c>
      <c r="BU39" s="349">
        <f>SUM(S39:V39)</f>
        <v>0</v>
      </c>
      <c r="BV39" s="349">
        <f>SUM(W39:Z39)</f>
        <v>0</v>
      </c>
      <c r="BW39" s="349">
        <f>SUM(AA39:AD39)</f>
        <v>0</v>
      </c>
      <c r="BX39" s="349">
        <f>SUM(AE39:AH39)</f>
        <v>0</v>
      </c>
      <c r="BY39" s="349">
        <f>SUM(AI39:AL39)</f>
        <v>0</v>
      </c>
      <c r="BZ39" s="349">
        <f>SUM(AM39:AP39)</f>
        <v>0</v>
      </c>
      <c r="CA39" s="349">
        <f>SUM(AQ39:AT39)</f>
        <v>-98</v>
      </c>
      <c r="CB39" s="349">
        <f>SUM(AU39:AX39)</f>
        <v>-193.37243969411236</v>
      </c>
      <c r="CC39" s="349">
        <f>SUM(AY39:BB39)</f>
        <v>-189.94873644636371</v>
      </c>
      <c r="CD39" s="349">
        <f>SUM(BC39:BF39)</f>
        <v>-190.68787681411399</v>
      </c>
      <c r="CE39" s="349">
        <f t="shared" si="68"/>
        <v>-193.28150624827299</v>
      </c>
      <c r="CF39" s="349">
        <f t="shared" si="69"/>
        <v>-195.77048784799911</v>
      </c>
    </row>
    <row r="40" spans="1:84" s="369" customFormat="1" ht="12.75" customHeight="1">
      <c r="A40" s="367" t="s">
        <v>149</v>
      </c>
      <c r="B40" s="558">
        <v>0</v>
      </c>
      <c r="C40" s="558">
        <v>0</v>
      </c>
      <c r="D40" s="558">
        <v>0</v>
      </c>
      <c r="E40" s="558">
        <v>0</v>
      </c>
      <c r="F40" s="558">
        <v>0</v>
      </c>
      <c r="G40" s="558">
        <v>0</v>
      </c>
      <c r="H40" s="558">
        <v>0</v>
      </c>
      <c r="I40" s="558">
        <v>0</v>
      </c>
      <c r="J40" s="558">
        <v>-25</v>
      </c>
      <c r="K40" s="558">
        <v>-1</v>
      </c>
      <c r="L40" s="558">
        <v>-25</v>
      </c>
      <c r="M40" s="558">
        <v>-2</v>
      </c>
      <c r="N40" s="558">
        <v>0</v>
      </c>
      <c r="O40" s="558">
        <v>-1</v>
      </c>
      <c r="P40" s="558">
        <v>0</v>
      </c>
      <c r="Q40" s="558">
        <v>0</v>
      </c>
      <c r="R40" s="558">
        <v>0</v>
      </c>
      <c r="S40" s="558">
        <v>0</v>
      </c>
      <c r="T40" s="558">
        <v>0</v>
      </c>
      <c r="U40" s="558">
        <v>0</v>
      </c>
      <c r="V40" s="558">
        <v>0</v>
      </c>
      <c r="W40" s="558">
        <v>0</v>
      </c>
      <c r="X40" s="558">
        <v>0</v>
      </c>
      <c r="Y40" s="558">
        <v>0</v>
      </c>
      <c r="Z40" s="558">
        <v>0</v>
      </c>
      <c r="AA40" s="558">
        <v>0</v>
      </c>
      <c r="AB40" s="558">
        <v>0</v>
      </c>
      <c r="AC40" s="558">
        <v>0</v>
      </c>
      <c r="AD40" s="558">
        <v>0</v>
      </c>
      <c r="AE40" s="558">
        <v>0</v>
      </c>
      <c r="AF40" s="558">
        <v>0</v>
      </c>
      <c r="AG40" s="558">
        <v>0</v>
      </c>
      <c r="AH40" s="558">
        <v>0</v>
      </c>
      <c r="AI40" s="558">
        <v>0</v>
      </c>
      <c r="AJ40" s="558">
        <v>0</v>
      </c>
      <c r="AK40" s="558">
        <v>0</v>
      </c>
      <c r="AL40" s="558">
        <v>0</v>
      </c>
      <c r="AM40" s="558">
        <v>-32</v>
      </c>
      <c r="AN40" s="558">
        <v>-32</v>
      </c>
      <c r="AO40" s="558">
        <v>-26</v>
      </c>
      <c r="AP40" s="558">
        <v>-32</v>
      </c>
      <c r="AQ40" s="558">
        <v>0</v>
      </c>
      <c r="AR40" s="558">
        <v>0</v>
      </c>
      <c r="AS40" s="558">
        <v>0</v>
      </c>
      <c r="AT40" s="558">
        <v>0</v>
      </c>
      <c r="AU40" s="558">
        <v>0</v>
      </c>
      <c r="AV40" s="558">
        <v>0</v>
      </c>
      <c r="AW40" s="559">
        <v>0</v>
      </c>
      <c r="AX40" s="559">
        <v>0</v>
      </c>
      <c r="AY40" s="559">
        <v>0</v>
      </c>
      <c r="AZ40" s="559">
        <v>0</v>
      </c>
      <c r="BA40" s="559">
        <v>0</v>
      </c>
      <c r="BB40" s="559">
        <v>0</v>
      </c>
      <c r="BC40" s="559">
        <v>0</v>
      </c>
      <c r="BD40" s="559">
        <v>0</v>
      </c>
      <c r="BE40" s="559">
        <v>0</v>
      </c>
      <c r="BF40" s="559">
        <v>0</v>
      </c>
      <c r="BG40" s="559">
        <v>0</v>
      </c>
      <c r="BH40" s="559">
        <v>0</v>
      </c>
      <c r="BI40" s="559">
        <v>0</v>
      </c>
      <c r="BJ40" s="559">
        <v>0</v>
      </c>
      <c r="BK40" s="559">
        <v>0</v>
      </c>
      <c r="BL40" s="559">
        <v>0</v>
      </c>
      <c r="BM40" s="559">
        <v>0</v>
      </c>
      <c r="BN40" s="559">
        <v>0</v>
      </c>
      <c r="BO40" s="559"/>
      <c r="BP40" s="349">
        <v>0</v>
      </c>
      <c r="BQ40" s="349">
        <f t="shared" si="54"/>
        <v>0</v>
      </c>
      <c r="BR40" s="349">
        <f t="shared" si="55"/>
        <v>-25</v>
      </c>
      <c r="BS40" s="349">
        <f t="shared" si="56"/>
        <v>-28</v>
      </c>
      <c r="BT40" s="349">
        <f t="shared" si="57"/>
        <v>-1</v>
      </c>
      <c r="BU40" s="349">
        <f t="shared" si="58"/>
        <v>0</v>
      </c>
      <c r="BV40" s="349">
        <f t="shared" si="59"/>
        <v>0</v>
      </c>
      <c r="BW40" s="349">
        <f t="shared" si="60"/>
        <v>0</v>
      </c>
      <c r="BX40" s="349">
        <f t="shared" si="61"/>
        <v>0</v>
      </c>
      <c r="BY40" s="349">
        <f t="shared" si="62"/>
        <v>0</v>
      </c>
      <c r="BZ40" s="349">
        <f t="shared" si="63"/>
        <v>-122</v>
      </c>
      <c r="CA40" s="349">
        <f t="shared" si="64"/>
        <v>0</v>
      </c>
      <c r="CB40" s="349">
        <f t="shared" si="65"/>
        <v>0</v>
      </c>
      <c r="CC40" s="349">
        <f t="shared" si="66"/>
        <v>0</v>
      </c>
      <c r="CD40" s="349">
        <f t="shared" si="67"/>
        <v>0</v>
      </c>
      <c r="CE40" s="349">
        <f t="shared" si="68"/>
        <v>0</v>
      </c>
      <c r="CF40" s="349">
        <f t="shared" si="69"/>
        <v>0</v>
      </c>
    </row>
    <row r="41" spans="1:84" s="565" customFormat="1" ht="12.75" customHeight="1">
      <c r="A41" s="562" t="s">
        <v>68</v>
      </c>
      <c r="B41" s="563">
        <f t="shared" ref="B41:AG41" si="72">SUM(B31:B40)</f>
        <v>15</v>
      </c>
      <c r="C41" s="563">
        <f t="shared" si="72"/>
        <v>1</v>
      </c>
      <c r="D41" s="563">
        <f t="shared" si="72"/>
        <v>16</v>
      </c>
      <c r="E41" s="563">
        <f t="shared" si="72"/>
        <v>0</v>
      </c>
      <c r="F41" s="563">
        <f t="shared" si="72"/>
        <v>-40</v>
      </c>
      <c r="G41" s="563">
        <f t="shared" si="72"/>
        <v>-75</v>
      </c>
      <c r="H41" s="563">
        <f t="shared" si="72"/>
        <v>499</v>
      </c>
      <c r="I41" s="563">
        <f t="shared" si="72"/>
        <v>-36</v>
      </c>
      <c r="J41" s="563">
        <f t="shared" si="72"/>
        <v>-248</v>
      </c>
      <c r="K41" s="563">
        <f t="shared" si="72"/>
        <v>-72</v>
      </c>
      <c r="L41" s="563">
        <f t="shared" si="72"/>
        <v>-117</v>
      </c>
      <c r="M41" s="563">
        <f t="shared" si="72"/>
        <v>-158</v>
      </c>
      <c r="N41" s="563">
        <f t="shared" si="72"/>
        <v>2</v>
      </c>
      <c r="O41" s="563">
        <f t="shared" si="72"/>
        <v>21</v>
      </c>
      <c r="P41" s="563">
        <f t="shared" si="72"/>
        <v>28</v>
      </c>
      <c r="Q41" s="563">
        <f t="shared" si="72"/>
        <v>1</v>
      </c>
      <c r="R41" s="563">
        <f t="shared" si="72"/>
        <v>39</v>
      </c>
      <c r="S41" s="563">
        <f t="shared" si="72"/>
        <v>-33</v>
      </c>
      <c r="T41" s="563">
        <f t="shared" si="72"/>
        <v>-72</v>
      </c>
      <c r="U41" s="563">
        <f t="shared" si="72"/>
        <v>-90</v>
      </c>
      <c r="V41" s="563">
        <f t="shared" si="72"/>
        <v>-60</v>
      </c>
      <c r="W41" s="563">
        <f t="shared" si="72"/>
        <v>-47</v>
      </c>
      <c r="X41" s="563">
        <f t="shared" si="72"/>
        <v>-260</v>
      </c>
      <c r="Y41" s="563">
        <f t="shared" si="72"/>
        <v>-211</v>
      </c>
      <c r="Z41" s="563">
        <f t="shared" si="72"/>
        <v>212</v>
      </c>
      <c r="AA41" s="563">
        <f t="shared" si="72"/>
        <v>-249</v>
      </c>
      <c r="AB41" s="563">
        <f t="shared" si="72"/>
        <v>-245</v>
      </c>
      <c r="AC41" s="563">
        <f t="shared" si="72"/>
        <v>-109</v>
      </c>
      <c r="AD41" s="563">
        <f t="shared" si="72"/>
        <v>-104</v>
      </c>
      <c r="AE41" s="563">
        <f t="shared" si="72"/>
        <v>-215</v>
      </c>
      <c r="AF41" s="563">
        <f t="shared" si="72"/>
        <v>-136</v>
      </c>
      <c r="AG41" s="563">
        <f t="shared" si="72"/>
        <v>-157</v>
      </c>
      <c r="AH41" s="563">
        <f t="shared" ref="AH41:BM41" si="73">SUM(AH31:AH40)</f>
        <v>-135</v>
      </c>
      <c r="AI41" s="563">
        <f t="shared" si="73"/>
        <v>-388</v>
      </c>
      <c r="AJ41" s="563">
        <f t="shared" si="73"/>
        <v>-271</v>
      </c>
      <c r="AK41" s="563">
        <f t="shared" si="73"/>
        <v>-312</v>
      </c>
      <c r="AL41" s="563">
        <f t="shared" si="73"/>
        <v>-282</v>
      </c>
      <c r="AM41" s="563">
        <f t="shared" si="73"/>
        <v>-385</v>
      </c>
      <c r="AN41" s="563">
        <f t="shared" si="73"/>
        <v>-312</v>
      </c>
      <c r="AO41" s="563">
        <f t="shared" si="73"/>
        <v>-361</v>
      </c>
      <c r="AP41" s="563">
        <f t="shared" si="73"/>
        <v>-300</v>
      </c>
      <c r="AQ41" s="563">
        <f t="shared" si="73"/>
        <v>-144</v>
      </c>
      <c r="AR41" s="563">
        <f t="shared" si="73"/>
        <v>32</v>
      </c>
      <c r="AS41" s="563">
        <f t="shared" si="73"/>
        <v>-429</v>
      </c>
      <c r="AT41" s="563">
        <f t="shared" si="73"/>
        <v>526</v>
      </c>
      <c r="AU41" s="563">
        <f t="shared" si="73"/>
        <v>-479</v>
      </c>
      <c r="AV41" s="563">
        <f t="shared" si="73"/>
        <v>-348</v>
      </c>
      <c r="AW41" s="563">
        <f t="shared" si="73"/>
        <v>-445.432493445148</v>
      </c>
      <c r="AX41" s="563">
        <f t="shared" si="73"/>
        <v>-426.77743203548619</v>
      </c>
      <c r="AY41" s="563">
        <f t="shared" si="73"/>
        <v>-477.15162530259954</v>
      </c>
      <c r="AZ41" s="563">
        <f t="shared" si="73"/>
        <v>-435.01886338984423</v>
      </c>
      <c r="BA41" s="563">
        <f t="shared" si="73"/>
        <v>-474.52003964720939</v>
      </c>
      <c r="BB41" s="563">
        <f t="shared" si="73"/>
        <v>-63.152605444623184</v>
      </c>
      <c r="BC41" s="563">
        <f t="shared" si="73"/>
        <v>-96.675211455110144</v>
      </c>
      <c r="BD41" s="563">
        <f t="shared" si="73"/>
        <v>-62.576741489592962</v>
      </c>
      <c r="BE41" s="563">
        <f t="shared" si="73"/>
        <v>-87.465872984909851</v>
      </c>
      <c r="BF41" s="563">
        <f t="shared" si="73"/>
        <v>-63.942011447363527</v>
      </c>
      <c r="BG41" s="563">
        <f t="shared" si="73"/>
        <v>-97.867770594038475</v>
      </c>
      <c r="BH41" s="563">
        <f t="shared" si="73"/>
        <v>-67.598931253440952</v>
      </c>
      <c r="BI41" s="563">
        <f t="shared" si="73"/>
        <v>-90.629125702934331</v>
      </c>
      <c r="BJ41" s="563">
        <f t="shared" si="73"/>
        <v>-65.391295316787435</v>
      </c>
      <c r="BK41" s="563">
        <f t="shared" si="73"/>
        <v>-100.67432472691451</v>
      </c>
      <c r="BL41" s="563">
        <f t="shared" si="73"/>
        <v>-66.423062338515294</v>
      </c>
      <c r="BM41" s="563">
        <f t="shared" si="73"/>
        <v>-92.050790688897294</v>
      </c>
      <c r="BN41" s="563">
        <f>SUM(BN31:BN40)</f>
        <v>-66.567077859939275</v>
      </c>
      <c r="BO41" s="563"/>
      <c r="BP41" s="564">
        <v>53</v>
      </c>
      <c r="BQ41" s="564">
        <f>SUM(C41:F41)</f>
        <v>-23</v>
      </c>
      <c r="BR41" s="564">
        <f>SUM(G41:J41)</f>
        <v>140</v>
      </c>
      <c r="BS41" s="564">
        <f>SUM(K41:N41)</f>
        <v>-345</v>
      </c>
      <c r="BT41" s="564">
        <f>SUM(O41:R41)</f>
        <v>89</v>
      </c>
      <c r="BU41" s="564">
        <f>SUM(S41:V41)</f>
        <v>-255</v>
      </c>
      <c r="BV41" s="564">
        <f>SUM(W41:Z41)</f>
        <v>-306</v>
      </c>
      <c r="BW41" s="564">
        <f>SUM(AA41:AD41)</f>
        <v>-707</v>
      </c>
      <c r="BX41" s="564">
        <f>SUM(AE41:AH41)</f>
        <v>-643</v>
      </c>
      <c r="BY41" s="564">
        <f>SUM(AI41:AL41)</f>
        <v>-1253</v>
      </c>
      <c r="BZ41" s="564">
        <f>SUM(AM41:AP41)</f>
        <v>-1358</v>
      </c>
      <c r="CA41" s="564">
        <f>SUM(AQ41:AT41)</f>
        <v>-15</v>
      </c>
      <c r="CB41" s="564">
        <f>SUM(AU41:AX41)</f>
        <v>-1699.209925480634</v>
      </c>
      <c r="CC41" s="564">
        <f>SUM(AY41:BB41)</f>
        <v>-1449.8431337842762</v>
      </c>
      <c r="CD41" s="564">
        <f>SUM(BC41:BF41)</f>
        <v>-310.6598373769765</v>
      </c>
      <c r="CE41" s="564">
        <f>SUM(BG41:BJ41)</f>
        <v>-321.48712286720121</v>
      </c>
      <c r="CF41" s="564">
        <f>SUM(BK41:BN41)</f>
        <v>-325.71525561426637</v>
      </c>
    </row>
    <row r="42" spans="1:84" s="369" customFormat="1" ht="12.75" customHeight="1">
      <c r="A42" s="557"/>
      <c r="B42" s="570"/>
      <c r="C42" s="570"/>
      <c r="D42" s="570"/>
      <c r="E42" s="570"/>
      <c r="F42" s="570"/>
      <c r="G42" s="570"/>
      <c r="H42" s="570"/>
      <c r="I42" s="570"/>
      <c r="J42" s="570"/>
      <c r="K42" s="570"/>
      <c r="L42" s="570"/>
      <c r="M42" s="570"/>
      <c r="N42" s="570"/>
      <c r="O42" s="570"/>
      <c r="P42" s="570"/>
      <c r="Q42" s="570"/>
      <c r="R42" s="570"/>
      <c r="S42" s="570"/>
      <c r="T42" s="570"/>
      <c r="U42" s="570"/>
      <c r="V42" s="570"/>
      <c r="W42" s="570"/>
      <c r="X42" s="570"/>
      <c r="Y42" s="570"/>
      <c r="Z42" s="570"/>
      <c r="AA42" s="570"/>
      <c r="AB42" s="570"/>
      <c r="AC42" s="570"/>
      <c r="AD42" s="570"/>
      <c r="AE42" s="570"/>
      <c r="AF42" s="570"/>
      <c r="AG42" s="570"/>
      <c r="AH42" s="570"/>
      <c r="AI42" s="570"/>
      <c r="AJ42" s="570"/>
      <c r="AK42" s="570"/>
      <c r="AL42" s="570"/>
      <c r="AM42" s="570"/>
      <c r="AN42" s="570"/>
      <c r="AO42" s="570"/>
      <c r="AP42" s="570"/>
      <c r="AQ42" s="570"/>
      <c r="AR42" s="570"/>
      <c r="AS42" s="570"/>
      <c r="AT42" s="570"/>
      <c r="AU42" s="570"/>
      <c r="AV42" s="570"/>
      <c r="AW42" s="570"/>
      <c r="AX42" s="570"/>
      <c r="AY42" s="570"/>
      <c r="AZ42" s="570"/>
      <c r="BA42" s="570"/>
      <c r="BB42" s="570"/>
      <c r="BC42" s="570"/>
      <c r="BD42" s="570"/>
      <c r="BE42" s="570"/>
      <c r="BF42" s="570"/>
      <c r="BG42" s="570"/>
      <c r="BH42" s="570"/>
      <c r="BI42" s="570"/>
      <c r="BJ42" s="570"/>
      <c r="BK42" s="570"/>
      <c r="BL42" s="570"/>
      <c r="BM42" s="570"/>
      <c r="BN42" s="570"/>
      <c r="BO42" s="570"/>
      <c r="BP42" s="571"/>
      <c r="BQ42" s="571"/>
      <c r="BR42" s="571"/>
      <c r="BS42" s="571"/>
      <c r="BT42" s="571"/>
      <c r="BU42" s="571"/>
      <c r="BV42" s="571"/>
      <c r="BW42" s="571"/>
      <c r="BX42" s="571"/>
      <c r="BY42" s="571"/>
      <c r="BZ42" s="571"/>
      <c r="CA42" s="571"/>
      <c r="CB42" s="571"/>
      <c r="CC42" s="571"/>
      <c r="CD42" s="571"/>
      <c r="CE42" s="571"/>
      <c r="CF42" s="571"/>
    </row>
    <row r="43" spans="1:84" s="369" customFormat="1" ht="12.75" customHeight="1">
      <c r="A43" s="557" t="s">
        <v>46</v>
      </c>
      <c r="B43" s="558">
        <v>-8</v>
      </c>
      <c r="C43" s="558">
        <v>-16</v>
      </c>
      <c r="D43" s="558">
        <v>20</v>
      </c>
      <c r="E43" s="558">
        <v>-1</v>
      </c>
      <c r="F43" s="558">
        <v>21</v>
      </c>
      <c r="G43" s="558">
        <v>7</v>
      </c>
      <c r="H43" s="558">
        <v>-20</v>
      </c>
      <c r="I43" s="558">
        <v>-13</v>
      </c>
      <c r="J43" s="558">
        <v>12</v>
      </c>
      <c r="K43" s="558">
        <v>-18</v>
      </c>
      <c r="L43" s="558">
        <v>15</v>
      </c>
      <c r="M43" s="558">
        <v>5</v>
      </c>
      <c r="N43" s="558">
        <v>-14</v>
      </c>
      <c r="O43" s="558">
        <v>-7</v>
      </c>
      <c r="P43" s="558">
        <v>9</v>
      </c>
      <c r="Q43" s="558">
        <v>-4</v>
      </c>
      <c r="R43" s="558">
        <v>-8</v>
      </c>
      <c r="S43" s="558">
        <v>8</v>
      </c>
      <c r="T43" s="558">
        <v>-15</v>
      </c>
      <c r="U43" s="558">
        <v>-23</v>
      </c>
      <c r="V43" s="558">
        <v>-26</v>
      </c>
      <c r="W43" s="558">
        <v>0</v>
      </c>
      <c r="X43" s="558">
        <v>-21</v>
      </c>
      <c r="Y43" s="558">
        <v>-10</v>
      </c>
      <c r="Z43" s="558">
        <v>23</v>
      </c>
      <c r="AA43" s="558">
        <v>-3</v>
      </c>
      <c r="AB43" s="558">
        <v>-5</v>
      </c>
      <c r="AC43" s="558">
        <v>-20</v>
      </c>
      <c r="AD43" s="558">
        <v>10</v>
      </c>
      <c r="AE43" s="558">
        <v>10</v>
      </c>
      <c r="AF43" s="558">
        <v>23</v>
      </c>
      <c r="AG43" s="558">
        <v>-8</v>
      </c>
      <c r="AH43" s="558">
        <v>-3</v>
      </c>
      <c r="AI43" s="558">
        <v>-11</v>
      </c>
      <c r="AJ43" s="558">
        <v>3</v>
      </c>
      <c r="AK43" s="558">
        <v>-9</v>
      </c>
      <c r="AL43" s="558">
        <v>4</v>
      </c>
      <c r="AM43" s="558">
        <v>2</v>
      </c>
      <c r="AN43" s="558">
        <v>-5</v>
      </c>
      <c r="AO43" s="558">
        <v>3</v>
      </c>
      <c r="AP43" s="558">
        <v>-22</v>
      </c>
      <c r="AQ43" s="558">
        <v>19</v>
      </c>
      <c r="AR43" s="558">
        <v>6</v>
      </c>
      <c r="AS43" s="558">
        <v>18</v>
      </c>
      <c r="AT43" s="558">
        <v>35</v>
      </c>
      <c r="AU43" s="558">
        <v>11</v>
      </c>
      <c r="AV43" s="558">
        <v>-13</v>
      </c>
      <c r="AW43" s="559">
        <v>0</v>
      </c>
      <c r="AX43" s="559">
        <v>0</v>
      </c>
      <c r="AY43" s="559">
        <v>0</v>
      </c>
      <c r="AZ43" s="559">
        <v>0</v>
      </c>
      <c r="BA43" s="559">
        <v>0</v>
      </c>
      <c r="BB43" s="559">
        <v>0</v>
      </c>
      <c r="BC43" s="559">
        <v>0</v>
      </c>
      <c r="BD43" s="559">
        <v>0</v>
      </c>
      <c r="BE43" s="559">
        <v>0</v>
      </c>
      <c r="BF43" s="559">
        <v>0</v>
      </c>
      <c r="BG43" s="559">
        <v>0</v>
      </c>
      <c r="BH43" s="559">
        <v>0</v>
      </c>
      <c r="BI43" s="559">
        <v>0</v>
      </c>
      <c r="BJ43" s="559">
        <v>0</v>
      </c>
      <c r="BK43" s="559">
        <v>0</v>
      </c>
      <c r="BL43" s="559">
        <v>0</v>
      </c>
      <c r="BM43" s="559">
        <v>0</v>
      </c>
      <c r="BN43" s="559">
        <v>0</v>
      </c>
      <c r="BO43" s="559"/>
      <c r="BP43" s="349">
        <v>19</v>
      </c>
      <c r="BQ43" s="349">
        <f>SUM(C43:F43)</f>
        <v>24</v>
      </c>
      <c r="BR43" s="349">
        <f>SUM(G43:J43)</f>
        <v>-14</v>
      </c>
      <c r="BS43" s="349">
        <f>SUM(K43:N43)</f>
        <v>-12</v>
      </c>
      <c r="BT43" s="349">
        <f>SUM(O43:R43)</f>
        <v>-10</v>
      </c>
      <c r="BU43" s="349">
        <f>SUM(S43:V43)</f>
        <v>-56</v>
      </c>
      <c r="BV43" s="349">
        <f>SUM(W43:Z43)</f>
        <v>-8</v>
      </c>
      <c r="BW43" s="349">
        <f>SUM(AA43:AD43)</f>
        <v>-18</v>
      </c>
      <c r="BX43" s="349">
        <f>SUM(AE43:AH43)</f>
        <v>22</v>
      </c>
      <c r="BY43" s="349">
        <f>SUM(AI43:AL43)</f>
        <v>-13</v>
      </c>
      <c r="BZ43" s="349">
        <f>SUM(AM43:AP43)</f>
        <v>-22</v>
      </c>
      <c r="CA43" s="349">
        <f>SUM(AQ43:AT43)</f>
        <v>78</v>
      </c>
      <c r="CB43" s="349">
        <f>SUM(AU43:AX43)</f>
        <v>-2</v>
      </c>
      <c r="CC43" s="349">
        <f>SUM(AY43:BB43)</f>
        <v>0</v>
      </c>
      <c r="CD43" s="349">
        <f>SUM(BC43:BF43)</f>
        <v>0</v>
      </c>
      <c r="CE43" s="349">
        <f>SUM(BG43:BJ43)</f>
        <v>0</v>
      </c>
      <c r="CF43" s="349">
        <f>SUM(BK43:BN43)</f>
        <v>0</v>
      </c>
    </row>
    <row r="44" spans="1:84" s="369" customFormat="1" ht="12.75" customHeight="1">
      <c r="A44" s="557" t="s">
        <v>53</v>
      </c>
      <c r="B44" s="555">
        <f t="shared" ref="B44:AG44" si="74">B20+B29+B41+B43</f>
        <v>159</v>
      </c>
      <c r="C44" s="555">
        <f t="shared" si="74"/>
        <v>-216</v>
      </c>
      <c r="D44" s="555">
        <f t="shared" si="74"/>
        <v>-1</v>
      </c>
      <c r="E44" s="555">
        <f t="shared" si="74"/>
        <v>297</v>
      </c>
      <c r="F44" s="555">
        <f t="shared" si="74"/>
        <v>226</v>
      </c>
      <c r="G44" s="555">
        <f t="shared" si="74"/>
        <v>-406</v>
      </c>
      <c r="H44" s="555">
        <f t="shared" si="74"/>
        <v>-243</v>
      </c>
      <c r="I44" s="555">
        <f t="shared" si="74"/>
        <v>312</v>
      </c>
      <c r="J44" s="555">
        <f t="shared" si="74"/>
        <v>51</v>
      </c>
      <c r="K44" s="555">
        <f t="shared" si="74"/>
        <v>-374</v>
      </c>
      <c r="L44" s="555">
        <f t="shared" si="74"/>
        <v>-48</v>
      </c>
      <c r="M44" s="555">
        <f t="shared" si="74"/>
        <v>287</v>
      </c>
      <c r="N44" s="555">
        <f t="shared" si="74"/>
        <v>134</v>
      </c>
      <c r="O44" s="555">
        <f t="shared" si="74"/>
        <v>-236</v>
      </c>
      <c r="P44" s="555">
        <f t="shared" si="74"/>
        <v>34</v>
      </c>
      <c r="Q44" s="555">
        <f t="shared" si="74"/>
        <v>656</v>
      </c>
      <c r="R44" s="555">
        <f t="shared" si="74"/>
        <v>36</v>
      </c>
      <c r="S44" s="555">
        <f t="shared" si="74"/>
        <v>-228</v>
      </c>
      <c r="T44" s="555">
        <f t="shared" si="74"/>
        <v>70</v>
      </c>
      <c r="U44" s="555">
        <f t="shared" si="74"/>
        <v>542</v>
      </c>
      <c r="V44" s="555">
        <f t="shared" si="74"/>
        <v>-98</v>
      </c>
      <c r="W44" s="555">
        <f t="shared" si="74"/>
        <v>-258</v>
      </c>
      <c r="X44" s="555">
        <f t="shared" si="74"/>
        <v>-212</v>
      </c>
      <c r="Y44" s="555">
        <f t="shared" si="74"/>
        <v>665</v>
      </c>
      <c r="Z44" s="555">
        <f t="shared" si="74"/>
        <v>230</v>
      </c>
      <c r="AA44" s="555">
        <f t="shared" si="74"/>
        <v>-451</v>
      </c>
      <c r="AB44" s="555">
        <f t="shared" si="74"/>
        <v>-296</v>
      </c>
      <c r="AC44" s="555">
        <f t="shared" si="74"/>
        <v>737</v>
      </c>
      <c r="AD44" s="555">
        <f t="shared" si="74"/>
        <v>82</v>
      </c>
      <c r="AE44" s="555">
        <f t="shared" si="74"/>
        <v>-317</v>
      </c>
      <c r="AF44" s="555">
        <f t="shared" si="74"/>
        <v>-181</v>
      </c>
      <c r="AG44" s="555">
        <f t="shared" si="74"/>
        <v>499</v>
      </c>
      <c r="AH44" s="555">
        <f t="shared" ref="AH44:BM44" si="75">AH20+AH29+AH41+AH43</f>
        <v>1692</v>
      </c>
      <c r="AI44" s="555">
        <f t="shared" si="75"/>
        <v>-382</v>
      </c>
      <c r="AJ44" s="555">
        <f t="shared" si="75"/>
        <v>-995</v>
      </c>
      <c r="AK44" s="555">
        <f t="shared" si="75"/>
        <v>1006</v>
      </c>
      <c r="AL44" s="555">
        <f t="shared" si="75"/>
        <v>821</v>
      </c>
      <c r="AM44" s="555">
        <f t="shared" si="75"/>
        <v>-1175</v>
      </c>
      <c r="AN44" s="555">
        <f t="shared" si="75"/>
        <v>-593</v>
      </c>
      <c r="AO44" s="555">
        <f t="shared" si="75"/>
        <v>663</v>
      </c>
      <c r="AP44" s="555">
        <f t="shared" si="75"/>
        <v>165</v>
      </c>
      <c r="AQ44" s="555">
        <f t="shared" si="75"/>
        <v>245</v>
      </c>
      <c r="AR44" s="555">
        <f t="shared" si="75"/>
        <v>46</v>
      </c>
      <c r="AS44" s="555">
        <f t="shared" si="75"/>
        <v>713</v>
      </c>
      <c r="AT44" s="555">
        <f t="shared" si="75"/>
        <v>488</v>
      </c>
      <c r="AU44" s="555">
        <f t="shared" si="75"/>
        <v>-2422</v>
      </c>
      <c r="AV44" s="555">
        <f t="shared" si="75"/>
        <v>-1208</v>
      </c>
      <c r="AW44" s="555">
        <f t="shared" si="75"/>
        <v>1120.1784937746747</v>
      </c>
      <c r="AX44" s="555">
        <f t="shared" si="75"/>
        <v>127.239395817939</v>
      </c>
      <c r="AY44" s="555">
        <f t="shared" si="75"/>
        <v>-259.63105485821399</v>
      </c>
      <c r="AZ44" s="555">
        <f t="shared" si="75"/>
        <v>-387.65551901657687</v>
      </c>
      <c r="BA44" s="555">
        <f t="shared" si="75"/>
        <v>1201.5036898919216</v>
      </c>
      <c r="BB44" s="555">
        <f t="shared" si="75"/>
        <v>521.94496495394196</v>
      </c>
      <c r="BC44" s="555">
        <f t="shared" si="75"/>
        <v>12.271557313705117</v>
      </c>
      <c r="BD44" s="555">
        <f t="shared" si="75"/>
        <v>-15.064612518724019</v>
      </c>
      <c r="BE44" s="555">
        <f t="shared" si="75"/>
        <v>1685.403647618157</v>
      </c>
      <c r="BF44" s="555">
        <f t="shared" si="75"/>
        <v>502.59553845002068</v>
      </c>
      <c r="BG44" s="555">
        <f t="shared" si="75"/>
        <v>83.080432114046076</v>
      </c>
      <c r="BH44" s="555">
        <f t="shared" si="75"/>
        <v>56.496570946540828</v>
      </c>
      <c r="BI44" s="555">
        <f t="shared" si="75"/>
        <v>1826.3362615750768</v>
      </c>
      <c r="BJ44" s="555">
        <f t="shared" si="75"/>
        <v>547.61703295238999</v>
      </c>
      <c r="BK44" s="555">
        <f t="shared" si="75"/>
        <v>106.13449636210146</v>
      </c>
      <c r="BL44" s="555">
        <f t="shared" si="75"/>
        <v>1.0061527440236233</v>
      </c>
      <c r="BM44" s="555">
        <f t="shared" si="75"/>
        <v>1865.8837277269952</v>
      </c>
      <c r="BN44" s="555">
        <f>BN20+BN29+BN41+BN43</f>
        <v>596.60572043774459</v>
      </c>
      <c r="BO44" s="555"/>
      <c r="BP44" s="349">
        <f t="shared" ref="BP44:CF44" si="76">BP20+BP29+BP41+BP43</f>
        <v>-348</v>
      </c>
      <c r="BQ44" s="349">
        <f t="shared" si="76"/>
        <v>306</v>
      </c>
      <c r="BR44" s="349">
        <f t="shared" si="76"/>
        <v>-286</v>
      </c>
      <c r="BS44" s="349">
        <f t="shared" si="76"/>
        <v>-1</v>
      </c>
      <c r="BT44" s="349">
        <f t="shared" si="76"/>
        <v>490</v>
      </c>
      <c r="BU44" s="349">
        <f t="shared" si="76"/>
        <v>286</v>
      </c>
      <c r="BV44" s="349">
        <f t="shared" si="76"/>
        <v>425</v>
      </c>
      <c r="BW44" s="349">
        <f t="shared" si="76"/>
        <v>72</v>
      </c>
      <c r="BX44" s="349">
        <f t="shared" si="76"/>
        <v>1693</v>
      </c>
      <c r="BY44" s="349">
        <f t="shared" si="76"/>
        <v>450</v>
      </c>
      <c r="BZ44" s="349">
        <f t="shared" si="76"/>
        <v>-940</v>
      </c>
      <c r="CA44" s="349">
        <f t="shared" si="76"/>
        <v>1492</v>
      </c>
      <c r="CB44" s="349">
        <f t="shared" si="76"/>
        <v>-2382.5821104073862</v>
      </c>
      <c r="CC44" s="349">
        <f t="shared" si="76"/>
        <v>1076.162080971073</v>
      </c>
      <c r="CD44" s="349">
        <f t="shared" si="76"/>
        <v>2185.2061308631587</v>
      </c>
      <c r="CE44" s="349">
        <f t="shared" si="76"/>
        <v>2513.5302975880536</v>
      </c>
      <c r="CF44" s="349">
        <f t="shared" si="76"/>
        <v>2569.630097270865</v>
      </c>
    </row>
    <row r="45" spans="1:84" s="565" customFormat="1" ht="12.75" customHeight="1">
      <c r="A45" s="562" t="s">
        <v>294</v>
      </c>
      <c r="B45" s="572">
        <v>1273</v>
      </c>
      <c r="C45" s="563">
        <f t="shared" ref="C45:AH45" si="77">B45+C44</f>
        <v>1057</v>
      </c>
      <c r="D45" s="563">
        <f t="shared" si="77"/>
        <v>1056</v>
      </c>
      <c r="E45" s="563">
        <f t="shared" si="77"/>
        <v>1353</v>
      </c>
      <c r="F45" s="563">
        <f t="shared" si="77"/>
        <v>1579</v>
      </c>
      <c r="G45" s="563">
        <f t="shared" si="77"/>
        <v>1173</v>
      </c>
      <c r="H45" s="563">
        <f t="shared" si="77"/>
        <v>930</v>
      </c>
      <c r="I45" s="563">
        <f t="shared" si="77"/>
        <v>1242</v>
      </c>
      <c r="J45" s="563">
        <f t="shared" si="77"/>
        <v>1293</v>
      </c>
      <c r="K45" s="563">
        <f t="shared" si="77"/>
        <v>919</v>
      </c>
      <c r="L45" s="563">
        <f t="shared" si="77"/>
        <v>871</v>
      </c>
      <c r="M45" s="563">
        <f t="shared" si="77"/>
        <v>1158</v>
      </c>
      <c r="N45" s="563">
        <f t="shared" si="77"/>
        <v>1292</v>
      </c>
      <c r="O45" s="563">
        <f t="shared" si="77"/>
        <v>1056</v>
      </c>
      <c r="P45" s="563">
        <f t="shared" si="77"/>
        <v>1090</v>
      </c>
      <c r="Q45" s="563">
        <f t="shared" si="77"/>
        <v>1746</v>
      </c>
      <c r="R45" s="563">
        <f t="shared" si="77"/>
        <v>1782</v>
      </c>
      <c r="S45" s="563">
        <f t="shared" si="77"/>
        <v>1554</v>
      </c>
      <c r="T45" s="563">
        <f t="shared" si="77"/>
        <v>1624</v>
      </c>
      <c r="U45" s="563">
        <f t="shared" si="77"/>
        <v>2166</v>
      </c>
      <c r="V45" s="563">
        <f t="shared" si="77"/>
        <v>2068</v>
      </c>
      <c r="W45" s="563">
        <f t="shared" si="77"/>
        <v>1810</v>
      </c>
      <c r="X45" s="563">
        <f t="shared" si="77"/>
        <v>1598</v>
      </c>
      <c r="Y45" s="563">
        <f t="shared" si="77"/>
        <v>2263</v>
      </c>
      <c r="Z45" s="563">
        <f t="shared" si="77"/>
        <v>2493</v>
      </c>
      <c r="AA45" s="563">
        <f t="shared" si="77"/>
        <v>2042</v>
      </c>
      <c r="AB45" s="563">
        <f t="shared" si="77"/>
        <v>1746</v>
      </c>
      <c r="AC45" s="563">
        <f t="shared" si="77"/>
        <v>2483</v>
      </c>
      <c r="AD45" s="563">
        <f t="shared" si="77"/>
        <v>2565</v>
      </c>
      <c r="AE45" s="563">
        <f t="shared" si="77"/>
        <v>2248</v>
      </c>
      <c r="AF45" s="563">
        <f t="shared" si="77"/>
        <v>2067</v>
      </c>
      <c r="AG45" s="563">
        <f t="shared" si="77"/>
        <v>2566</v>
      </c>
      <c r="AH45" s="563">
        <f t="shared" si="77"/>
        <v>4258</v>
      </c>
      <c r="AI45" s="563">
        <f t="shared" ref="AI45:BN45" si="78">AH45+AI44</f>
        <v>3876</v>
      </c>
      <c r="AJ45" s="563">
        <f t="shared" si="78"/>
        <v>2881</v>
      </c>
      <c r="AK45" s="563">
        <f t="shared" si="78"/>
        <v>3887</v>
      </c>
      <c r="AL45" s="563">
        <f t="shared" si="78"/>
        <v>4708</v>
      </c>
      <c r="AM45" s="563">
        <f t="shared" si="78"/>
        <v>3533</v>
      </c>
      <c r="AN45" s="563">
        <f t="shared" si="78"/>
        <v>2940</v>
      </c>
      <c r="AO45" s="563">
        <f t="shared" si="78"/>
        <v>3603</v>
      </c>
      <c r="AP45" s="563">
        <f t="shared" si="78"/>
        <v>3768</v>
      </c>
      <c r="AQ45" s="563">
        <f t="shared" si="78"/>
        <v>4013</v>
      </c>
      <c r="AR45" s="563">
        <f t="shared" si="78"/>
        <v>4059</v>
      </c>
      <c r="AS45" s="563">
        <f t="shared" si="78"/>
        <v>4772</v>
      </c>
      <c r="AT45" s="563">
        <f t="shared" si="78"/>
        <v>5260</v>
      </c>
      <c r="AU45" s="563">
        <f t="shared" si="78"/>
        <v>2838</v>
      </c>
      <c r="AV45" s="563">
        <f t="shared" si="78"/>
        <v>1630</v>
      </c>
      <c r="AW45" s="563">
        <f t="shared" si="78"/>
        <v>2750.1784937746747</v>
      </c>
      <c r="AX45" s="563">
        <f t="shared" si="78"/>
        <v>2877.4178895926138</v>
      </c>
      <c r="AY45" s="563">
        <f t="shared" si="78"/>
        <v>2617.7868347343997</v>
      </c>
      <c r="AZ45" s="563">
        <f t="shared" si="78"/>
        <v>2230.1313157178229</v>
      </c>
      <c r="BA45" s="563">
        <f t="shared" si="78"/>
        <v>3431.6350056097444</v>
      </c>
      <c r="BB45" s="563">
        <f t="shared" si="78"/>
        <v>3953.5799705636864</v>
      </c>
      <c r="BC45" s="563">
        <f t="shared" si="78"/>
        <v>3965.8515278773916</v>
      </c>
      <c r="BD45" s="563">
        <f t="shared" si="78"/>
        <v>3950.7869153586676</v>
      </c>
      <c r="BE45" s="563">
        <f t="shared" si="78"/>
        <v>5636.1905629768244</v>
      </c>
      <c r="BF45" s="563">
        <f t="shared" si="78"/>
        <v>6138.7861014268447</v>
      </c>
      <c r="BG45" s="563">
        <f t="shared" si="78"/>
        <v>6221.8665335408905</v>
      </c>
      <c r="BH45" s="563">
        <f t="shared" si="78"/>
        <v>6278.363104487431</v>
      </c>
      <c r="BI45" s="563">
        <f t="shared" si="78"/>
        <v>8104.6993660625076</v>
      </c>
      <c r="BJ45" s="563">
        <f t="shared" si="78"/>
        <v>8652.3163990148969</v>
      </c>
      <c r="BK45" s="563">
        <f t="shared" si="78"/>
        <v>8758.4508953769982</v>
      </c>
      <c r="BL45" s="563">
        <f t="shared" si="78"/>
        <v>8759.4570481210212</v>
      </c>
      <c r="BM45" s="563">
        <f t="shared" si="78"/>
        <v>10625.340775848017</v>
      </c>
      <c r="BN45" s="563">
        <f t="shared" si="78"/>
        <v>11221.946496285762</v>
      </c>
      <c r="BO45" s="563"/>
      <c r="BP45" s="573">
        <v>1273</v>
      </c>
      <c r="BQ45" s="573">
        <f t="shared" ref="BQ45:CF45" si="79">BP45+BQ44</f>
        <v>1579</v>
      </c>
      <c r="BR45" s="573">
        <f t="shared" si="79"/>
        <v>1293</v>
      </c>
      <c r="BS45" s="573">
        <f t="shared" si="79"/>
        <v>1292</v>
      </c>
      <c r="BT45" s="573">
        <f t="shared" si="79"/>
        <v>1782</v>
      </c>
      <c r="BU45" s="573">
        <f t="shared" si="79"/>
        <v>2068</v>
      </c>
      <c r="BV45" s="573">
        <f t="shared" si="79"/>
        <v>2493</v>
      </c>
      <c r="BW45" s="573">
        <f t="shared" si="79"/>
        <v>2565</v>
      </c>
      <c r="BX45" s="573">
        <f t="shared" si="79"/>
        <v>4258</v>
      </c>
      <c r="BY45" s="573">
        <f t="shared" si="79"/>
        <v>4708</v>
      </c>
      <c r="BZ45" s="573">
        <f t="shared" si="79"/>
        <v>3768</v>
      </c>
      <c r="CA45" s="573">
        <f t="shared" si="79"/>
        <v>5260</v>
      </c>
      <c r="CB45" s="573">
        <f t="shared" si="79"/>
        <v>2877.4178895926138</v>
      </c>
      <c r="CC45" s="573">
        <f t="shared" si="79"/>
        <v>3953.5799705636869</v>
      </c>
      <c r="CD45" s="573">
        <f t="shared" si="79"/>
        <v>6138.7861014268456</v>
      </c>
      <c r="CE45" s="573">
        <f t="shared" si="79"/>
        <v>8652.3163990148987</v>
      </c>
      <c r="CF45" s="573">
        <f t="shared" si="79"/>
        <v>11221.946496285764</v>
      </c>
    </row>
    <row r="46" spans="1:84" s="369" customFormat="1" ht="12.75" customHeight="1">
      <c r="A46" s="574"/>
      <c r="B46" s="575"/>
      <c r="C46" s="575"/>
      <c r="D46" s="575"/>
      <c r="E46" s="575"/>
      <c r="F46" s="575"/>
      <c r="G46" s="575"/>
      <c r="H46" s="575"/>
      <c r="I46" s="575"/>
      <c r="J46" s="575"/>
      <c r="K46" s="575"/>
      <c r="L46" s="575"/>
      <c r="M46" s="575"/>
      <c r="N46" s="575"/>
      <c r="O46" s="575"/>
      <c r="P46" s="575"/>
      <c r="Q46" s="575"/>
      <c r="R46" s="575"/>
      <c r="S46" s="575"/>
      <c r="T46" s="575"/>
      <c r="U46" s="575"/>
      <c r="V46" s="575"/>
      <c r="W46" s="575"/>
      <c r="X46" s="575"/>
      <c r="Y46" s="575"/>
      <c r="Z46" s="575"/>
      <c r="AA46" s="575"/>
      <c r="AB46" s="575"/>
      <c r="AC46" s="575"/>
      <c r="AD46" s="575"/>
      <c r="AE46" s="575"/>
      <c r="AF46" s="575"/>
      <c r="AG46" s="575"/>
      <c r="AH46" s="575"/>
      <c r="AI46" s="575"/>
      <c r="AJ46" s="575"/>
      <c r="AK46" s="575"/>
      <c r="AL46" s="575"/>
      <c r="AM46" s="575"/>
      <c r="AN46" s="575"/>
      <c r="AO46" s="575"/>
      <c r="AP46" s="575"/>
      <c r="AQ46" s="575"/>
      <c r="AR46" s="575"/>
      <c r="AS46" s="575"/>
      <c r="AT46" s="575"/>
      <c r="AU46" s="575"/>
      <c r="AV46" s="575"/>
      <c r="AW46" s="575"/>
      <c r="AX46" s="575"/>
      <c r="AY46" s="575"/>
      <c r="AZ46" s="575"/>
      <c r="BA46" s="575"/>
      <c r="BB46" s="575"/>
      <c r="BC46" s="575"/>
      <c r="BD46" s="575"/>
      <c r="BE46" s="575"/>
      <c r="BF46" s="575"/>
      <c r="BG46" s="575"/>
      <c r="BH46" s="575"/>
      <c r="BI46" s="575"/>
      <c r="BJ46" s="575"/>
      <c r="BK46" s="575"/>
      <c r="BL46" s="575"/>
      <c r="BM46" s="575"/>
      <c r="BN46" s="575"/>
      <c r="BO46" s="575"/>
      <c r="BP46" s="576"/>
      <c r="BQ46" s="576"/>
      <c r="BR46" s="576"/>
      <c r="BS46" s="576"/>
      <c r="BT46" s="576"/>
      <c r="BU46" s="576"/>
      <c r="BV46" s="576"/>
      <c r="BW46" s="576"/>
      <c r="BX46" s="576"/>
      <c r="BY46" s="576"/>
      <c r="BZ46" s="576"/>
      <c r="CA46" s="576"/>
      <c r="CB46" s="576"/>
      <c r="CC46" s="576"/>
      <c r="CD46" s="576"/>
      <c r="CE46" s="576"/>
      <c r="CF46" s="576"/>
    </row>
    <row r="47" spans="1:84" s="580" customFormat="1" ht="12.75" customHeight="1">
      <c r="A47" s="577"/>
      <c r="B47" s="578"/>
      <c r="C47" s="578"/>
      <c r="D47" s="578"/>
      <c r="E47" s="578"/>
      <c r="F47" s="578"/>
      <c r="G47" s="578"/>
      <c r="H47" s="578"/>
      <c r="I47" s="578"/>
      <c r="J47" s="578"/>
      <c r="K47" s="578"/>
      <c r="L47" s="578"/>
      <c r="M47" s="578"/>
      <c r="N47" s="578"/>
      <c r="O47" s="578"/>
      <c r="P47" s="578"/>
      <c r="Q47" s="578"/>
      <c r="R47" s="578"/>
      <c r="S47" s="578"/>
      <c r="T47" s="578"/>
      <c r="U47" s="578"/>
      <c r="V47" s="578"/>
      <c r="W47" s="578"/>
      <c r="X47" s="578"/>
      <c r="Y47" s="578"/>
      <c r="Z47" s="578"/>
      <c r="AA47" s="578"/>
      <c r="AB47" s="578"/>
      <c r="AC47" s="578"/>
      <c r="AD47" s="578"/>
      <c r="AE47" s="578"/>
      <c r="AF47" s="578"/>
      <c r="AG47" s="578"/>
      <c r="AH47" s="578"/>
      <c r="AI47" s="578"/>
      <c r="AJ47" s="578"/>
      <c r="AK47" s="578"/>
      <c r="AL47" s="578"/>
      <c r="AM47" s="578"/>
      <c r="AN47" s="578"/>
      <c r="AO47" s="578"/>
      <c r="AP47" s="578"/>
      <c r="AQ47" s="578"/>
      <c r="AR47" s="578"/>
      <c r="AS47" s="578"/>
      <c r="AT47" s="578"/>
      <c r="AU47" s="578"/>
      <c r="AV47" s="578"/>
      <c r="AW47" s="578"/>
      <c r="AX47" s="578"/>
      <c r="AY47" s="578"/>
      <c r="AZ47" s="578"/>
      <c r="BA47" s="578"/>
      <c r="BB47" s="578"/>
      <c r="BC47" s="578"/>
      <c r="BD47" s="578"/>
      <c r="BE47" s="578"/>
      <c r="BF47" s="578"/>
      <c r="BG47" s="578"/>
      <c r="BH47" s="578"/>
      <c r="BI47" s="578"/>
      <c r="BJ47" s="578"/>
      <c r="BK47" s="578"/>
      <c r="BL47" s="578"/>
      <c r="BM47" s="578"/>
      <c r="BN47" s="578"/>
      <c r="BO47" s="578"/>
      <c r="BP47" s="579"/>
      <c r="BQ47" s="579"/>
      <c r="BR47" s="579"/>
      <c r="BS47" s="579"/>
      <c r="BT47" s="579"/>
      <c r="BU47" s="579"/>
      <c r="BV47" s="579"/>
      <c r="BW47" s="579"/>
      <c r="BX47" s="579"/>
      <c r="BY47" s="579"/>
      <c r="BZ47" s="579"/>
      <c r="CA47" s="579"/>
      <c r="CB47" s="569"/>
      <c r="CC47" s="569"/>
      <c r="CD47" s="569"/>
      <c r="CE47" s="569"/>
      <c r="CF47" s="569"/>
    </row>
    <row r="48" spans="1:84" s="565" customFormat="1" ht="12.75" customHeight="1">
      <c r="A48" s="562" t="s">
        <v>48</v>
      </c>
      <c r="B48" s="563">
        <f t="shared" ref="B48:AG48" si="80">B20+B22</f>
        <v>231</v>
      </c>
      <c r="C48" s="563">
        <f t="shared" si="80"/>
        <v>-159</v>
      </c>
      <c r="D48" s="563">
        <f t="shared" si="80"/>
        <v>-146</v>
      </c>
      <c r="E48" s="563">
        <f t="shared" si="80"/>
        <v>334</v>
      </c>
      <c r="F48" s="563">
        <f t="shared" si="80"/>
        <v>232</v>
      </c>
      <c r="G48" s="563">
        <f t="shared" si="80"/>
        <v>-306</v>
      </c>
      <c r="H48" s="563">
        <f t="shared" si="80"/>
        <v>-263</v>
      </c>
      <c r="I48" s="563">
        <f t="shared" si="80"/>
        <v>431</v>
      </c>
      <c r="J48" s="563">
        <f t="shared" si="80"/>
        <v>243</v>
      </c>
      <c r="K48" s="563">
        <f t="shared" si="80"/>
        <v>-275</v>
      </c>
      <c r="L48" s="563">
        <f t="shared" si="80"/>
        <v>-53</v>
      </c>
      <c r="M48" s="563">
        <f t="shared" si="80"/>
        <v>338</v>
      </c>
      <c r="N48" s="563">
        <f t="shared" si="80"/>
        <v>208</v>
      </c>
      <c r="O48" s="563">
        <f t="shared" si="80"/>
        <v>-277</v>
      </c>
      <c r="P48" s="563">
        <f t="shared" si="80"/>
        <v>-30</v>
      </c>
      <c r="Q48" s="563">
        <f t="shared" si="80"/>
        <v>657</v>
      </c>
      <c r="R48" s="563">
        <f t="shared" si="80"/>
        <v>265</v>
      </c>
      <c r="S48" s="563">
        <f t="shared" si="80"/>
        <v>-23</v>
      </c>
      <c r="T48" s="563">
        <f t="shared" si="80"/>
        <v>162</v>
      </c>
      <c r="U48" s="563">
        <f t="shared" si="80"/>
        <v>667</v>
      </c>
      <c r="V48" s="563">
        <f t="shared" si="80"/>
        <v>166</v>
      </c>
      <c r="W48" s="563">
        <f t="shared" si="80"/>
        <v>-95</v>
      </c>
      <c r="X48" s="563">
        <f t="shared" si="80"/>
        <v>-9</v>
      </c>
      <c r="Y48" s="563">
        <f t="shared" si="80"/>
        <v>868</v>
      </c>
      <c r="Z48" s="563">
        <f t="shared" si="80"/>
        <v>366</v>
      </c>
      <c r="AA48" s="563">
        <f t="shared" si="80"/>
        <v>-158</v>
      </c>
      <c r="AB48" s="563">
        <f t="shared" si="80"/>
        <v>93</v>
      </c>
      <c r="AC48" s="563">
        <f t="shared" si="80"/>
        <v>1090</v>
      </c>
      <c r="AD48" s="563">
        <f t="shared" si="80"/>
        <v>408</v>
      </c>
      <c r="AE48" s="563">
        <f t="shared" si="80"/>
        <v>143</v>
      </c>
      <c r="AF48" s="563">
        <f t="shared" si="80"/>
        <v>22</v>
      </c>
      <c r="AG48" s="563">
        <f t="shared" si="80"/>
        <v>825</v>
      </c>
      <c r="AH48" s="563">
        <f t="shared" ref="AH48:BN48" si="81">AH20+AH22</f>
        <v>595</v>
      </c>
      <c r="AI48" s="563">
        <f t="shared" si="81"/>
        <v>88</v>
      </c>
      <c r="AJ48" s="563">
        <f t="shared" si="81"/>
        <v>-157</v>
      </c>
      <c r="AK48" s="563">
        <f t="shared" si="81"/>
        <v>933</v>
      </c>
      <c r="AL48" s="563">
        <f t="shared" si="81"/>
        <v>564</v>
      </c>
      <c r="AM48" s="563">
        <f t="shared" si="81"/>
        <v>113</v>
      </c>
      <c r="AN48" s="563">
        <f t="shared" si="81"/>
        <v>10</v>
      </c>
      <c r="AO48" s="563">
        <f t="shared" si="81"/>
        <v>1076</v>
      </c>
      <c r="AP48" s="563">
        <f t="shared" si="81"/>
        <v>458</v>
      </c>
      <c r="AQ48" s="563">
        <f t="shared" si="81"/>
        <v>340</v>
      </c>
      <c r="AR48" s="563">
        <f t="shared" si="81"/>
        <v>36</v>
      </c>
      <c r="AS48" s="563">
        <f t="shared" si="81"/>
        <v>1094</v>
      </c>
      <c r="AT48" s="563">
        <f t="shared" si="81"/>
        <v>340</v>
      </c>
      <c r="AU48" s="563">
        <f t="shared" si="81"/>
        <v>-187</v>
      </c>
      <c r="AV48" s="563">
        <f t="shared" si="81"/>
        <v>21</v>
      </c>
      <c r="AW48" s="563">
        <f t="shared" si="81"/>
        <v>1534.9142326559281</v>
      </c>
      <c r="AX48" s="563">
        <f t="shared" si="81"/>
        <v>375.15399823882069</v>
      </c>
      <c r="AY48" s="563">
        <f t="shared" si="81"/>
        <v>189.91883821395518</v>
      </c>
      <c r="AZ48" s="563">
        <f t="shared" si="81"/>
        <v>-0.32576169838028335</v>
      </c>
      <c r="BA48" s="563">
        <f t="shared" si="81"/>
        <v>1670.8941782100549</v>
      </c>
      <c r="BB48" s="563">
        <f t="shared" si="81"/>
        <v>555.20887114007633</v>
      </c>
      <c r="BC48" s="563">
        <f t="shared" si="81"/>
        <v>104.33440813789906</v>
      </c>
      <c r="BD48" s="563">
        <f t="shared" si="81"/>
        <v>39.543087262466564</v>
      </c>
      <c r="BE48" s="563">
        <f t="shared" si="81"/>
        <v>1772.012351914994</v>
      </c>
      <c r="BF48" s="563">
        <f t="shared" si="81"/>
        <v>561.54302786455457</v>
      </c>
      <c r="BG48" s="563">
        <f t="shared" si="81"/>
        <v>180.17745866883286</v>
      </c>
      <c r="BH48" s="563">
        <f t="shared" si="81"/>
        <v>122.76384323252606</v>
      </c>
      <c r="BI48" s="563">
        <f t="shared" si="81"/>
        <v>1916.8221509377004</v>
      </c>
      <c r="BJ48" s="563">
        <f t="shared" si="81"/>
        <v>612.17372352038308</v>
      </c>
      <c r="BK48" s="563">
        <f t="shared" si="81"/>
        <v>206.68002665562753</v>
      </c>
      <c r="BL48" s="563">
        <f t="shared" si="81"/>
        <v>67.206689505375053</v>
      </c>
      <c r="BM48" s="563">
        <f t="shared" si="81"/>
        <v>1957.9105830464941</v>
      </c>
      <c r="BN48" s="563">
        <f t="shared" si="81"/>
        <v>663.03333248251056</v>
      </c>
      <c r="BO48" s="563"/>
      <c r="BP48" s="564">
        <f t="shared" ref="BP48:CF48" si="82">BP20+BP22</f>
        <v>80</v>
      </c>
      <c r="BQ48" s="564">
        <f t="shared" si="82"/>
        <v>261</v>
      </c>
      <c r="BR48" s="564">
        <f t="shared" si="82"/>
        <v>105</v>
      </c>
      <c r="BS48" s="564">
        <f t="shared" si="82"/>
        <v>218</v>
      </c>
      <c r="BT48" s="564">
        <f t="shared" si="82"/>
        <v>615</v>
      </c>
      <c r="BU48" s="564">
        <f t="shared" si="82"/>
        <v>972</v>
      </c>
      <c r="BV48" s="564">
        <f t="shared" si="82"/>
        <v>1130</v>
      </c>
      <c r="BW48" s="564">
        <f t="shared" si="82"/>
        <v>1433</v>
      </c>
      <c r="BX48" s="564">
        <f t="shared" si="82"/>
        <v>1585</v>
      </c>
      <c r="BY48" s="564">
        <f t="shared" si="82"/>
        <v>1428</v>
      </c>
      <c r="BZ48" s="564">
        <f t="shared" si="82"/>
        <v>1657</v>
      </c>
      <c r="CA48" s="564">
        <f t="shared" si="82"/>
        <v>1810</v>
      </c>
      <c r="CB48" s="564">
        <f t="shared" si="82"/>
        <v>1744.0682308947489</v>
      </c>
      <c r="CC48" s="564">
        <f t="shared" si="82"/>
        <v>2415.6961258657061</v>
      </c>
      <c r="CD48" s="564">
        <f t="shared" si="82"/>
        <v>2477.4328751799144</v>
      </c>
      <c r="CE48" s="564">
        <f t="shared" si="82"/>
        <v>2831.9371763594427</v>
      </c>
      <c r="CF48" s="564">
        <f t="shared" si="82"/>
        <v>2894.8306316900075</v>
      </c>
    </row>
    <row r="49" spans="1:84" s="441" customFormat="1" ht="16">
      <c r="A49" s="581" t="s">
        <v>290</v>
      </c>
      <c r="B49" s="375" t="s">
        <v>17</v>
      </c>
      <c r="C49" s="375" t="s">
        <v>17</v>
      </c>
      <c r="D49" s="375" t="s">
        <v>17</v>
      </c>
      <c r="E49" s="375" t="s">
        <v>17</v>
      </c>
      <c r="F49" s="375">
        <f t="shared" ref="F49:AK49" si="83">IF(AND(B48&lt;0,F48&gt;0),"n/a",F48/B48-1)</f>
        <v>4.3290043290042934E-3</v>
      </c>
      <c r="G49" s="375">
        <f t="shared" si="83"/>
        <v>0.92452830188679247</v>
      </c>
      <c r="H49" s="375">
        <f t="shared" si="83"/>
        <v>0.80136986301369872</v>
      </c>
      <c r="I49" s="375">
        <f t="shared" si="83"/>
        <v>0.29041916167664672</v>
      </c>
      <c r="J49" s="375">
        <f t="shared" si="83"/>
        <v>4.7413793103448176E-2</v>
      </c>
      <c r="K49" s="375">
        <f t="shared" si="83"/>
        <v>-0.10130718954248363</v>
      </c>
      <c r="L49" s="375">
        <f t="shared" si="83"/>
        <v>-0.79847908745247143</v>
      </c>
      <c r="M49" s="375">
        <f t="shared" si="83"/>
        <v>-0.21577726218097448</v>
      </c>
      <c r="N49" s="375">
        <f t="shared" si="83"/>
        <v>-0.1440329218106996</v>
      </c>
      <c r="O49" s="375">
        <f t="shared" si="83"/>
        <v>7.2727272727273196E-3</v>
      </c>
      <c r="P49" s="375">
        <f t="shared" si="83"/>
        <v>-0.43396226415094341</v>
      </c>
      <c r="Q49" s="375">
        <f t="shared" si="83"/>
        <v>0.94378698224852076</v>
      </c>
      <c r="R49" s="375">
        <f t="shared" si="83"/>
        <v>0.27403846153846145</v>
      </c>
      <c r="S49" s="375">
        <f t="shared" si="83"/>
        <v>-0.9169675090252708</v>
      </c>
      <c r="T49" s="375" t="str">
        <f t="shared" si="83"/>
        <v>n/a</v>
      </c>
      <c r="U49" s="375">
        <f t="shared" si="83"/>
        <v>1.5220700152207112E-2</v>
      </c>
      <c r="V49" s="375">
        <f t="shared" si="83"/>
        <v>-0.37358490566037739</v>
      </c>
      <c r="W49" s="375">
        <f t="shared" si="83"/>
        <v>3.1304347826086953</v>
      </c>
      <c r="X49" s="375">
        <f t="shared" si="83"/>
        <v>-1.0555555555555556</v>
      </c>
      <c r="Y49" s="375">
        <f t="shared" si="83"/>
        <v>0.30134932533733139</v>
      </c>
      <c r="Z49" s="375">
        <f t="shared" si="83"/>
        <v>1.2048192771084336</v>
      </c>
      <c r="AA49" s="375">
        <f t="shared" si="83"/>
        <v>0.66315789473684217</v>
      </c>
      <c r="AB49" s="375" t="str">
        <f t="shared" si="83"/>
        <v>n/a</v>
      </c>
      <c r="AC49" s="375">
        <f t="shared" si="83"/>
        <v>0.25576036866359453</v>
      </c>
      <c r="AD49" s="375">
        <f t="shared" si="83"/>
        <v>0.11475409836065564</v>
      </c>
      <c r="AE49" s="375" t="str">
        <f t="shared" si="83"/>
        <v>n/a</v>
      </c>
      <c r="AF49" s="375">
        <f t="shared" si="83"/>
        <v>-0.76344086021505375</v>
      </c>
      <c r="AG49" s="375">
        <f t="shared" si="83"/>
        <v>-0.24311926605504586</v>
      </c>
      <c r="AH49" s="375">
        <f t="shared" si="83"/>
        <v>0.45833333333333326</v>
      </c>
      <c r="AI49" s="375">
        <f t="shared" si="83"/>
        <v>-0.38461538461538458</v>
      </c>
      <c r="AJ49" s="375">
        <f t="shared" si="83"/>
        <v>-8.1363636363636367</v>
      </c>
      <c r="AK49" s="375">
        <f t="shared" si="83"/>
        <v>0.13090909090909086</v>
      </c>
      <c r="AL49" s="375">
        <f t="shared" ref="AL49:BN49" si="84">IF(AND(AH48&lt;0,AL48&gt;0),"n/a",AL48/AH48-1)</f>
        <v>-5.2100840336134491E-2</v>
      </c>
      <c r="AM49" s="375">
        <f t="shared" si="84"/>
        <v>0.28409090909090917</v>
      </c>
      <c r="AN49" s="375" t="str">
        <f t="shared" si="84"/>
        <v>n/a</v>
      </c>
      <c r="AO49" s="375">
        <f t="shared" si="84"/>
        <v>0.15326902465166126</v>
      </c>
      <c r="AP49" s="375">
        <f t="shared" si="84"/>
        <v>-0.18794326241134751</v>
      </c>
      <c r="AQ49" s="375">
        <f t="shared" si="84"/>
        <v>2.0088495575221237</v>
      </c>
      <c r="AR49" s="375">
        <f t="shared" si="84"/>
        <v>2.6</v>
      </c>
      <c r="AS49" s="375">
        <f t="shared" si="84"/>
        <v>1.6728624535315983E-2</v>
      </c>
      <c r="AT49" s="375">
        <f t="shared" si="84"/>
        <v>-0.25764192139737996</v>
      </c>
      <c r="AU49" s="375">
        <f t="shared" si="84"/>
        <v>-1.55</v>
      </c>
      <c r="AV49" s="375">
        <f t="shared" si="84"/>
        <v>-0.41666666666666663</v>
      </c>
      <c r="AW49" s="375">
        <f t="shared" si="84"/>
        <v>0.40302946312242049</v>
      </c>
      <c r="AX49" s="375">
        <f t="shared" si="84"/>
        <v>0.1033941124671196</v>
      </c>
      <c r="AY49" s="375" t="str">
        <f t="shared" si="84"/>
        <v>n/a</v>
      </c>
      <c r="AZ49" s="375">
        <f t="shared" si="84"/>
        <v>-1.0155124618276326</v>
      </c>
      <c r="BA49" s="375">
        <f t="shared" si="84"/>
        <v>8.8591233738731345E-2</v>
      </c>
      <c r="BB49" s="375">
        <f t="shared" si="84"/>
        <v>0.47994923083995444</v>
      </c>
      <c r="BC49" s="375">
        <f t="shared" si="84"/>
        <v>-0.45063686615247733</v>
      </c>
      <c r="BD49" s="375" t="str">
        <f t="shared" si="84"/>
        <v>n/a</v>
      </c>
      <c r="BE49" s="375">
        <f t="shared" si="84"/>
        <v>6.0517401415128624E-2</v>
      </c>
      <c r="BF49" s="375">
        <f t="shared" si="84"/>
        <v>1.1408601435837218E-2</v>
      </c>
      <c r="BG49" s="375">
        <f t="shared" si="84"/>
        <v>0.72692270828518857</v>
      </c>
      <c r="BH49" s="375">
        <f t="shared" si="84"/>
        <v>2.1045588933833907</v>
      </c>
      <c r="BI49" s="375">
        <f t="shared" si="84"/>
        <v>8.1720535901576463E-2</v>
      </c>
      <c r="BJ49" s="375">
        <f t="shared" si="84"/>
        <v>9.01635193448449E-2</v>
      </c>
      <c r="BK49" s="375">
        <f t="shared" si="84"/>
        <v>0.14709147405340284</v>
      </c>
      <c r="BL49" s="375">
        <f t="shared" si="84"/>
        <v>-0.45255306663803796</v>
      </c>
      <c r="BM49" s="375">
        <f t="shared" si="84"/>
        <v>2.143570392730143E-2</v>
      </c>
      <c r="BN49" s="375">
        <f t="shared" si="84"/>
        <v>8.3080352860708917E-2</v>
      </c>
      <c r="BO49" s="563"/>
      <c r="BP49" s="551" t="s">
        <v>17</v>
      </c>
      <c r="BQ49" s="551">
        <f t="shared" ref="BQ49:CF49" si="85">BQ48/BP48-1</f>
        <v>2.2625000000000002</v>
      </c>
      <c r="BR49" s="551">
        <f t="shared" si="85"/>
        <v>-0.59770114942528729</v>
      </c>
      <c r="BS49" s="551">
        <f t="shared" si="85"/>
        <v>1.0761904761904764</v>
      </c>
      <c r="BT49" s="551">
        <f t="shared" si="85"/>
        <v>1.8211009174311927</v>
      </c>
      <c r="BU49" s="551">
        <f t="shared" si="85"/>
        <v>0.58048780487804885</v>
      </c>
      <c r="BV49" s="551">
        <f t="shared" si="85"/>
        <v>0.16255144032921809</v>
      </c>
      <c r="BW49" s="551">
        <f t="shared" si="85"/>
        <v>0.26814159292035389</v>
      </c>
      <c r="BX49" s="551">
        <f t="shared" si="85"/>
        <v>0.10607117934403343</v>
      </c>
      <c r="BY49" s="551">
        <f t="shared" si="85"/>
        <v>-9.9053627760252394E-2</v>
      </c>
      <c r="BZ49" s="551">
        <f t="shared" si="85"/>
        <v>0.1603641456582634</v>
      </c>
      <c r="CA49" s="551">
        <f t="shared" si="85"/>
        <v>9.2335546167773064E-2</v>
      </c>
      <c r="CB49" s="551">
        <f t="shared" si="85"/>
        <v>-3.6426391770856936E-2</v>
      </c>
      <c r="CC49" s="551">
        <f t="shared" si="85"/>
        <v>0.38509267187694607</v>
      </c>
      <c r="CD49" s="551">
        <f t="shared" si="85"/>
        <v>2.5556504666779611E-2</v>
      </c>
      <c r="CE49" s="551">
        <f t="shared" si="85"/>
        <v>0.14309340314771757</v>
      </c>
      <c r="CF49" s="551">
        <f t="shared" si="85"/>
        <v>2.2208633671533917E-2</v>
      </c>
    </row>
    <row r="50" spans="1:84" s="441" customFormat="1" ht="16">
      <c r="A50" s="581" t="s">
        <v>295</v>
      </c>
      <c r="B50" s="375" t="s">
        <v>17</v>
      </c>
      <c r="C50" s="375">
        <f t="shared" ref="C50:AH50" si="86">IF(AND(B48&lt;0,C48&gt;0),"n/a",C48/B48-1)</f>
        <v>-1.6883116883116882</v>
      </c>
      <c r="D50" s="375">
        <f t="shared" si="86"/>
        <v>-8.1761006289308158E-2</v>
      </c>
      <c r="E50" s="375" t="str">
        <f t="shared" si="86"/>
        <v>n/a</v>
      </c>
      <c r="F50" s="375">
        <f t="shared" si="86"/>
        <v>-0.30538922155688619</v>
      </c>
      <c r="G50" s="375">
        <f t="shared" si="86"/>
        <v>-2.318965517241379</v>
      </c>
      <c r="H50" s="375">
        <f t="shared" si="86"/>
        <v>-0.14052287581699341</v>
      </c>
      <c r="I50" s="375" t="str">
        <f t="shared" si="86"/>
        <v>n/a</v>
      </c>
      <c r="J50" s="375">
        <f t="shared" si="86"/>
        <v>-0.43619489559164737</v>
      </c>
      <c r="K50" s="375">
        <f t="shared" si="86"/>
        <v>-2.1316872427983542</v>
      </c>
      <c r="L50" s="375">
        <f t="shared" si="86"/>
        <v>-0.80727272727272725</v>
      </c>
      <c r="M50" s="375" t="str">
        <f t="shared" si="86"/>
        <v>n/a</v>
      </c>
      <c r="N50" s="375">
        <f t="shared" si="86"/>
        <v>-0.38461538461538458</v>
      </c>
      <c r="O50" s="375">
        <f t="shared" si="86"/>
        <v>-2.3317307692307692</v>
      </c>
      <c r="P50" s="375">
        <f t="shared" si="86"/>
        <v>-0.89169675090252709</v>
      </c>
      <c r="Q50" s="375" t="str">
        <f t="shared" si="86"/>
        <v>n/a</v>
      </c>
      <c r="R50" s="375">
        <f t="shared" si="86"/>
        <v>-0.59665144596651443</v>
      </c>
      <c r="S50" s="375">
        <f t="shared" si="86"/>
        <v>-1.0867924528301887</v>
      </c>
      <c r="T50" s="375" t="str">
        <f t="shared" si="86"/>
        <v>n/a</v>
      </c>
      <c r="U50" s="375">
        <f t="shared" si="86"/>
        <v>3.117283950617284</v>
      </c>
      <c r="V50" s="375">
        <f t="shared" si="86"/>
        <v>-0.75112443778110949</v>
      </c>
      <c r="W50" s="375">
        <f t="shared" si="86"/>
        <v>-1.572289156626506</v>
      </c>
      <c r="X50" s="375">
        <f t="shared" si="86"/>
        <v>-0.90526315789473688</v>
      </c>
      <c r="Y50" s="375" t="str">
        <f t="shared" si="86"/>
        <v>n/a</v>
      </c>
      <c r="Z50" s="375">
        <f t="shared" si="86"/>
        <v>-0.57834101382488479</v>
      </c>
      <c r="AA50" s="375">
        <f t="shared" si="86"/>
        <v>-1.4316939890710383</v>
      </c>
      <c r="AB50" s="375" t="str">
        <f t="shared" si="86"/>
        <v>n/a</v>
      </c>
      <c r="AC50" s="375">
        <f t="shared" si="86"/>
        <v>10.720430107526882</v>
      </c>
      <c r="AD50" s="375">
        <f t="shared" si="86"/>
        <v>-0.62568807339449539</v>
      </c>
      <c r="AE50" s="375">
        <f t="shared" si="86"/>
        <v>-0.64950980392156865</v>
      </c>
      <c r="AF50" s="375">
        <f t="shared" si="86"/>
        <v>-0.84615384615384615</v>
      </c>
      <c r="AG50" s="375">
        <f t="shared" si="86"/>
        <v>36.5</v>
      </c>
      <c r="AH50" s="375">
        <f t="shared" si="86"/>
        <v>-0.27878787878787881</v>
      </c>
      <c r="AI50" s="375">
        <f t="shared" ref="AI50:BN50" si="87">IF(AND(AH48&lt;0,AI48&gt;0),"n/a",AI48/AH48-1)</f>
        <v>-0.85210084033613442</v>
      </c>
      <c r="AJ50" s="375">
        <f t="shared" si="87"/>
        <v>-2.7840909090909092</v>
      </c>
      <c r="AK50" s="375" t="str">
        <f t="shared" si="87"/>
        <v>n/a</v>
      </c>
      <c r="AL50" s="375">
        <f t="shared" si="87"/>
        <v>-0.39549839228295824</v>
      </c>
      <c r="AM50" s="375">
        <f t="shared" si="87"/>
        <v>-0.79964539007092195</v>
      </c>
      <c r="AN50" s="375">
        <f t="shared" si="87"/>
        <v>-0.91150442477876104</v>
      </c>
      <c r="AO50" s="375">
        <f t="shared" si="87"/>
        <v>106.6</v>
      </c>
      <c r="AP50" s="375">
        <f t="shared" si="87"/>
        <v>-0.57434944237918217</v>
      </c>
      <c r="AQ50" s="375">
        <f t="shared" si="87"/>
        <v>-0.25764192139737996</v>
      </c>
      <c r="AR50" s="375">
        <f t="shared" si="87"/>
        <v>-0.89411764705882357</v>
      </c>
      <c r="AS50" s="375">
        <f t="shared" si="87"/>
        <v>29.388888888888889</v>
      </c>
      <c r="AT50" s="375">
        <f t="shared" si="87"/>
        <v>-0.68921389396709332</v>
      </c>
      <c r="AU50" s="375">
        <f t="shared" si="87"/>
        <v>-1.55</v>
      </c>
      <c r="AV50" s="375" t="str">
        <f t="shared" si="87"/>
        <v>n/a</v>
      </c>
      <c r="AW50" s="375">
        <f t="shared" si="87"/>
        <v>72.091153935996573</v>
      </c>
      <c r="AX50" s="375">
        <f t="shared" si="87"/>
        <v>-0.75558634465870078</v>
      </c>
      <c r="AY50" s="375">
        <f t="shared" si="87"/>
        <v>-0.49375765923983561</v>
      </c>
      <c r="AZ50" s="375">
        <f t="shared" si="87"/>
        <v>-1.0017152679610082</v>
      </c>
      <c r="BA50" s="375" t="str">
        <f t="shared" si="87"/>
        <v>n/a</v>
      </c>
      <c r="BB50" s="375">
        <f t="shared" si="87"/>
        <v>-0.66771751414273062</v>
      </c>
      <c r="BC50" s="375">
        <f t="shared" si="87"/>
        <v>-0.81208079776597075</v>
      </c>
      <c r="BD50" s="375">
        <f t="shared" si="87"/>
        <v>-0.6209966781984102</v>
      </c>
      <c r="BE50" s="375">
        <f t="shared" si="87"/>
        <v>43.81219031162874</v>
      </c>
      <c r="BF50" s="375">
        <f t="shared" si="87"/>
        <v>-0.68310433769962087</v>
      </c>
      <c r="BG50" s="375">
        <f t="shared" si="87"/>
        <v>-0.67913864169231197</v>
      </c>
      <c r="BH50" s="375">
        <f t="shared" si="87"/>
        <v>-0.31865037869045165</v>
      </c>
      <c r="BI50" s="375">
        <f t="shared" si="87"/>
        <v>14.613898200523604</v>
      </c>
      <c r="BJ50" s="375">
        <f t="shared" si="87"/>
        <v>-0.68063092174675122</v>
      </c>
      <c r="BK50" s="375">
        <f t="shared" si="87"/>
        <v>-0.66238337466187258</v>
      </c>
      <c r="BL50" s="375">
        <f t="shared" si="87"/>
        <v>-0.67482736192329051</v>
      </c>
      <c r="BM50" s="375">
        <f t="shared" si="87"/>
        <v>28.132674105155925</v>
      </c>
      <c r="BN50" s="375">
        <f t="shared" si="87"/>
        <v>-0.6613566838936864</v>
      </c>
      <c r="BO50" s="563"/>
      <c r="BP50" s="551"/>
      <c r="BQ50" s="551" t="s">
        <v>17</v>
      </c>
      <c r="BR50" s="551" t="s">
        <v>17</v>
      </c>
      <c r="BS50" s="551" t="s">
        <v>17</v>
      </c>
      <c r="BT50" s="551" t="s">
        <v>17</v>
      </c>
      <c r="BU50" s="551" t="s">
        <v>17</v>
      </c>
      <c r="BV50" s="551" t="s">
        <v>17</v>
      </c>
      <c r="BW50" s="551" t="s">
        <v>17</v>
      </c>
      <c r="BX50" s="551" t="s">
        <v>17</v>
      </c>
      <c r="BY50" s="551" t="s">
        <v>17</v>
      </c>
      <c r="BZ50" s="551" t="s">
        <v>17</v>
      </c>
      <c r="CA50" s="551" t="s">
        <v>17</v>
      </c>
      <c r="CB50" s="551" t="s">
        <v>17</v>
      </c>
      <c r="CC50" s="551" t="s">
        <v>17</v>
      </c>
      <c r="CD50" s="551" t="s">
        <v>17</v>
      </c>
      <c r="CE50" s="551" t="s">
        <v>17</v>
      </c>
      <c r="CF50" s="551" t="s">
        <v>17</v>
      </c>
    </row>
    <row r="51" spans="1:84" ht="12.75" customHeight="1">
      <c r="BO51" s="563"/>
    </row>
    <row r="52" spans="1:84" s="369" customFormat="1" ht="12.75" customHeight="1">
      <c r="A52" s="557" t="s">
        <v>70</v>
      </c>
      <c r="B52" s="583">
        <f>Drivers!B240</f>
        <v>34</v>
      </c>
      <c r="C52" s="583">
        <f>Drivers!C240</f>
        <v>-109</v>
      </c>
      <c r="D52" s="583">
        <f>Drivers!D240</f>
        <v>39</v>
      </c>
      <c r="E52" s="583">
        <f>Drivers!E240</f>
        <v>272</v>
      </c>
      <c r="F52" s="583">
        <f>Drivers!F240</f>
        <v>111</v>
      </c>
      <c r="G52" s="583">
        <f>Drivers!G240</f>
        <v>-174</v>
      </c>
      <c r="H52" s="583">
        <f>Drivers!H240</f>
        <v>25</v>
      </c>
      <c r="I52" s="583">
        <f>Drivers!I240</f>
        <v>469</v>
      </c>
      <c r="J52" s="583">
        <f>Drivers!J240</f>
        <v>77</v>
      </c>
      <c r="K52" s="583">
        <f>Drivers!K240</f>
        <v>-181</v>
      </c>
      <c r="L52" s="583">
        <f>Drivers!L240</f>
        <v>68</v>
      </c>
      <c r="M52" s="583">
        <f>Drivers!M240</f>
        <v>247</v>
      </c>
      <c r="N52" s="583">
        <f>Drivers!N240</f>
        <v>233</v>
      </c>
      <c r="O52" s="583">
        <f>Drivers!O240</f>
        <v>-161</v>
      </c>
      <c r="P52" s="583">
        <f>Drivers!P240</f>
        <v>143</v>
      </c>
      <c r="Q52" s="583">
        <f>Drivers!Q240</f>
        <v>531</v>
      </c>
      <c r="R52" s="583">
        <f>Drivers!R240</f>
        <v>204</v>
      </c>
      <c r="S52" s="583">
        <f>Drivers!S240</f>
        <v>85</v>
      </c>
      <c r="T52" s="583">
        <f>Drivers!T240</f>
        <v>309</v>
      </c>
      <c r="U52" s="583">
        <f>Drivers!U240</f>
        <v>519</v>
      </c>
      <c r="V52" s="583">
        <f>Drivers!V240</f>
        <v>163</v>
      </c>
      <c r="W52" s="583">
        <f>Drivers!W240</f>
        <v>60</v>
      </c>
      <c r="X52" s="583">
        <f>Drivers!X240</f>
        <v>270</v>
      </c>
      <c r="Y52" s="583">
        <f>Drivers!Y240</f>
        <v>758</v>
      </c>
      <c r="Z52" s="583">
        <f>Drivers!Z240</f>
        <v>212</v>
      </c>
      <c r="AA52" s="583">
        <f>Drivers!AA240</f>
        <v>34</v>
      </c>
      <c r="AB52" s="583">
        <f>Drivers!AB240</f>
        <v>212</v>
      </c>
      <c r="AC52" s="583">
        <f>Drivers!AC240</f>
        <v>985</v>
      </c>
      <c r="AD52" s="583">
        <f>Drivers!AD240</f>
        <v>335</v>
      </c>
      <c r="AE52" s="583">
        <f>Drivers!AE240</f>
        <v>118</v>
      </c>
      <c r="AF52" s="583">
        <f>Drivers!AF240</f>
        <v>243</v>
      </c>
      <c r="AG52" s="583">
        <f>Drivers!AG240</f>
        <v>854</v>
      </c>
      <c r="AH52" s="583">
        <f>Drivers!AH240</f>
        <v>501.16025226153852</v>
      </c>
      <c r="AI52" s="583">
        <f>Drivers!AI240</f>
        <v>38</v>
      </c>
      <c r="AJ52" s="583">
        <f>Drivers!AJ240</f>
        <v>313</v>
      </c>
      <c r="AK52" s="583">
        <f>Drivers!AK240</f>
        <v>693</v>
      </c>
      <c r="AL52" s="583">
        <f>Drivers!AL240</f>
        <v>459</v>
      </c>
      <c r="AM52" s="583">
        <f>Drivers!AM240</f>
        <v>108</v>
      </c>
      <c r="AN52" s="583">
        <f>Drivers!AN240</f>
        <v>371</v>
      </c>
      <c r="AO52" s="583">
        <f>Drivers!AO240</f>
        <v>935</v>
      </c>
      <c r="AP52" s="583">
        <f>Drivers!AP240</f>
        <v>413</v>
      </c>
      <c r="AQ52" s="583">
        <f>Drivers!AQ240</f>
        <v>509</v>
      </c>
      <c r="AR52" s="583">
        <f>Drivers!AR240</f>
        <v>27</v>
      </c>
      <c r="AS52" s="583">
        <f>Drivers!AS240</f>
        <v>1094</v>
      </c>
      <c r="AT52" s="583">
        <f>Drivers!AT240</f>
        <v>446</v>
      </c>
      <c r="AU52" s="583">
        <f>Drivers!AU240</f>
        <v>294</v>
      </c>
      <c r="AV52" s="583">
        <f>Drivers!AV240</f>
        <v>566</v>
      </c>
      <c r="AW52" s="583">
        <f>Drivers!AW240</f>
        <v>1134.3950937499999</v>
      </c>
      <c r="AX52" s="583">
        <f>Drivers!AX240</f>
        <v>512.94682852349001</v>
      </c>
      <c r="AY52" s="583">
        <f>Drivers!AY240</f>
        <v>377.60695398759765</v>
      </c>
      <c r="AZ52" s="583">
        <f>Drivers!AZ240</f>
        <v>583.69463479128763</v>
      </c>
      <c r="BA52" s="583">
        <f>Drivers!BA240</f>
        <v>1189.4057496375001</v>
      </c>
      <c r="BB52" s="583">
        <f>Drivers!BB240</f>
        <v>471.00708912503353</v>
      </c>
      <c r="BC52" s="583">
        <f>Drivers!BC240</f>
        <v>410.01013425146152</v>
      </c>
      <c r="BD52" s="583">
        <f>Drivers!BD240</f>
        <v>627.99666666376584</v>
      </c>
      <c r="BE52" s="583">
        <f>Drivers!BE240</f>
        <v>1273.0263043370751</v>
      </c>
      <c r="BF52" s="583">
        <f>Drivers!BF240</f>
        <v>531.72040439397733</v>
      </c>
      <c r="BG52" s="583">
        <f>Drivers!BG240</f>
        <v>457.83550125641591</v>
      </c>
      <c r="BH52" s="583">
        <f>Drivers!BH240</f>
        <v>788.41217002404983</v>
      </c>
      <c r="BI52" s="583">
        <f>Drivers!BI240</f>
        <v>1386.9696602334409</v>
      </c>
      <c r="BJ52" s="583">
        <f>Drivers!BJ240</f>
        <v>592.15347531264797</v>
      </c>
      <c r="BK52" s="583">
        <f>Drivers!BK240</f>
        <v>510.95451978831511</v>
      </c>
      <c r="BL52" s="583">
        <f>Drivers!BL240</f>
        <v>735.76015466011688</v>
      </c>
      <c r="BM52" s="583">
        <f>Drivers!BM240</f>
        <v>1439.6686586372023</v>
      </c>
      <c r="BN52" s="583">
        <f>Drivers!BN240</f>
        <v>645.04544924760262</v>
      </c>
      <c r="BO52" s="583"/>
      <c r="BP52" s="358">
        <f>Drivers!BP240</f>
        <v>-280</v>
      </c>
      <c r="BQ52" s="358">
        <f>Drivers!BQ240</f>
        <v>313</v>
      </c>
      <c r="BR52" s="358">
        <f>Drivers!BR240</f>
        <v>397</v>
      </c>
      <c r="BS52" s="358">
        <f>Drivers!BS240</f>
        <v>367</v>
      </c>
      <c r="BT52" s="358">
        <f>Drivers!BT240</f>
        <v>717</v>
      </c>
      <c r="BU52" s="358">
        <f>Drivers!BU240</f>
        <v>1076</v>
      </c>
      <c r="BV52" s="358">
        <f>Drivers!BV240</f>
        <v>1300</v>
      </c>
      <c r="BW52" s="358">
        <f>Drivers!BW240</f>
        <v>1566</v>
      </c>
      <c r="BX52" s="358">
        <f>Drivers!BX240</f>
        <v>1716.1602522615385</v>
      </c>
      <c r="BY52" s="358">
        <f>Drivers!BY240</f>
        <v>1503</v>
      </c>
      <c r="BZ52" s="358">
        <f>Drivers!BZ240</f>
        <v>1827</v>
      </c>
      <c r="CA52" s="358">
        <f>Drivers!CA240</f>
        <v>2076</v>
      </c>
      <c r="CB52" s="358">
        <f>Drivers!CB240</f>
        <v>2507.3419222734892</v>
      </c>
      <c r="CC52" s="358">
        <f>Drivers!CC240</f>
        <v>2621.714427541418</v>
      </c>
      <c r="CD52" s="358">
        <f>Drivers!CD240</f>
        <v>2842.7535096462798</v>
      </c>
      <c r="CE52" s="358">
        <f>Drivers!CE240</f>
        <v>3225.3708068265551</v>
      </c>
      <c r="CF52" s="358">
        <f>Drivers!CF240</f>
        <v>3331.4287823332356</v>
      </c>
    </row>
    <row r="53" spans="1:84" ht="12.75" customHeight="1">
      <c r="A53" s="566"/>
      <c r="B53" s="584"/>
      <c r="C53" s="584"/>
      <c r="D53" s="584"/>
      <c r="E53" s="584"/>
      <c r="F53" s="584"/>
      <c r="G53" s="584"/>
      <c r="H53" s="584"/>
      <c r="I53" s="584"/>
      <c r="J53" s="584"/>
      <c r="K53" s="584"/>
      <c r="L53" s="584"/>
      <c r="M53" s="584"/>
      <c r="N53" s="584"/>
      <c r="O53" s="584"/>
      <c r="P53" s="584"/>
      <c r="Q53" s="584"/>
      <c r="R53" s="584"/>
      <c r="S53" s="584"/>
      <c r="T53" s="584"/>
      <c r="U53" s="584"/>
      <c r="V53" s="584"/>
      <c r="W53" s="584"/>
      <c r="X53" s="584"/>
      <c r="Y53" s="584"/>
      <c r="Z53" s="584"/>
      <c r="AA53" s="584"/>
      <c r="AB53" s="584"/>
      <c r="AC53" s="584"/>
      <c r="AD53" s="584"/>
      <c r="AE53" s="584"/>
      <c r="AF53" s="584"/>
      <c r="AG53" s="584"/>
      <c r="AH53" s="584"/>
      <c r="AI53" s="584"/>
      <c r="AJ53" s="584"/>
      <c r="AK53" s="584"/>
      <c r="AL53" s="584"/>
      <c r="AM53" s="584"/>
      <c r="AN53" s="584"/>
      <c r="AO53" s="584"/>
      <c r="AP53" s="584"/>
      <c r="AQ53" s="584"/>
      <c r="AR53" s="584"/>
      <c r="AS53" s="584"/>
      <c r="AT53" s="584"/>
      <c r="AU53" s="584"/>
      <c r="AV53" s="584"/>
      <c r="AW53" s="584"/>
      <c r="AX53" s="584"/>
      <c r="AY53" s="584"/>
      <c r="AZ53" s="584"/>
      <c r="BA53" s="584"/>
      <c r="BB53" s="584"/>
      <c r="BC53" s="584"/>
      <c r="BD53" s="584"/>
      <c r="BE53" s="584"/>
      <c r="BF53" s="584"/>
      <c r="BG53" s="584"/>
      <c r="BH53" s="584"/>
      <c r="BI53" s="584"/>
      <c r="BJ53" s="584"/>
      <c r="BK53" s="584"/>
      <c r="BL53" s="584"/>
      <c r="BM53" s="584"/>
      <c r="BN53" s="584"/>
      <c r="BO53" s="584"/>
      <c r="BP53" s="585"/>
      <c r="BQ53" s="585"/>
      <c r="BR53" s="585"/>
      <c r="BS53" s="585"/>
      <c r="BT53" s="585"/>
      <c r="BU53" s="585"/>
      <c r="BV53" s="585"/>
      <c r="BW53" s="585"/>
      <c r="BX53" s="585"/>
      <c r="BY53" s="585"/>
      <c r="BZ53" s="585"/>
      <c r="CA53" s="585"/>
      <c r="CB53" s="585"/>
      <c r="CC53" s="585"/>
      <c r="CD53" s="585"/>
      <c r="CE53" s="585"/>
      <c r="CF53" s="585"/>
    </row>
    <row r="54" spans="1:84" s="369" customFormat="1" ht="12.75" customHeight="1">
      <c r="A54" s="554" t="s">
        <v>19</v>
      </c>
      <c r="B54" s="555">
        <f t="shared" ref="B54:AG54" si="88">B8</f>
        <v>50</v>
      </c>
      <c r="C54" s="555">
        <f t="shared" si="88"/>
        <v>48</v>
      </c>
      <c r="D54" s="555">
        <f t="shared" si="88"/>
        <v>46</v>
      </c>
      <c r="E54" s="555">
        <f t="shared" si="88"/>
        <v>44</v>
      </c>
      <c r="F54" s="555">
        <f t="shared" si="88"/>
        <v>42</v>
      </c>
      <c r="G54" s="555">
        <f t="shared" si="88"/>
        <v>43</v>
      </c>
      <c r="H54" s="555">
        <f t="shared" si="88"/>
        <v>51</v>
      </c>
      <c r="I54" s="555">
        <f t="shared" si="88"/>
        <v>54</v>
      </c>
      <c r="J54" s="555">
        <f t="shared" si="88"/>
        <v>68</v>
      </c>
      <c r="K54" s="555">
        <f t="shared" si="88"/>
        <v>56</v>
      </c>
      <c r="L54" s="555">
        <f t="shared" si="88"/>
        <v>56</v>
      </c>
      <c r="M54" s="555">
        <f t="shared" si="88"/>
        <v>66</v>
      </c>
      <c r="N54" s="555">
        <f t="shared" si="88"/>
        <v>86</v>
      </c>
      <c r="O54" s="555">
        <f t="shared" si="88"/>
        <v>56</v>
      </c>
      <c r="P54" s="555">
        <f t="shared" si="88"/>
        <v>56</v>
      </c>
      <c r="Q54" s="555">
        <f t="shared" si="88"/>
        <v>58</v>
      </c>
      <c r="R54" s="555">
        <f t="shared" si="88"/>
        <v>57</v>
      </c>
      <c r="S54" s="555">
        <f t="shared" si="88"/>
        <v>56</v>
      </c>
      <c r="T54" s="555">
        <f t="shared" si="88"/>
        <v>56</v>
      </c>
      <c r="U54" s="555">
        <f t="shared" si="88"/>
        <v>53</v>
      </c>
      <c r="V54" s="555">
        <f t="shared" si="88"/>
        <v>55</v>
      </c>
      <c r="W54" s="555">
        <f t="shared" si="88"/>
        <v>49</v>
      </c>
      <c r="X54" s="555">
        <f t="shared" si="88"/>
        <v>50</v>
      </c>
      <c r="Y54" s="555">
        <f t="shared" si="88"/>
        <v>50</v>
      </c>
      <c r="Z54" s="555">
        <f t="shared" si="88"/>
        <v>48</v>
      </c>
      <c r="AA54" s="555">
        <f t="shared" si="88"/>
        <v>46</v>
      </c>
      <c r="AB54" s="555">
        <f t="shared" si="88"/>
        <v>45</v>
      </c>
      <c r="AC54" s="555">
        <f t="shared" si="88"/>
        <v>49</v>
      </c>
      <c r="AD54" s="555">
        <f t="shared" si="88"/>
        <v>32</v>
      </c>
      <c r="AE54" s="555">
        <f t="shared" si="88"/>
        <v>31</v>
      </c>
      <c r="AF54" s="555">
        <f t="shared" si="88"/>
        <v>32</v>
      </c>
      <c r="AG54" s="555">
        <f t="shared" si="88"/>
        <v>34</v>
      </c>
      <c r="AH54" s="555">
        <f t="shared" ref="AH54:BN54" si="89">AH8</f>
        <v>39</v>
      </c>
      <c r="AI54" s="555">
        <f t="shared" si="89"/>
        <v>38</v>
      </c>
      <c r="AJ54" s="555">
        <f t="shared" si="89"/>
        <v>36</v>
      </c>
      <c r="AK54" s="555">
        <f t="shared" si="89"/>
        <v>34</v>
      </c>
      <c r="AL54" s="555">
        <f t="shared" si="89"/>
        <v>37</v>
      </c>
      <c r="AM54" s="555">
        <f t="shared" si="89"/>
        <v>37</v>
      </c>
      <c r="AN54" s="555">
        <f t="shared" si="89"/>
        <v>35</v>
      </c>
      <c r="AO54" s="555">
        <f t="shared" si="89"/>
        <v>39</v>
      </c>
      <c r="AP54" s="555">
        <f t="shared" si="89"/>
        <v>39</v>
      </c>
      <c r="AQ54" s="555">
        <f t="shared" si="89"/>
        <v>37</v>
      </c>
      <c r="AR54" s="555">
        <f t="shared" si="89"/>
        <v>40</v>
      </c>
      <c r="AS54" s="555">
        <f t="shared" si="89"/>
        <v>46</v>
      </c>
      <c r="AT54" s="555">
        <f t="shared" si="89"/>
        <v>58</v>
      </c>
      <c r="AU54" s="555">
        <f t="shared" si="89"/>
        <v>105</v>
      </c>
      <c r="AV54" s="555">
        <f t="shared" si="89"/>
        <v>94</v>
      </c>
      <c r="AW54" s="555">
        <f t="shared" si="89"/>
        <v>100.39650553290622</v>
      </c>
      <c r="AX54" s="555">
        <f t="shared" si="89"/>
        <v>97.748557543232153</v>
      </c>
      <c r="AY54" s="555">
        <f t="shared" si="89"/>
        <v>99.553479729881445</v>
      </c>
      <c r="AZ54" s="555">
        <f t="shared" si="89"/>
        <v>95.995611381149743</v>
      </c>
      <c r="BA54" s="555">
        <f t="shared" si="89"/>
        <v>92.959079503641561</v>
      </c>
      <c r="BB54" s="555">
        <f t="shared" si="89"/>
        <v>89.745272560303533</v>
      </c>
      <c r="BC54" s="555">
        <f t="shared" si="89"/>
        <v>86.622970398931443</v>
      </c>
      <c r="BD54" s="555">
        <f t="shared" si="89"/>
        <v>84.433486138842397</v>
      </c>
      <c r="BE54" s="555">
        <f t="shared" si="89"/>
        <v>82.66193318286949</v>
      </c>
      <c r="BF54" s="555">
        <f t="shared" si="89"/>
        <v>80.631096203945802</v>
      </c>
      <c r="BG54" s="555">
        <f t="shared" si="89"/>
        <v>78.550092346325414</v>
      </c>
      <c r="BH54" s="555">
        <f t="shared" si="89"/>
        <v>77.274733481534668</v>
      </c>
      <c r="BI54" s="555">
        <f t="shared" si="89"/>
        <v>76.965786215755003</v>
      </c>
      <c r="BJ54" s="555">
        <f t="shared" si="89"/>
        <v>75.989051880938376</v>
      </c>
      <c r="BK54" s="555">
        <f t="shared" si="89"/>
        <v>74.700224422033628</v>
      </c>
      <c r="BL54" s="555">
        <f t="shared" si="89"/>
        <v>74.058858080587299</v>
      </c>
      <c r="BM54" s="555">
        <f t="shared" si="89"/>
        <v>73.662433801648177</v>
      </c>
      <c r="BN54" s="555">
        <f t="shared" si="89"/>
        <v>72.971681273299865</v>
      </c>
      <c r="BO54" s="555"/>
      <c r="BP54" s="358">
        <f t="shared" ref="BP54:CF54" si="90">BP8</f>
        <v>192</v>
      </c>
      <c r="BQ54" s="358">
        <f t="shared" si="90"/>
        <v>180</v>
      </c>
      <c r="BR54" s="358">
        <f t="shared" si="90"/>
        <v>216</v>
      </c>
      <c r="BS54" s="358">
        <f t="shared" si="90"/>
        <v>264</v>
      </c>
      <c r="BT54" s="358">
        <f t="shared" si="90"/>
        <v>227</v>
      </c>
      <c r="BU54" s="358">
        <f t="shared" si="90"/>
        <v>220</v>
      </c>
      <c r="BV54" s="358">
        <f t="shared" si="90"/>
        <v>197</v>
      </c>
      <c r="BW54" s="358">
        <f t="shared" si="90"/>
        <v>172</v>
      </c>
      <c r="BX54" s="358">
        <f t="shared" si="90"/>
        <v>136</v>
      </c>
      <c r="BY54" s="358">
        <f t="shared" si="90"/>
        <v>145</v>
      </c>
      <c r="BZ54" s="358">
        <f t="shared" si="90"/>
        <v>150</v>
      </c>
      <c r="CA54" s="358">
        <f t="shared" si="90"/>
        <v>181</v>
      </c>
      <c r="CB54" s="358">
        <f t="shared" si="90"/>
        <v>397.14506307613834</v>
      </c>
      <c r="CC54" s="358">
        <f t="shared" si="90"/>
        <v>378.25344317497627</v>
      </c>
      <c r="CD54" s="358">
        <f t="shared" si="90"/>
        <v>334.34948592458915</v>
      </c>
      <c r="CE54" s="358">
        <f t="shared" si="90"/>
        <v>308.77966392455346</v>
      </c>
      <c r="CF54" s="358">
        <f t="shared" si="90"/>
        <v>295.39319757756897</v>
      </c>
    </row>
    <row r="55" spans="1:84" ht="12.75" customHeight="1">
      <c r="A55" s="586" t="s">
        <v>20</v>
      </c>
      <c r="B55" s="550">
        <f>B54/Drivers!B$128</f>
        <v>5.1072522982635343E-2</v>
      </c>
      <c r="C55" s="550">
        <f>C54/Drivers!C$128</f>
        <v>5.8895705521472393E-2</v>
      </c>
      <c r="D55" s="550">
        <f>D54/Drivers!D$128</f>
        <v>7.2900158478605384E-2</v>
      </c>
      <c r="E55" s="550">
        <f>E54/Drivers!E$128</f>
        <v>4.1785375118708452E-2</v>
      </c>
      <c r="F55" s="550">
        <f>F54/Drivers!F$128</f>
        <v>3.8532110091743121E-2</v>
      </c>
      <c r="G55" s="550">
        <f>G54/Drivers!G$128</f>
        <v>4.3043043043043044E-2</v>
      </c>
      <c r="H55" s="550">
        <f>H54/Drivers!H$128</f>
        <v>7.1328671328671323E-2</v>
      </c>
      <c r="I55" s="550">
        <f>I54/Drivers!I$128</f>
        <v>5.0895381715362863E-2</v>
      </c>
      <c r="J55" s="550">
        <f>J54/Drivers!J$128</f>
        <v>4.9707602339181284E-2</v>
      </c>
      <c r="K55" s="550">
        <f>K54/Drivers!K$128</f>
        <v>5.8638743455497383E-2</v>
      </c>
      <c r="L55" s="550">
        <f>L54/Drivers!L$128</f>
        <v>7.8762306610407881E-2</v>
      </c>
      <c r="M55" s="550">
        <f>M54/Drivers!M$128</f>
        <v>7.1583514099783085E-2</v>
      </c>
      <c r="N55" s="550">
        <f>N54/Drivers!N$128</f>
        <v>7.1133167907361461E-2</v>
      </c>
      <c r="O55" s="550">
        <f>O54/Drivers!O$128</f>
        <v>5.9009483667017915E-2</v>
      </c>
      <c r="P55" s="550">
        <f>P54/Drivers!P$128</f>
        <v>8.0575539568345317E-2</v>
      </c>
      <c r="Q55" s="550">
        <f>Q54/Drivers!Q$128</f>
        <v>7.1782178217821777E-2</v>
      </c>
      <c r="R55" s="550">
        <f>R54/Drivers!R$128</f>
        <v>5.0756901157613533E-2</v>
      </c>
      <c r="S55" s="550">
        <f>S54/Drivers!S$128</f>
        <v>4.6128500823723231E-2</v>
      </c>
      <c r="T55" s="550">
        <f>T54/Drivers!T$128</f>
        <v>5.6565656565656569E-2</v>
      </c>
      <c r="U55" s="550">
        <f>U54/Drivers!U$128</f>
        <v>4.7069271758436948E-2</v>
      </c>
      <c r="V55" s="550">
        <f>V54/Drivers!V$128</f>
        <v>4.6413502109704644E-2</v>
      </c>
      <c r="W55" s="550">
        <f>W54/Drivers!W$128</f>
        <v>4.0731504571903575E-2</v>
      </c>
      <c r="X55" s="550">
        <f>X54/Drivers!X$128</f>
        <v>6.1349693251533742E-2</v>
      </c>
      <c r="Y55" s="550">
        <f>Y54/Drivers!Y$128</f>
        <v>4.6728971962616821E-2</v>
      </c>
      <c r="Z55" s="550">
        <f>Z54/Drivers!Z$128</f>
        <v>3.669724770642202E-2</v>
      </c>
      <c r="AA55" s="550">
        <f>AA54/Drivers!AA$128</f>
        <v>3.6191974822974038E-2</v>
      </c>
      <c r="AB55" s="550">
        <f>AB54/Drivers!AB$128</f>
        <v>5.0111358574610243E-2</v>
      </c>
      <c r="AC55" s="550">
        <f>AC54/Drivers!AC$128</f>
        <v>4.2645778938207139E-2</v>
      </c>
      <c r="AD55" s="550">
        <f>AD54/Drivers!AD$128</f>
        <v>2.0956123117223315E-2</v>
      </c>
      <c r="AE55" s="550">
        <f>AE54/Drivers!AE$128</f>
        <v>2.139406487232574E-2</v>
      </c>
      <c r="AF55" s="550">
        <f>AF54/Drivers!AF$128</f>
        <v>3.3368091762252347E-2</v>
      </c>
      <c r="AG55" s="550">
        <f>AG54/Drivers!AG$128</f>
        <v>2.9310344827586206E-2</v>
      </c>
      <c r="AH55" s="550">
        <f>AH54/Drivers!AH$128</f>
        <v>2.4652338811630849E-2</v>
      </c>
      <c r="AI55" s="550">
        <f>AI54/Drivers!AI$128</f>
        <v>3.3421284080914687E-2</v>
      </c>
      <c r="AJ55" s="550">
        <f>AJ54/Drivers!AJ$128</f>
        <v>2.7993779160186624E-2</v>
      </c>
      <c r="AK55" s="550">
        <f>AK54/Drivers!AK$128</f>
        <v>2.6377036462373934E-2</v>
      </c>
      <c r="AL55" s="550">
        <f>AL54/Drivers!AL$128</f>
        <v>2.9886914378029081E-2</v>
      </c>
      <c r="AM55" s="550">
        <f>AM54/Drivers!AM$128</f>
        <v>3.0603804797353185E-2</v>
      </c>
      <c r="AN55" s="550">
        <f>AN54/Drivers!AN$128</f>
        <v>2.596439169139466E-2</v>
      </c>
      <c r="AO55" s="550">
        <f>AO54/Drivers!AO$128</f>
        <v>2.4482109227871938E-2</v>
      </c>
      <c r="AP55" s="550">
        <f>AP54/Drivers!AP$128</f>
        <v>2.8118240807498196E-2</v>
      </c>
      <c r="AQ55" s="550">
        <f>AQ54/Drivers!AQ$128</f>
        <v>2.5359835503769704E-2</v>
      </c>
      <c r="AR55" s="550">
        <f>AR54/Drivers!AR$128</f>
        <v>3.4752389226759342E-2</v>
      </c>
      <c r="AS55" s="550">
        <f>AS54/Drivers!AS$128</f>
        <v>2.7495517035265989E-2</v>
      </c>
      <c r="AT55" s="550">
        <f>AT54/Drivers!AT$128</f>
        <v>4.3090638930163447E-2</v>
      </c>
      <c r="AU55" s="550">
        <f>AU54/Drivers!AU$128</f>
        <v>6.7698259187620888E-2</v>
      </c>
      <c r="AV55" s="550">
        <f>AV54/Drivers!AV$128</f>
        <v>5.1478641840087623E-2</v>
      </c>
      <c r="AW55" s="550">
        <f>AW54/Drivers!AW$128</f>
        <v>5.7617801497558997E-2</v>
      </c>
      <c r="AX55" s="550">
        <f>AX54/Drivers!AX$128</f>
        <v>5.41339042056425E-2</v>
      </c>
      <c r="AY55" s="550">
        <f>AY54/Drivers!AY$128</f>
        <v>4.8028935881315543E-2</v>
      </c>
      <c r="AZ55" s="550">
        <f>AZ54/Drivers!AZ$128</f>
        <v>4.4955976143084289E-2</v>
      </c>
      <c r="BA55" s="550">
        <f>BA54/Drivers!BA$128</f>
        <v>4.7129340612156213E-2</v>
      </c>
      <c r="BB55" s="550">
        <f>BB54/Drivers!BB$128</f>
        <v>4.7341774210015189E-2</v>
      </c>
      <c r="BC55" s="550">
        <f>BC54/Drivers!BC$128</f>
        <v>4.0862342058649588E-2</v>
      </c>
      <c r="BD55" s="550">
        <f>BD54/Drivers!BD$128</f>
        <v>3.8342526596960164E-2</v>
      </c>
      <c r="BE55" s="550">
        <f>BE54/Drivers!BE$128</f>
        <v>4.0088539882723352E-2</v>
      </c>
      <c r="BF55" s="550">
        <f>BF54/Drivers!BF$128</f>
        <v>4.0652622561955967E-2</v>
      </c>
      <c r="BG55" s="550">
        <f>BG54/Drivers!BG$128</f>
        <v>3.5627701499824083E-2</v>
      </c>
      <c r="BH55" s="550">
        <f>BH54/Drivers!BH$128</f>
        <v>3.0690359501379102E-2</v>
      </c>
      <c r="BI55" s="550">
        <f>BI54/Drivers!BI$128</f>
        <v>3.3546784967815879E-2</v>
      </c>
      <c r="BJ55" s="550">
        <f>BJ54/Drivers!BJ$128</f>
        <v>3.5081085925219739E-2</v>
      </c>
      <c r="BK55" s="550">
        <f>BK54/Drivers!BK$128</f>
        <v>3.1611995697199843E-2</v>
      </c>
      <c r="BL55" s="550">
        <f>BL54/Drivers!BL$128</f>
        <v>3.0285389158067479E-2</v>
      </c>
      <c r="BM55" s="550">
        <f>BM54/Drivers!BM$128</f>
        <v>3.1388491710512424E-2</v>
      </c>
      <c r="BN55" s="550">
        <f>BN54/Drivers!BN$128</f>
        <v>3.2595947925578135E-2</v>
      </c>
      <c r="BO55" s="550"/>
      <c r="BP55" s="551">
        <f>BP54/Drivers!BP$128</f>
        <v>5.2545155993431854E-2</v>
      </c>
      <c r="BQ55" s="551">
        <f>BQ54/Drivers!BQ$128</f>
        <v>5.0153246029534693E-2</v>
      </c>
      <c r="BR55" s="551">
        <f>BR54/Drivers!BR$128</f>
        <v>5.213613323678494E-2</v>
      </c>
      <c r="BS55" s="551">
        <f>BS54/Drivers!BS$128</f>
        <v>6.9528575190940217E-2</v>
      </c>
      <c r="BT55" s="551">
        <f>BT54/Drivers!BT$128</f>
        <v>6.3496503496503501E-2</v>
      </c>
      <c r="BU55" s="551">
        <f>BU54/Drivers!BU$128</f>
        <v>4.8726467331118496E-2</v>
      </c>
      <c r="BV55" s="551">
        <f>BV54/Drivers!BV$128</f>
        <v>4.481346678798908E-2</v>
      </c>
      <c r="BW55" s="551">
        <f>BW54/Drivers!BW$128</f>
        <v>3.5500515995872034E-2</v>
      </c>
      <c r="BX55" s="551">
        <f>BX54/Drivers!BX$128</f>
        <v>2.6407766990291261E-2</v>
      </c>
      <c r="BY55" s="551">
        <f>BY54/Drivers!BY$128</f>
        <v>2.9292929292929294E-2</v>
      </c>
      <c r="BZ55" s="551">
        <f>BZ54/Drivers!BZ$128</f>
        <v>2.7090482210583348E-2</v>
      </c>
      <c r="CA55" s="551">
        <f>CA54/Drivers!CA$128</f>
        <v>3.2154912062533313E-2</v>
      </c>
      <c r="CB55" s="551">
        <f>CB54/Drivers!CB$128</f>
        <v>5.7348330666742518E-2</v>
      </c>
      <c r="CC55" s="551">
        <f>CC54/Drivers!CC$128</f>
        <v>4.6835457221124192E-2</v>
      </c>
      <c r="CD55" s="551">
        <f>CD54/Drivers!CD$128</f>
        <v>3.9958786197854604E-2</v>
      </c>
      <c r="CE55" s="551">
        <f>CE54/Drivers!CE$128</f>
        <v>3.362510311160067E-2</v>
      </c>
      <c r="CF55" s="551">
        <f>CF54/Drivers!CF$128</f>
        <v>3.1445311553869558E-2</v>
      </c>
    </row>
    <row r="56" spans="1:84" ht="12.75" customHeight="1">
      <c r="A56" s="586" t="s">
        <v>22</v>
      </c>
      <c r="B56" s="550">
        <f>B54/BS!B$16</f>
        <v>9.3109869646182494E-2</v>
      </c>
      <c r="C56" s="550">
        <f>C54/BS!C$16</f>
        <v>9.3023255813953487E-2</v>
      </c>
      <c r="D56" s="550">
        <f>D54/BS!D$16</f>
        <v>9.0196078431372548E-2</v>
      </c>
      <c r="E56" s="550">
        <f>E54/BS!E$16</f>
        <v>8.7649402390438252E-2</v>
      </c>
      <c r="F56" s="550">
        <f>F54/BS!F$16</f>
        <v>8.1871345029239762E-2</v>
      </c>
      <c r="G56" s="550">
        <f>G54/BS!G$16</f>
        <v>8.3333333333333329E-2</v>
      </c>
      <c r="H56" s="550">
        <f>H54/BS!H$16</f>
        <v>9.5864661654135333E-2</v>
      </c>
      <c r="I56" s="550">
        <f>I54/BS!I$16</f>
        <v>9.8720292504570387E-2</v>
      </c>
      <c r="J56" s="550">
        <f>J54/BS!J$16</f>
        <v>0.11971830985915492</v>
      </c>
      <c r="K56" s="550">
        <f>K54/BS!K$16</f>
        <v>0.1003584229390681</v>
      </c>
      <c r="L56" s="550">
        <f>L54/BS!L$16</f>
        <v>9.9821746880570411E-2</v>
      </c>
      <c r="M56" s="550">
        <f>M54/BS!M$16</f>
        <v>0.12</v>
      </c>
      <c r="N56" s="550">
        <f>N54/BS!N$16</f>
        <v>0.15693430656934307</v>
      </c>
      <c r="O56" s="550">
        <f>O54/BS!O$16</f>
        <v>0.1042830540037244</v>
      </c>
      <c r="P56" s="550">
        <f>P54/BS!P$16</f>
        <v>0.10526315789473684</v>
      </c>
      <c r="Q56" s="550">
        <f>Q54/BS!Q$16</f>
        <v>0.11196911196911197</v>
      </c>
      <c r="R56" s="550">
        <f>R54/BS!R$16</f>
        <v>0.11176470588235295</v>
      </c>
      <c r="S56" s="550">
        <f>S54/BS!S$16</f>
        <v>0.11133200795228629</v>
      </c>
      <c r="T56" s="550">
        <f>T54/BS!T$16</f>
        <v>0.11594202898550725</v>
      </c>
      <c r="U56" s="550">
        <f>U54/BS!U$16</f>
        <v>0.11496746203904555</v>
      </c>
      <c r="V56" s="550">
        <f>V54/BS!V$16</f>
        <v>0.11982570806100218</v>
      </c>
      <c r="W56" s="550">
        <f>W54/BS!W$16</f>
        <v>0.11036036036036036</v>
      </c>
      <c r="X56" s="550">
        <f>X54/BS!X$16</f>
        <v>0.11627906976744186</v>
      </c>
      <c r="Y56" s="550">
        <f>Y54/BS!Y$16</f>
        <v>0.12048192771084337</v>
      </c>
      <c r="Z56" s="550">
        <f>Z54/BS!Z$16</f>
        <v>0.10933940774487472</v>
      </c>
      <c r="AA56" s="550">
        <f>AA54/BS!AA$16</f>
        <v>0.10574712643678161</v>
      </c>
      <c r="AB56" s="550">
        <f>AB54/BS!AB$16</f>
        <v>0.10440835266821345</v>
      </c>
      <c r="AC56" s="550">
        <f>AC54/BS!AC$16</f>
        <v>0.11556603773584906</v>
      </c>
      <c r="AD56" s="550">
        <f>AD54/BS!AD$16</f>
        <v>7.3732718894009217E-2</v>
      </c>
      <c r="AE56" s="550">
        <f>AE54/BS!AE$16</f>
        <v>7.1100917431192664E-2</v>
      </c>
      <c r="AF56" s="550">
        <f>AF54/BS!AF$16</f>
        <v>7.2072072072072071E-2</v>
      </c>
      <c r="AG56" s="550">
        <f>AG54/BS!AG$16</f>
        <v>7.6062639821029079E-2</v>
      </c>
      <c r="AH56" s="550">
        <f>AH54/BS!AH$16</f>
        <v>8.6092715231788075E-2</v>
      </c>
      <c r="AI56" s="550">
        <f>AI54/BS!AI$16</f>
        <v>8.6363636363636365E-2</v>
      </c>
      <c r="AJ56" s="550">
        <f>AJ54/BS!AJ$16</f>
        <v>8.1818181818181818E-2</v>
      </c>
      <c r="AK56" s="550">
        <f>AK54/BS!AK$16</f>
        <v>7.9812206572769953E-2</v>
      </c>
      <c r="AL56" s="550">
        <f>AL54/BS!AL$16</f>
        <v>8.2589285714285712E-2</v>
      </c>
      <c r="AM56" s="550">
        <f>AM54/BS!AM$16</f>
        <v>8.2959641255605385E-2</v>
      </c>
      <c r="AN56" s="550">
        <f>AN54/BS!AN$16</f>
        <v>7.9185520361990946E-2</v>
      </c>
      <c r="AO56" s="550">
        <f>AO54/BS!AO$16</f>
        <v>8.8838268792710701E-2</v>
      </c>
      <c r="AP56" s="550">
        <f>AP54/BS!AP$16</f>
        <v>8.6859688195991089E-2</v>
      </c>
      <c r="AQ56" s="550">
        <f>AQ54/BS!AQ$16</f>
        <v>8.2222222222222224E-2</v>
      </c>
      <c r="AR56" s="550">
        <f>AR54/BS!AR$16</f>
        <v>8.7336244541484712E-2</v>
      </c>
      <c r="AS56" s="550">
        <f>AS54/BS!AS$16</f>
        <v>9.8501070663811557E-2</v>
      </c>
      <c r="AT56" s="550">
        <f>AT54/BS!AT$16</f>
        <v>0.11812627291242363</v>
      </c>
      <c r="AU56" s="550">
        <f>AU54/BS!AU$16</f>
        <v>0.20588235294117646</v>
      </c>
      <c r="AV56" s="550">
        <f>AV54/BS!AV$16</f>
        <v>0.18217054263565891</v>
      </c>
      <c r="AW56" s="550">
        <f>AW54/BS!AW$16</f>
        <v>0.19909147757253903</v>
      </c>
      <c r="AX56" s="550">
        <f>AX54/BS!AX$16</f>
        <v>0.18522774635454173</v>
      </c>
      <c r="AY56" s="550">
        <f>AY54/BS!AY$16</f>
        <v>0.19591946680350814</v>
      </c>
      <c r="AZ56" s="550">
        <f>AZ54/BS!AZ$16</f>
        <v>0.19494915262700011</v>
      </c>
      <c r="BA56" s="550">
        <f>BA54/BS!BA$16</f>
        <v>0.19570329790897567</v>
      </c>
      <c r="BB56" s="550">
        <f>BB54/BS!BB$16</f>
        <v>0.19593103451996036</v>
      </c>
      <c r="BC56" s="550">
        <f>BC54/BS!BC$16</f>
        <v>0.1932417595821348</v>
      </c>
      <c r="BD56" s="550">
        <f>BD54/BS!BD$16</f>
        <v>0.19121782546230137</v>
      </c>
      <c r="BE56" s="550">
        <f>BE54/BS!BE$16</f>
        <v>0.19110809930170758</v>
      </c>
      <c r="BF56" s="550">
        <f>BF54/BS!BF$16</f>
        <v>0.19066795203695472</v>
      </c>
      <c r="BG56" s="550">
        <f>BG54/BS!BG$16</f>
        <v>0.18727993419316108</v>
      </c>
      <c r="BH56" s="550">
        <f>BH54/BS!BH$16</f>
        <v>0.18249077432666588</v>
      </c>
      <c r="BI56" s="550">
        <f>BI54/BS!BI$16</f>
        <v>0.18241458785640222</v>
      </c>
      <c r="BJ56" s="550">
        <f>BJ54/BS!BJ$16</f>
        <v>0.18191506863366816</v>
      </c>
      <c r="BK56" s="550">
        <f>BK54/BS!BK$16</f>
        <v>0.17850964181338683</v>
      </c>
      <c r="BL56" s="550">
        <f>BL54/BS!BL$16</f>
        <v>0.17592289437913225</v>
      </c>
      <c r="BM56" s="550">
        <f>BM54/BS!BM$16</f>
        <v>0.17499163906897</v>
      </c>
      <c r="BN56" s="550">
        <f>BN54/BS!BN$16</f>
        <v>0.17436750856685121</v>
      </c>
      <c r="BO56" s="550"/>
      <c r="BP56" s="551"/>
      <c r="BQ56" s="551"/>
      <c r="BR56" s="551"/>
      <c r="BS56" s="551"/>
      <c r="BT56" s="551"/>
      <c r="BU56" s="551"/>
      <c r="BV56" s="551"/>
      <c r="BW56" s="551"/>
      <c r="BX56" s="551"/>
      <c r="BY56" s="551"/>
      <c r="BZ56" s="551"/>
      <c r="CA56" s="551"/>
      <c r="CB56" s="551"/>
      <c r="CC56" s="551"/>
      <c r="CD56" s="551"/>
      <c r="CE56" s="551"/>
      <c r="CF56" s="551"/>
    </row>
    <row r="57" spans="1:84" ht="12.75" customHeight="1">
      <c r="A57" s="566"/>
      <c r="B57" s="584"/>
      <c r="C57" s="584"/>
      <c r="D57" s="584"/>
      <c r="E57" s="584"/>
      <c r="F57" s="584"/>
      <c r="G57" s="584"/>
      <c r="H57" s="584"/>
      <c r="I57" s="584"/>
      <c r="J57" s="584"/>
      <c r="K57" s="584"/>
      <c r="L57" s="584"/>
      <c r="M57" s="584"/>
      <c r="N57" s="584"/>
      <c r="O57" s="584"/>
      <c r="P57" s="584"/>
      <c r="Q57" s="584"/>
      <c r="R57" s="584"/>
      <c r="S57" s="584"/>
      <c r="T57" s="584"/>
      <c r="U57" s="584"/>
      <c r="V57" s="584"/>
      <c r="W57" s="584"/>
      <c r="X57" s="584"/>
      <c r="Y57" s="584"/>
      <c r="Z57" s="584"/>
      <c r="AA57" s="584"/>
      <c r="AB57" s="584"/>
      <c r="AC57" s="584"/>
      <c r="AD57" s="584"/>
      <c r="AE57" s="584"/>
      <c r="AF57" s="584"/>
      <c r="AG57" s="584"/>
      <c r="AH57" s="584"/>
      <c r="AI57" s="584"/>
      <c r="AJ57" s="584"/>
      <c r="AK57" s="584"/>
      <c r="AL57" s="584"/>
      <c r="AM57" s="584"/>
      <c r="AN57" s="584"/>
      <c r="AO57" s="584"/>
      <c r="AP57" s="584"/>
      <c r="AQ57" s="584"/>
      <c r="AR57" s="584"/>
      <c r="AS57" s="584"/>
      <c r="AT57" s="584"/>
      <c r="AU57" s="584"/>
      <c r="AV57" s="584"/>
      <c r="AW57" s="584"/>
      <c r="AX57" s="584"/>
      <c r="AY57" s="584"/>
      <c r="AZ57" s="584"/>
      <c r="BA57" s="584"/>
      <c r="BB57" s="584"/>
      <c r="BC57" s="584"/>
      <c r="BD57" s="584"/>
      <c r="BE57" s="584"/>
      <c r="BF57" s="584"/>
      <c r="BG57" s="584"/>
      <c r="BH57" s="584"/>
      <c r="BI57" s="584"/>
      <c r="BJ57" s="584"/>
      <c r="BK57" s="584"/>
      <c r="BL57" s="584"/>
      <c r="BM57" s="584"/>
      <c r="BN57" s="584"/>
      <c r="BO57" s="584"/>
      <c r="BP57" s="585"/>
      <c r="BQ57" s="585"/>
      <c r="BR57" s="585"/>
      <c r="BS57" s="585"/>
      <c r="BT57" s="585"/>
      <c r="BU57" s="585"/>
      <c r="BV57" s="585"/>
      <c r="BW57" s="585"/>
      <c r="BX57" s="585"/>
      <c r="BY57" s="585"/>
      <c r="BZ57" s="585"/>
      <c r="CA57" s="585"/>
      <c r="CB57" s="585"/>
      <c r="CC57" s="585"/>
      <c r="CD57" s="585"/>
      <c r="CE57" s="585"/>
      <c r="CF57" s="585"/>
    </row>
    <row r="58" spans="1:84" s="565" customFormat="1" ht="12.75" customHeight="1">
      <c r="A58" s="562" t="s">
        <v>18</v>
      </c>
      <c r="B58" s="587">
        <f t="shared" ref="B58:L58" si="91">B52+B54</f>
        <v>84</v>
      </c>
      <c r="C58" s="587">
        <f t="shared" si="91"/>
        <v>-61</v>
      </c>
      <c r="D58" s="587">
        <f t="shared" si="91"/>
        <v>85</v>
      </c>
      <c r="E58" s="587">
        <f t="shared" si="91"/>
        <v>316</v>
      </c>
      <c r="F58" s="587">
        <f t="shared" si="91"/>
        <v>153</v>
      </c>
      <c r="G58" s="587">
        <f t="shared" si="91"/>
        <v>-131</v>
      </c>
      <c r="H58" s="587">
        <f t="shared" si="91"/>
        <v>76</v>
      </c>
      <c r="I58" s="587">
        <f t="shared" si="91"/>
        <v>523</v>
      </c>
      <c r="J58" s="587">
        <f t="shared" si="91"/>
        <v>145</v>
      </c>
      <c r="K58" s="587">
        <f t="shared" si="91"/>
        <v>-125</v>
      </c>
      <c r="L58" s="587">
        <f t="shared" si="91"/>
        <v>124</v>
      </c>
      <c r="M58" s="587">
        <f t="shared" ref="M58:R58" si="92">M52+M54</f>
        <v>313</v>
      </c>
      <c r="N58" s="587">
        <f t="shared" si="92"/>
        <v>319</v>
      </c>
      <c r="O58" s="587">
        <f t="shared" si="92"/>
        <v>-105</v>
      </c>
      <c r="P58" s="587">
        <f t="shared" si="92"/>
        <v>199</v>
      </c>
      <c r="Q58" s="587">
        <f t="shared" si="92"/>
        <v>589</v>
      </c>
      <c r="R58" s="587">
        <f t="shared" si="92"/>
        <v>261</v>
      </c>
      <c r="S58" s="587">
        <f t="shared" ref="S58:X58" si="93">S52+S54</f>
        <v>141</v>
      </c>
      <c r="T58" s="587">
        <f t="shared" si="93"/>
        <v>365</v>
      </c>
      <c r="U58" s="587">
        <f t="shared" si="93"/>
        <v>572</v>
      </c>
      <c r="V58" s="587">
        <f t="shared" si="93"/>
        <v>218</v>
      </c>
      <c r="W58" s="587">
        <f t="shared" si="93"/>
        <v>109</v>
      </c>
      <c r="X58" s="587">
        <f t="shared" si="93"/>
        <v>320</v>
      </c>
      <c r="Y58" s="587">
        <f t="shared" ref="Y58:AF58" si="94">Y52+Y54</f>
        <v>808</v>
      </c>
      <c r="Z58" s="587">
        <f t="shared" si="94"/>
        <v>260</v>
      </c>
      <c r="AA58" s="587">
        <f t="shared" si="94"/>
        <v>80</v>
      </c>
      <c r="AB58" s="587">
        <f t="shared" si="94"/>
        <v>257</v>
      </c>
      <c r="AC58" s="587">
        <f t="shared" si="94"/>
        <v>1034</v>
      </c>
      <c r="AD58" s="587">
        <f t="shared" si="94"/>
        <v>367</v>
      </c>
      <c r="AE58" s="587">
        <f t="shared" si="94"/>
        <v>149</v>
      </c>
      <c r="AF58" s="587">
        <f t="shared" si="94"/>
        <v>275</v>
      </c>
      <c r="AG58" s="587">
        <f t="shared" ref="AG58:AP58" si="95">AG52+AG54</f>
        <v>888</v>
      </c>
      <c r="AH58" s="587">
        <f t="shared" si="95"/>
        <v>540.16025226153852</v>
      </c>
      <c r="AI58" s="587">
        <f t="shared" si="95"/>
        <v>76</v>
      </c>
      <c r="AJ58" s="587">
        <f t="shared" si="95"/>
        <v>349</v>
      </c>
      <c r="AK58" s="587">
        <f t="shared" si="95"/>
        <v>727</v>
      </c>
      <c r="AL58" s="587">
        <f t="shared" si="95"/>
        <v>496</v>
      </c>
      <c r="AM58" s="587">
        <f t="shared" si="95"/>
        <v>145</v>
      </c>
      <c r="AN58" s="587">
        <f t="shared" si="95"/>
        <v>406</v>
      </c>
      <c r="AO58" s="587">
        <f t="shared" si="95"/>
        <v>974</v>
      </c>
      <c r="AP58" s="587">
        <f t="shared" si="95"/>
        <v>452</v>
      </c>
      <c r="AQ58" s="587">
        <f t="shared" ref="AQ58:AX58" si="96">AQ52+AQ54</f>
        <v>546</v>
      </c>
      <c r="AR58" s="587">
        <f t="shared" si="96"/>
        <v>67</v>
      </c>
      <c r="AS58" s="587">
        <f t="shared" si="96"/>
        <v>1140</v>
      </c>
      <c r="AT58" s="587">
        <f>AT52+AT54</f>
        <v>504</v>
      </c>
      <c r="AU58" s="587">
        <f>AU52+AU54</f>
        <v>399</v>
      </c>
      <c r="AV58" s="587">
        <f t="shared" si="96"/>
        <v>660</v>
      </c>
      <c r="AW58" s="587">
        <f t="shared" si="96"/>
        <v>1234.7915992829062</v>
      </c>
      <c r="AX58" s="587">
        <f t="shared" si="96"/>
        <v>610.69538606672222</v>
      </c>
      <c r="AY58" s="587">
        <f t="shared" ref="AY58:BF58" si="97">AY52+AY54</f>
        <v>477.16043371747912</v>
      </c>
      <c r="AZ58" s="587">
        <f t="shared" si="97"/>
        <v>679.69024617243736</v>
      </c>
      <c r="BA58" s="587">
        <f t="shared" si="97"/>
        <v>1282.3648291411416</v>
      </c>
      <c r="BB58" s="587">
        <f t="shared" si="97"/>
        <v>560.75236168533706</v>
      </c>
      <c r="BC58" s="587">
        <f t="shared" si="97"/>
        <v>496.63310465039297</v>
      </c>
      <c r="BD58" s="587">
        <f t="shared" si="97"/>
        <v>712.43015280260829</v>
      </c>
      <c r="BE58" s="587">
        <f t="shared" si="97"/>
        <v>1355.6882375199446</v>
      </c>
      <c r="BF58" s="587">
        <f t="shared" si="97"/>
        <v>612.35150059792318</v>
      </c>
      <c r="BG58" s="587">
        <f t="shared" ref="BG58:BN58" si="98">BG52+BG54</f>
        <v>536.38559360274132</v>
      </c>
      <c r="BH58" s="587">
        <f t="shared" si="98"/>
        <v>865.6869035055845</v>
      </c>
      <c r="BI58" s="587">
        <f t="shared" si="98"/>
        <v>1463.935446449196</v>
      </c>
      <c r="BJ58" s="587">
        <f t="shared" si="98"/>
        <v>668.14252719358637</v>
      </c>
      <c r="BK58" s="587">
        <f t="shared" si="98"/>
        <v>585.65474421034878</v>
      </c>
      <c r="BL58" s="587">
        <f t="shared" si="98"/>
        <v>809.81901274070424</v>
      </c>
      <c r="BM58" s="587">
        <f t="shared" si="98"/>
        <v>1513.3310924388504</v>
      </c>
      <c r="BN58" s="587">
        <f t="shared" si="98"/>
        <v>718.01713052090247</v>
      </c>
      <c r="BO58" s="587"/>
      <c r="BP58" s="573">
        <f t="shared" ref="BP58:CA58" si="99">BP52+BP54</f>
        <v>-88</v>
      </c>
      <c r="BQ58" s="573">
        <f t="shared" si="99"/>
        <v>493</v>
      </c>
      <c r="BR58" s="573">
        <f t="shared" si="99"/>
        <v>613</v>
      </c>
      <c r="BS58" s="573">
        <f t="shared" si="99"/>
        <v>631</v>
      </c>
      <c r="BT58" s="573">
        <f t="shared" si="99"/>
        <v>944</v>
      </c>
      <c r="BU58" s="573">
        <f t="shared" si="99"/>
        <v>1296</v>
      </c>
      <c r="BV58" s="573">
        <f t="shared" si="99"/>
        <v>1497</v>
      </c>
      <c r="BW58" s="573">
        <f t="shared" si="99"/>
        <v>1738</v>
      </c>
      <c r="BX58" s="573">
        <f t="shared" si="99"/>
        <v>1852.1602522615385</v>
      </c>
      <c r="BY58" s="573">
        <f t="shared" si="99"/>
        <v>1648</v>
      </c>
      <c r="BZ58" s="573">
        <f t="shared" si="99"/>
        <v>1977</v>
      </c>
      <c r="CA58" s="573">
        <f t="shared" si="99"/>
        <v>2257</v>
      </c>
      <c r="CB58" s="573">
        <f>CB52+CB54</f>
        <v>2904.4869853496275</v>
      </c>
      <c r="CC58" s="573">
        <f>CC52+CC54</f>
        <v>2999.9678707163944</v>
      </c>
      <c r="CD58" s="573">
        <f>CD52+CD54</f>
        <v>3177.1029955708691</v>
      </c>
      <c r="CE58" s="573">
        <f>CE52+CE54</f>
        <v>3534.1504707511085</v>
      </c>
      <c r="CF58" s="573">
        <f>CF52+CF54</f>
        <v>3626.8219799108047</v>
      </c>
    </row>
    <row r="59" spans="1:84" s="442" customFormat="1" ht="12.75" customHeight="1">
      <c r="A59" s="588" t="s">
        <v>170</v>
      </c>
      <c r="B59" s="548">
        <f>B58/Drivers!B8</f>
        <v>9.8823529411764699E-2</v>
      </c>
      <c r="C59" s="548">
        <f>C58/Drivers!C8</f>
        <v>-0.11317254174397032</v>
      </c>
      <c r="D59" s="548">
        <f>D58/Drivers!D8</f>
        <v>9.6153846153846159E-2</v>
      </c>
      <c r="E59" s="548">
        <f>E58/Drivers!E8</f>
        <v>0.22411347517730495</v>
      </c>
      <c r="F59" s="548">
        <f>F58/Drivers!F8</f>
        <v>0.15376884422110554</v>
      </c>
      <c r="G59" s="548">
        <f>G58/Drivers!G8</f>
        <v>-0.25</v>
      </c>
      <c r="H59" s="548">
        <f>H58/Drivers!H8</f>
        <v>7.3500967117988397E-2</v>
      </c>
      <c r="I59" s="548">
        <f>I58/Drivers!I8</f>
        <v>0.3167777104784979</v>
      </c>
      <c r="J59" s="548">
        <f>J58/Drivers!J8</f>
        <v>0.14841351074718526</v>
      </c>
      <c r="K59" s="548">
        <f>K58/Drivers!K8</f>
        <v>-0.25458248472505091</v>
      </c>
      <c r="L59" s="548">
        <f>L58/Drivers!L8</f>
        <v>0.11481481481481481</v>
      </c>
      <c r="M59" s="548">
        <f>M58/Drivers!M8</f>
        <v>0.26480541455160744</v>
      </c>
      <c r="N59" s="548">
        <f>N58/Drivers!N8</f>
        <v>0.30673076923076925</v>
      </c>
      <c r="O59" s="548">
        <f>O58/Drivers!O8</f>
        <v>-0.21212121212121213</v>
      </c>
      <c r="P59" s="548">
        <f>P58/Drivers!P8</f>
        <v>0.19134615384615383</v>
      </c>
      <c r="Q59" s="548">
        <f>Q58/Drivers!Q8</f>
        <v>0.37468193384223919</v>
      </c>
      <c r="R59" s="548">
        <f>R58/Drivers!R8</f>
        <v>0.28555798687089717</v>
      </c>
      <c r="S59" s="548">
        <f>S58/Drivers!S8</f>
        <v>0.18193548387096775</v>
      </c>
      <c r="T59" s="548">
        <f>T58/Drivers!T8</f>
        <v>0.29918032786885246</v>
      </c>
      <c r="U59" s="548">
        <f>U58/Drivers!U8</f>
        <v>0.40056022408963587</v>
      </c>
      <c r="V59" s="548">
        <f>V58/Drivers!V8</f>
        <v>0.24330357142857142</v>
      </c>
      <c r="W59" s="548">
        <f>W58/Drivers!W8</f>
        <v>0.15728715728715728</v>
      </c>
      <c r="X59" s="548">
        <f>X58/Drivers!X8</f>
        <v>0.27923211169284468</v>
      </c>
      <c r="Y59" s="548">
        <f>Y58/Drivers!Y8</f>
        <v>0.44814198557958956</v>
      </c>
      <c r="Z59" s="548">
        <f>Z58/Drivers!Z8</f>
        <v>0.2813852813852814</v>
      </c>
      <c r="AA59" s="548">
        <f>AA58/Drivers!AA8</f>
        <v>0.11730205278592376</v>
      </c>
      <c r="AB59" s="548">
        <f>AB58/Drivers!AB8</f>
        <v>0.23406193078324225</v>
      </c>
      <c r="AC59" s="548">
        <f>AC58/Drivers!AC8</f>
        <v>0.4995169082125604</v>
      </c>
      <c r="AD59" s="548">
        <f>AD58/Drivers!AD8</f>
        <v>0.33608058608058611</v>
      </c>
      <c r="AE59" s="548">
        <f>AE58/Drivers!AE8</f>
        <v>0.19225806451612903</v>
      </c>
      <c r="AF59" s="548">
        <f>AF58/Drivers!AF8</f>
        <v>0.23324851569126379</v>
      </c>
      <c r="AG59" s="548">
        <f>AG58/Drivers!AG8</f>
        <v>0.45053272450532722</v>
      </c>
      <c r="AH59" s="548">
        <f>AH58/Drivers!AH8</f>
        <v>0.43040657550720202</v>
      </c>
      <c r="AI59" s="548">
        <f>AI58/Drivers!AI8</f>
        <v>0.10146862483311081</v>
      </c>
      <c r="AJ59" s="548">
        <f>AJ58/Drivers!AJ8</f>
        <v>0.2855973813420622</v>
      </c>
      <c r="AK59" s="548">
        <f>AK58/Drivers!AK8</f>
        <v>0.45183343691733996</v>
      </c>
      <c r="AL59" s="548">
        <f>AL58/Drivers!AL8</f>
        <v>0.36363636363636365</v>
      </c>
      <c r="AM59" s="548">
        <f>AM58/Drivers!AM8</f>
        <v>0.18542199488491048</v>
      </c>
      <c r="AN59" s="548">
        <f>AN58/Drivers!AN8</f>
        <v>0.30921553693830922</v>
      </c>
      <c r="AO59" s="548">
        <f>AO58/Drivers!AO8</f>
        <v>0.48193963384463134</v>
      </c>
      <c r="AP59" s="548">
        <f>AP58/Drivers!AP8</f>
        <v>0.35987261146496813</v>
      </c>
      <c r="AQ59" s="548">
        <f>AQ58/Drivers!AQ8</f>
        <v>0.39280575539568346</v>
      </c>
      <c r="AR59" s="548">
        <f>AR58/Drivers!AR8</f>
        <v>7.3626373626373628E-2</v>
      </c>
      <c r="AS59" s="548">
        <f>AS58/Drivers!AS8</f>
        <v>0.47499999999999998</v>
      </c>
      <c r="AT59" s="548">
        <f>AT58/Drivers!AT8</f>
        <v>0.338255033557047</v>
      </c>
      <c r="AU59" s="548">
        <f>AU58/Drivers!AU8</f>
        <v>0.29865269461077842</v>
      </c>
      <c r="AV59" s="548">
        <f>AV58/Drivers!AV8</f>
        <v>0.3565640194489465</v>
      </c>
      <c r="AW59" s="548">
        <f>AW58/Drivers!AW8</f>
        <v>0.46805596270382283</v>
      </c>
      <c r="AX59" s="548">
        <f>AX58/Drivers!AX8</f>
        <v>0.34022927407088616</v>
      </c>
      <c r="AY59" s="548">
        <f>AY58/Drivers!AY8</f>
        <v>0.31472280693383764</v>
      </c>
      <c r="AZ59" s="548">
        <f>AZ58/Drivers!AZ8</f>
        <v>0.34908319836867951</v>
      </c>
      <c r="BA59" s="548">
        <f>BA58/Drivers!BA8</f>
        <v>0.44635654353128595</v>
      </c>
      <c r="BB59" s="548">
        <f>BB58/Drivers!BB8</f>
        <v>0.32712658918774556</v>
      </c>
      <c r="BC59" s="548">
        <f>BC58/Drivers!BC8</f>
        <v>0.32529861085358186</v>
      </c>
      <c r="BD59" s="548">
        <f>BD58/Drivers!BD8</f>
        <v>0.35086311587342778</v>
      </c>
      <c r="BE59" s="548">
        <f>BE58/Drivers!BE8</f>
        <v>0.4563239642403184</v>
      </c>
      <c r="BF59" s="548">
        <f>BF58/Drivers!BF8</f>
        <v>0.33889575089104462</v>
      </c>
      <c r="BG59" s="548">
        <f>BG58/Drivers!BG8</f>
        <v>0.33338135609609737</v>
      </c>
      <c r="BH59" s="548">
        <f>BH58/Drivers!BH8</f>
        <v>0.34837832515049943</v>
      </c>
      <c r="BI59" s="548">
        <f>BI58/Drivers!BI8</f>
        <v>0.45597256450412194</v>
      </c>
      <c r="BJ59" s="548">
        <f>BJ58/Drivers!BJ8</f>
        <v>0.34444631080948246</v>
      </c>
      <c r="BK59" s="548">
        <f>BK58/Drivers!BK8</f>
        <v>0.34106236230405867</v>
      </c>
      <c r="BL59" s="548">
        <f>BL58/Drivers!BL8</f>
        <v>0.35747186232681649</v>
      </c>
      <c r="BM59" s="548">
        <f>BM58/Drivers!BM8</f>
        <v>0.45725731491164717</v>
      </c>
      <c r="BN59" s="548">
        <f>BN58/Drivers!BN8</f>
        <v>0.35149394616133772</v>
      </c>
      <c r="BO59" s="548"/>
      <c r="BP59" s="589">
        <f>BP58/Drivers!BP8</f>
        <v>-2.3893565028509367E-2</v>
      </c>
      <c r="BQ59" s="589">
        <f>BQ58/Drivers!BQ8</f>
        <v>0.12878787878787878</v>
      </c>
      <c r="BR59" s="589">
        <f>BR58/Drivers!BR8</f>
        <v>0.14644051600573341</v>
      </c>
      <c r="BS59" s="589">
        <f>BS58/Drivers!BS8</f>
        <v>0.16635908252043238</v>
      </c>
      <c r="BT59" s="589">
        <f>BT58/Drivers!BT8</f>
        <v>0.23476747077841334</v>
      </c>
      <c r="BU59" s="589">
        <f>BU58/Drivers!BU8</f>
        <v>0.30006946052326927</v>
      </c>
      <c r="BV59" s="589">
        <f>BV58/Drivers!BV8</f>
        <v>0.32785808147174772</v>
      </c>
      <c r="BW59" s="589">
        <f>BW58/Drivers!BW8</f>
        <v>0.35167948199109672</v>
      </c>
      <c r="BX59" s="589">
        <f>BX58/Drivers!BX8</f>
        <v>0.35755989425898427</v>
      </c>
      <c r="BY59" s="589">
        <f>BY58/Drivers!BY8</f>
        <v>0.33333333333333331</v>
      </c>
      <c r="BZ59" s="589">
        <f>BZ58/Drivers!BZ8</f>
        <v>0.36801935964259119</v>
      </c>
      <c r="CA59" s="589">
        <f>CA58/Drivers!CA8</f>
        <v>0.36462035541195476</v>
      </c>
      <c r="CB59" s="589">
        <f>CB58/Drivers!CB8</f>
        <v>0.38116223807666438</v>
      </c>
      <c r="CC59" s="589">
        <f>CC58/Drivers!CC8</f>
        <v>0.37265118230048311</v>
      </c>
      <c r="CD59" s="589">
        <f>CD58/Drivers!CD8</f>
        <v>0.38117618599137992</v>
      </c>
      <c r="CE59" s="589">
        <f>CE58/Drivers!CE8</f>
        <v>0.3823114616560061</v>
      </c>
      <c r="CF59" s="589">
        <f>CF58/Drivers!CF8</f>
        <v>0.38852301258069261</v>
      </c>
    </row>
    <row r="60" spans="1:84" ht="12.75" customHeight="1">
      <c r="A60" s="586" t="s">
        <v>0</v>
      </c>
      <c r="B60" s="550" t="s">
        <v>17</v>
      </c>
      <c r="C60" s="550">
        <f t="shared" ref="C60:AU60" si="100">C58/B58-1</f>
        <v>-1.7261904761904763</v>
      </c>
      <c r="D60" s="550">
        <f t="shared" si="100"/>
        <v>-2.3934426229508197</v>
      </c>
      <c r="E60" s="550">
        <f t="shared" si="100"/>
        <v>2.7176470588235295</v>
      </c>
      <c r="F60" s="550">
        <f t="shared" si="100"/>
        <v>-0.51582278481012656</v>
      </c>
      <c r="G60" s="550">
        <f t="shared" si="100"/>
        <v>-1.8562091503267975</v>
      </c>
      <c r="H60" s="550">
        <f t="shared" si="100"/>
        <v>-1.5801526717557253</v>
      </c>
      <c r="I60" s="550">
        <f t="shared" si="100"/>
        <v>5.8815789473684212</v>
      </c>
      <c r="J60" s="550">
        <f t="shared" si="100"/>
        <v>-0.72275334608030595</v>
      </c>
      <c r="K60" s="550">
        <f t="shared" si="100"/>
        <v>-1.8620689655172413</v>
      </c>
      <c r="L60" s="550">
        <f t="shared" si="100"/>
        <v>-1.992</v>
      </c>
      <c r="M60" s="550">
        <f t="shared" si="100"/>
        <v>1.524193548387097</v>
      </c>
      <c r="N60" s="550">
        <f t="shared" si="100"/>
        <v>1.9169329073482455E-2</v>
      </c>
      <c r="O60" s="550">
        <f t="shared" si="100"/>
        <v>-1.329153605015674</v>
      </c>
      <c r="P60" s="550">
        <f t="shared" si="100"/>
        <v>-2.8952380952380952</v>
      </c>
      <c r="Q60" s="550">
        <f t="shared" si="100"/>
        <v>1.9597989949748742</v>
      </c>
      <c r="R60" s="550">
        <f t="shared" si="100"/>
        <v>-0.55687606112054322</v>
      </c>
      <c r="S60" s="550">
        <f t="shared" si="100"/>
        <v>-0.45977011494252873</v>
      </c>
      <c r="T60" s="550">
        <f t="shared" si="100"/>
        <v>1.5886524822695036</v>
      </c>
      <c r="U60" s="550">
        <f t="shared" si="100"/>
        <v>0.56712328767123288</v>
      </c>
      <c r="V60" s="550">
        <f t="shared" si="100"/>
        <v>-0.61888111888111896</v>
      </c>
      <c r="W60" s="550">
        <f t="shared" si="100"/>
        <v>-0.5</v>
      </c>
      <c r="X60" s="550">
        <f t="shared" si="100"/>
        <v>1.9357798165137616</v>
      </c>
      <c r="Y60" s="550">
        <f t="shared" si="100"/>
        <v>1.5249999999999999</v>
      </c>
      <c r="Z60" s="550">
        <f t="shared" si="100"/>
        <v>-0.67821782178217815</v>
      </c>
      <c r="AA60" s="550">
        <f t="shared" si="100"/>
        <v>-0.69230769230769229</v>
      </c>
      <c r="AB60" s="550">
        <f t="shared" si="100"/>
        <v>2.2124999999999999</v>
      </c>
      <c r="AC60" s="550">
        <f t="shared" si="100"/>
        <v>3.0233463035019454</v>
      </c>
      <c r="AD60" s="550">
        <f t="shared" si="100"/>
        <v>-0.64506769825918764</v>
      </c>
      <c r="AE60" s="550">
        <f t="shared" si="100"/>
        <v>-0.59400544959128065</v>
      </c>
      <c r="AF60" s="550">
        <f t="shared" si="100"/>
        <v>0.84563758389261734</v>
      </c>
      <c r="AG60" s="550">
        <f t="shared" si="100"/>
        <v>2.229090909090909</v>
      </c>
      <c r="AH60" s="550">
        <f t="shared" si="100"/>
        <v>-0.39171142763340261</v>
      </c>
      <c r="AI60" s="550">
        <f t="shared" si="100"/>
        <v>-0.85930101357550126</v>
      </c>
      <c r="AJ60" s="550">
        <f t="shared" si="100"/>
        <v>3.5921052631578947</v>
      </c>
      <c r="AK60" s="550">
        <f t="shared" si="100"/>
        <v>1.0830945558739256</v>
      </c>
      <c r="AL60" s="550">
        <f t="shared" si="100"/>
        <v>-0.31774415405777168</v>
      </c>
      <c r="AM60" s="550">
        <f t="shared" si="100"/>
        <v>-0.70766129032258063</v>
      </c>
      <c r="AN60" s="550">
        <f t="shared" si="100"/>
        <v>1.7999999999999998</v>
      </c>
      <c r="AO60" s="550">
        <f t="shared" si="100"/>
        <v>1.3990147783251232</v>
      </c>
      <c r="AP60" s="550">
        <f t="shared" si="100"/>
        <v>-0.53593429158110883</v>
      </c>
      <c r="AQ60" s="550">
        <f t="shared" si="100"/>
        <v>0.20796460176991149</v>
      </c>
      <c r="AR60" s="550">
        <f t="shared" si="100"/>
        <v>-0.87728937728937728</v>
      </c>
      <c r="AS60" s="550">
        <f t="shared" si="100"/>
        <v>16.014925373134329</v>
      </c>
      <c r="AT60" s="550">
        <f t="shared" si="100"/>
        <v>-0.55789473684210522</v>
      </c>
      <c r="AU60" s="550">
        <f t="shared" si="100"/>
        <v>-0.20833333333333337</v>
      </c>
      <c r="AV60" s="550">
        <f>AV58/AU58-1</f>
        <v>0.65413533834586457</v>
      </c>
      <c r="AW60" s="550">
        <f>AW58/AV58-1</f>
        <v>0.87089636254985781</v>
      </c>
      <c r="AX60" s="550">
        <f>AX58/AW58-1</f>
        <v>-0.50542635176544937</v>
      </c>
      <c r="AY60" s="550">
        <f t="shared" ref="AY60:BF60" si="101">AY58/AX58-1</f>
        <v>-0.21866048998551557</v>
      </c>
      <c r="AZ60" s="550">
        <f t="shared" si="101"/>
        <v>0.42444804334902941</v>
      </c>
      <c r="BA60" s="550">
        <f t="shared" si="101"/>
        <v>0.88669005677595947</v>
      </c>
      <c r="BB60" s="550">
        <f t="shared" si="101"/>
        <v>-0.56272010200022526</v>
      </c>
      <c r="BC60" s="550">
        <f t="shared" si="101"/>
        <v>-0.11434505035740583</v>
      </c>
      <c r="BD60" s="550">
        <f t="shared" si="101"/>
        <v>0.4345200634664228</v>
      </c>
      <c r="BE60" s="550">
        <f t="shared" si="101"/>
        <v>0.90290687751892862</v>
      </c>
      <c r="BF60" s="550">
        <f t="shared" si="101"/>
        <v>-0.54830949797267503</v>
      </c>
      <c r="BG60" s="550">
        <f t="shared" ref="BG60:BN60" si="102">BG58/BF58-1</f>
        <v>-0.12405604774546297</v>
      </c>
      <c r="BH60" s="550">
        <f t="shared" si="102"/>
        <v>0.61392646228811798</v>
      </c>
      <c r="BI60" s="550">
        <f t="shared" si="102"/>
        <v>0.69106802993208527</v>
      </c>
      <c r="BJ60" s="550">
        <f t="shared" si="102"/>
        <v>-0.54359836780086224</v>
      </c>
      <c r="BK60" s="550">
        <f t="shared" si="102"/>
        <v>-0.12345836348677408</v>
      </c>
      <c r="BL60" s="550">
        <f t="shared" si="102"/>
        <v>0.38275839263045852</v>
      </c>
      <c r="BM60" s="550">
        <f t="shared" si="102"/>
        <v>0.86872754112949369</v>
      </c>
      <c r="BN60" s="550">
        <f t="shared" si="102"/>
        <v>-0.52553863849862348</v>
      </c>
      <c r="BO60" s="550"/>
      <c r="BP60" s="551" t="s">
        <v>17</v>
      </c>
      <c r="BQ60" s="551" t="s">
        <v>17</v>
      </c>
      <c r="BR60" s="551" t="s">
        <v>17</v>
      </c>
      <c r="BS60" s="551" t="s">
        <v>17</v>
      </c>
      <c r="BT60" s="551" t="s">
        <v>17</v>
      </c>
      <c r="BU60" s="551" t="s">
        <v>17</v>
      </c>
      <c r="BV60" s="551" t="s">
        <v>17</v>
      </c>
      <c r="BW60" s="551" t="s">
        <v>17</v>
      </c>
      <c r="BX60" s="551" t="s">
        <v>17</v>
      </c>
      <c r="BY60" s="551" t="s">
        <v>17</v>
      </c>
      <c r="BZ60" s="551" t="s">
        <v>17</v>
      </c>
      <c r="CA60" s="551" t="s">
        <v>17</v>
      </c>
      <c r="CB60" s="551" t="s">
        <v>17</v>
      </c>
      <c r="CC60" s="551" t="s">
        <v>17</v>
      </c>
      <c r="CD60" s="551" t="s">
        <v>17</v>
      </c>
      <c r="CE60" s="551" t="s">
        <v>17</v>
      </c>
      <c r="CF60" s="551" t="s">
        <v>17</v>
      </c>
    </row>
    <row r="61" spans="1:84" ht="12.75" customHeight="1">
      <c r="A61" s="586" t="s">
        <v>1</v>
      </c>
      <c r="B61" s="550" t="s">
        <v>17</v>
      </c>
      <c r="C61" s="550" t="s">
        <v>17</v>
      </c>
      <c r="D61" s="550" t="s">
        <v>17</v>
      </c>
      <c r="E61" s="550" t="s">
        <v>17</v>
      </c>
      <c r="F61" s="550">
        <f t="shared" ref="F61:AU61" si="103">F58/B58-1</f>
        <v>0.8214285714285714</v>
      </c>
      <c r="G61" s="550">
        <f t="shared" si="103"/>
        <v>1.1475409836065573</v>
      </c>
      <c r="H61" s="550">
        <f t="shared" si="103"/>
        <v>-0.10588235294117643</v>
      </c>
      <c r="I61" s="550">
        <f t="shared" si="103"/>
        <v>0.65506329113924044</v>
      </c>
      <c r="J61" s="550">
        <f t="shared" si="103"/>
        <v>-5.2287581699346442E-2</v>
      </c>
      <c r="K61" s="550">
        <f t="shared" si="103"/>
        <v>-4.5801526717557217E-2</v>
      </c>
      <c r="L61" s="550">
        <f t="shared" si="103"/>
        <v>0.63157894736842102</v>
      </c>
      <c r="M61" s="550">
        <f t="shared" si="103"/>
        <v>-0.40152963671128106</v>
      </c>
      <c r="N61" s="550">
        <f t="shared" si="103"/>
        <v>1.2000000000000002</v>
      </c>
      <c r="O61" s="550">
        <f t="shared" si="103"/>
        <v>-0.16000000000000003</v>
      </c>
      <c r="P61" s="550">
        <f t="shared" si="103"/>
        <v>0.60483870967741926</v>
      </c>
      <c r="Q61" s="550">
        <f t="shared" si="103"/>
        <v>0.8817891373801916</v>
      </c>
      <c r="R61" s="550">
        <f t="shared" si="103"/>
        <v>-0.18181818181818177</v>
      </c>
      <c r="S61" s="550">
        <f t="shared" si="103"/>
        <v>-2.3428571428571425</v>
      </c>
      <c r="T61" s="550">
        <f t="shared" si="103"/>
        <v>0.83417085427135684</v>
      </c>
      <c r="U61" s="550">
        <f t="shared" si="103"/>
        <v>-2.8862478777589184E-2</v>
      </c>
      <c r="V61" s="550">
        <f t="shared" si="103"/>
        <v>-0.16475095785440608</v>
      </c>
      <c r="W61" s="550">
        <f t="shared" si="103"/>
        <v>-0.22695035460992907</v>
      </c>
      <c r="X61" s="550">
        <f t="shared" si="103"/>
        <v>-0.12328767123287676</v>
      </c>
      <c r="Y61" s="550">
        <f t="shared" si="103"/>
        <v>0.41258741258741249</v>
      </c>
      <c r="Z61" s="550">
        <f t="shared" si="103"/>
        <v>0.19266055045871555</v>
      </c>
      <c r="AA61" s="550">
        <f t="shared" si="103"/>
        <v>-0.26605504587155959</v>
      </c>
      <c r="AB61" s="550">
        <f t="shared" si="103"/>
        <v>-0.19687500000000002</v>
      </c>
      <c r="AC61" s="550">
        <f t="shared" si="103"/>
        <v>0.27970297029702973</v>
      </c>
      <c r="AD61" s="550">
        <f t="shared" si="103"/>
        <v>0.41153846153846163</v>
      </c>
      <c r="AE61" s="550">
        <f t="shared" si="103"/>
        <v>0.86250000000000004</v>
      </c>
      <c r="AF61" s="550">
        <f t="shared" si="103"/>
        <v>7.0038910505836549E-2</v>
      </c>
      <c r="AG61" s="550">
        <f t="shared" si="103"/>
        <v>-0.14119922630560933</v>
      </c>
      <c r="AH61" s="550">
        <f t="shared" si="103"/>
        <v>0.4718263004401595</v>
      </c>
      <c r="AI61" s="550">
        <f t="shared" si="103"/>
        <v>-0.48993288590604023</v>
      </c>
      <c r="AJ61" s="550">
        <f t="shared" si="103"/>
        <v>0.26909090909090905</v>
      </c>
      <c r="AK61" s="550">
        <f t="shared" si="103"/>
        <v>-0.18130630630630629</v>
      </c>
      <c r="AL61" s="550">
        <f t="shared" si="103"/>
        <v>-8.1753983334850622E-2</v>
      </c>
      <c r="AM61" s="550">
        <f t="shared" si="103"/>
        <v>0.90789473684210531</v>
      </c>
      <c r="AN61" s="550">
        <f t="shared" si="103"/>
        <v>0.16332378223495692</v>
      </c>
      <c r="AO61" s="550">
        <f t="shared" si="103"/>
        <v>0.33975240715268229</v>
      </c>
      <c r="AP61" s="550">
        <f t="shared" si="103"/>
        <v>-8.8709677419354871E-2</v>
      </c>
      <c r="AQ61" s="550">
        <f t="shared" si="103"/>
        <v>2.7655172413793103</v>
      </c>
      <c r="AR61" s="550">
        <f t="shared" si="103"/>
        <v>-0.83497536945812811</v>
      </c>
      <c r="AS61" s="550">
        <f t="shared" si="103"/>
        <v>0.17043121149897322</v>
      </c>
      <c r="AT61" s="550">
        <f t="shared" si="103"/>
        <v>0.11504424778761058</v>
      </c>
      <c r="AU61" s="550">
        <f t="shared" si="103"/>
        <v>-0.26923076923076927</v>
      </c>
      <c r="AV61" s="550">
        <f>AV58/AR58-1</f>
        <v>8.8507462686567155</v>
      </c>
      <c r="AW61" s="550">
        <f>AW58/AS58-1</f>
        <v>8.3150525686759735E-2</v>
      </c>
      <c r="AX61" s="550">
        <f>AX58/AT58-1</f>
        <v>0.21169719457682978</v>
      </c>
      <c r="AY61" s="550">
        <f t="shared" ref="AY61:BF61" si="104">AY58/AU58-1</f>
        <v>0.19589081132200281</v>
      </c>
      <c r="AZ61" s="550">
        <f t="shared" si="104"/>
        <v>2.9833706321874764E-2</v>
      </c>
      <c r="BA61" s="550">
        <f t="shared" si="104"/>
        <v>3.8527335208518698E-2</v>
      </c>
      <c r="BB61" s="550">
        <f t="shared" si="104"/>
        <v>-8.1780582465262874E-2</v>
      </c>
      <c r="BC61" s="550">
        <f t="shared" si="104"/>
        <v>4.0809483680793512E-2</v>
      </c>
      <c r="BD61" s="550">
        <f t="shared" si="104"/>
        <v>4.8168863411738316E-2</v>
      </c>
      <c r="BE61" s="550">
        <f t="shared" si="104"/>
        <v>5.7178274631807469E-2</v>
      </c>
      <c r="BF61" s="550">
        <f t="shared" si="104"/>
        <v>9.2017693438696035E-2</v>
      </c>
      <c r="BG61" s="550">
        <f t="shared" ref="BG61:BN61" si="105">BG58/BC58-1</f>
        <v>8.0043977294530722E-2</v>
      </c>
      <c r="BH61" s="550">
        <f t="shared" si="105"/>
        <v>0.21511828226259655</v>
      </c>
      <c r="BI61" s="550">
        <f t="shared" si="105"/>
        <v>7.9846682986108641E-2</v>
      </c>
      <c r="BJ61" s="550">
        <f t="shared" si="105"/>
        <v>9.1109479671702909E-2</v>
      </c>
      <c r="BK61" s="550">
        <f t="shared" si="105"/>
        <v>9.1853978173950024E-2</v>
      </c>
      <c r="BL61" s="550">
        <f t="shared" si="105"/>
        <v>-6.4535908466033409E-2</v>
      </c>
      <c r="BM61" s="550">
        <f t="shared" si="105"/>
        <v>3.3741683152398894E-2</v>
      </c>
      <c r="BN61" s="550">
        <f t="shared" si="105"/>
        <v>7.4646652918211043E-2</v>
      </c>
      <c r="BO61" s="550"/>
      <c r="BP61" s="551" t="s">
        <v>17</v>
      </c>
      <c r="BQ61" s="551">
        <f t="shared" ref="BQ61:CF61" si="106">BQ58/BP58-1</f>
        <v>-6.6022727272727275</v>
      </c>
      <c r="BR61" s="551">
        <f t="shared" si="106"/>
        <v>0.24340770791075061</v>
      </c>
      <c r="BS61" s="551">
        <f t="shared" si="106"/>
        <v>2.9363784665579207E-2</v>
      </c>
      <c r="BT61" s="551">
        <f t="shared" si="106"/>
        <v>0.49603803486529308</v>
      </c>
      <c r="BU61" s="551">
        <f t="shared" si="106"/>
        <v>0.37288135593220328</v>
      </c>
      <c r="BV61" s="551">
        <f t="shared" si="106"/>
        <v>0.15509259259259256</v>
      </c>
      <c r="BW61" s="551">
        <f t="shared" si="106"/>
        <v>0.16098864395457579</v>
      </c>
      <c r="BX61" s="551">
        <f t="shared" si="106"/>
        <v>6.568484019651244E-2</v>
      </c>
      <c r="BY61" s="551">
        <f t="shared" si="106"/>
        <v>-0.11022817923678752</v>
      </c>
      <c r="BZ61" s="551">
        <f t="shared" si="106"/>
        <v>0.19963592233009719</v>
      </c>
      <c r="CA61" s="551">
        <f t="shared" si="106"/>
        <v>0.14162873039959534</v>
      </c>
      <c r="CB61" s="551">
        <f t="shared" si="106"/>
        <v>0.28687947955233839</v>
      </c>
      <c r="CC61" s="551">
        <f t="shared" si="106"/>
        <v>3.2873580032679373E-2</v>
      </c>
      <c r="CD61" s="551">
        <f t="shared" si="106"/>
        <v>5.9045673983226576E-2</v>
      </c>
      <c r="CE61" s="551">
        <f t="shared" si="106"/>
        <v>0.11238146061931009</v>
      </c>
      <c r="CF61" s="551">
        <f t="shared" si="106"/>
        <v>2.6221721436778811E-2</v>
      </c>
    </row>
    <row r="62" spans="1:84" ht="12.75" customHeight="1">
      <c r="A62" s="566"/>
      <c r="B62" s="326"/>
      <c r="C62" s="326"/>
      <c r="D62" s="326"/>
      <c r="E62" s="326"/>
      <c r="F62" s="326"/>
      <c r="G62" s="326"/>
      <c r="H62" s="326"/>
      <c r="I62" s="326"/>
      <c r="J62" s="326"/>
      <c r="K62" s="326"/>
      <c r="L62" s="326"/>
      <c r="M62" s="326"/>
      <c r="N62" s="326"/>
      <c r="O62" s="326"/>
      <c r="P62" s="326"/>
      <c r="Q62" s="326"/>
      <c r="R62" s="326"/>
      <c r="S62" s="326"/>
      <c r="T62" s="326"/>
      <c r="U62" s="326"/>
      <c r="V62" s="326"/>
      <c r="W62" s="326"/>
      <c r="X62" s="326"/>
      <c r="Y62" s="326"/>
      <c r="Z62" s="326"/>
      <c r="AA62" s="326"/>
      <c r="AB62" s="326"/>
      <c r="AC62" s="326"/>
      <c r="AD62" s="326"/>
      <c r="AE62" s="326"/>
      <c r="AF62" s="326"/>
      <c r="AG62" s="326"/>
      <c r="AH62" s="326"/>
      <c r="AI62" s="326"/>
      <c r="AJ62" s="326"/>
      <c r="AK62" s="326"/>
      <c r="AL62" s="326"/>
      <c r="AM62" s="326"/>
      <c r="AN62" s="326"/>
      <c r="AO62" s="326"/>
      <c r="AP62" s="326"/>
      <c r="AQ62" s="326"/>
      <c r="AR62" s="326"/>
      <c r="AS62" s="326"/>
      <c r="AT62" s="326"/>
      <c r="AU62" s="326"/>
      <c r="AV62" s="326"/>
      <c r="AW62" s="326"/>
      <c r="AX62" s="326"/>
      <c r="AY62" s="326"/>
      <c r="AZ62" s="326"/>
      <c r="BA62" s="326"/>
      <c r="BB62" s="326"/>
      <c r="BC62" s="326"/>
      <c r="BD62" s="326"/>
      <c r="BE62" s="326"/>
      <c r="BF62" s="326"/>
      <c r="BG62" s="326"/>
      <c r="BH62" s="326"/>
      <c r="BI62" s="326"/>
      <c r="BJ62" s="326"/>
      <c r="BK62" s="326"/>
      <c r="BL62" s="326"/>
      <c r="BM62" s="326"/>
      <c r="BN62" s="326"/>
      <c r="BO62" s="326"/>
      <c r="BP62" s="341"/>
      <c r="BQ62" s="341"/>
      <c r="BR62" s="341"/>
      <c r="BS62" s="341"/>
      <c r="BT62" s="341"/>
      <c r="BU62" s="341"/>
      <c r="BV62" s="341"/>
      <c r="BW62" s="341"/>
      <c r="BX62" s="341"/>
      <c r="BY62" s="341"/>
      <c r="BZ62" s="341"/>
      <c r="CA62" s="341"/>
      <c r="CB62" s="341"/>
      <c r="CC62" s="341"/>
      <c r="CD62" s="341"/>
      <c r="CE62" s="341"/>
      <c r="CF62" s="341"/>
    </row>
    <row r="63" spans="1:84" s="369" customFormat="1" ht="12.75" customHeight="1" outlineLevel="1">
      <c r="A63" s="557" t="s">
        <v>2</v>
      </c>
      <c r="B63" s="583">
        <f>Drivers!B195</f>
        <v>83</v>
      </c>
      <c r="C63" s="583">
        <f>Drivers!C195</f>
        <v>98</v>
      </c>
      <c r="D63" s="583">
        <f>Drivers!D195</f>
        <v>-252</v>
      </c>
      <c r="E63" s="583">
        <f>Drivers!E195</f>
        <v>-303</v>
      </c>
      <c r="F63" s="583">
        <f>Drivers!F195</f>
        <v>145</v>
      </c>
      <c r="G63" s="583">
        <f>Drivers!G195</f>
        <v>227</v>
      </c>
      <c r="H63" s="583">
        <f>Drivers!H195</f>
        <v>-374</v>
      </c>
      <c r="I63" s="583">
        <f>Drivers!I195</f>
        <v>-183</v>
      </c>
      <c r="J63" s="583">
        <f>Drivers!J195</f>
        <v>365</v>
      </c>
      <c r="K63" s="583">
        <f>Drivers!K195</f>
        <v>215</v>
      </c>
      <c r="L63" s="583">
        <f>Drivers!L195</f>
        <v>-364</v>
      </c>
      <c r="M63" s="583">
        <f>Drivers!M195</f>
        <v>-39</v>
      </c>
      <c r="N63" s="583">
        <f>Drivers!N195</f>
        <v>309</v>
      </c>
      <c r="O63" s="583">
        <f>Drivers!O195</f>
        <v>233</v>
      </c>
      <c r="P63" s="583">
        <f>Drivers!P195</f>
        <v>-252</v>
      </c>
      <c r="Q63" s="583">
        <f>Drivers!Q195</f>
        <v>-292</v>
      </c>
      <c r="R63" s="583">
        <f>Drivers!R195</f>
        <v>344</v>
      </c>
      <c r="S63" s="583">
        <f>Drivers!S195</f>
        <v>362</v>
      </c>
      <c r="T63" s="583">
        <f>Drivers!T195</f>
        <v>24</v>
      </c>
      <c r="U63" s="583">
        <f>Drivers!U195</f>
        <v>162</v>
      </c>
      <c r="V63" s="583">
        <f>Drivers!V195</f>
        <v>400</v>
      </c>
      <c r="W63" s="583">
        <f>Drivers!W195</f>
        <v>512</v>
      </c>
      <c r="X63" s="583">
        <f>Drivers!X195</f>
        <v>-119</v>
      </c>
      <c r="Y63" s="583">
        <f>Drivers!Y195</f>
        <v>-31</v>
      </c>
      <c r="Z63" s="583">
        <f>Drivers!Z195</f>
        <v>536</v>
      </c>
      <c r="AA63" s="583">
        <f>Drivers!AA195</f>
        <v>560</v>
      </c>
      <c r="AB63" s="583">
        <f>Drivers!AB195</f>
        <v>-49</v>
      </c>
      <c r="AC63" s="583">
        <f>Drivers!AC195</f>
        <v>-4</v>
      </c>
      <c r="AD63" s="583">
        <f>Drivers!AD195</f>
        <v>717</v>
      </c>
      <c r="AE63" s="583">
        <f>Drivers!AE195</f>
        <v>743</v>
      </c>
      <c r="AF63" s="583">
        <f>Drivers!AF195</f>
        <v>-41</v>
      </c>
      <c r="AG63" s="583">
        <f>Drivers!AG195</f>
        <v>-21</v>
      </c>
      <c r="AH63" s="583">
        <f>Drivers!AH195</f>
        <v>753</v>
      </c>
      <c r="AI63" s="583">
        <f>Drivers!AI195</f>
        <v>300</v>
      </c>
      <c r="AJ63" s="583">
        <f>Drivers!AJ195</f>
        <v>258</v>
      </c>
      <c r="AK63" s="583">
        <f>Drivers!AK195</f>
        <v>242</v>
      </c>
      <c r="AL63" s="583">
        <f>Drivers!AL195</f>
        <v>196</v>
      </c>
      <c r="AM63" s="583">
        <f>Drivers!AM195</f>
        <v>415</v>
      </c>
      <c r="AN63" s="583">
        <f>Drivers!AN195</f>
        <v>268</v>
      </c>
      <c r="AO63" s="583">
        <f>Drivers!AO195</f>
        <v>361</v>
      </c>
      <c r="AP63" s="583">
        <f>Drivers!AP195</f>
        <v>401</v>
      </c>
      <c r="AQ63" s="583">
        <f>Drivers!AQ195</f>
        <v>471</v>
      </c>
      <c r="AR63" s="583">
        <f>Drivers!AR195</f>
        <v>149</v>
      </c>
      <c r="AS63" s="583">
        <f>Drivers!AS195</f>
        <v>251</v>
      </c>
      <c r="AT63" s="583">
        <f>Drivers!AT195</f>
        <v>175</v>
      </c>
      <c r="AU63" s="583">
        <f>Drivers!AU195</f>
        <v>322</v>
      </c>
      <c r="AV63" s="583">
        <f>Drivers!AV195</f>
        <v>340</v>
      </c>
      <c r="AW63" s="583">
        <f>Drivers!AW195</f>
        <v>21.400689185230704</v>
      </c>
      <c r="AX63" s="583">
        <f>Drivers!AX195</f>
        <v>293.60734726343935</v>
      </c>
      <c r="AY63" s="583">
        <f>Drivers!AY195</f>
        <v>743.04945814617508</v>
      </c>
      <c r="AZ63" s="583">
        <f>Drivers!AZ195</f>
        <v>538.58534000312557</v>
      </c>
      <c r="BA63" s="583">
        <f>Drivers!BA195</f>
        <v>57.053811504131318</v>
      </c>
      <c r="BB63" s="583">
        <f>Drivers!BB195</f>
        <v>453.29052078157679</v>
      </c>
      <c r="BC63" s="583">
        <f>Drivers!BC195</f>
        <v>838.62013116341052</v>
      </c>
      <c r="BD63" s="583">
        <f>Drivers!BD195</f>
        <v>593.37709638362116</v>
      </c>
      <c r="BE63" s="583">
        <f>Drivers!BE195</f>
        <v>172.73839979410354</v>
      </c>
      <c r="BF63" s="583">
        <f>Drivers!BF195</f>
        <v>508.91494587064449</v>
      </c>
      <c r="BG63" s="583">
        <f>Drivers!BG195</f>
        <v>889.15038766159614</v>
      </c>
      <c r="BH63" s="583">
        <f>Drivers!BH195</f>
        <v>582.06732970097482</v>
      </c>
      <c r="BI63" s="583">
        <f>Drivers!BI195</f>
        <v>271.12693182455519</v>
      </c>
      <c r="BJ63" s="583">
        <f>Drivers!BJ195</f>
        <v>612.83753514318664</v>
      </c>
      <c r="BK63" s="583">
        <f>Drivers!BK195</f>
        <v>989.28814482943335</v>
      </c>
      <c r="BL63" s="583">
        <f>Drivers!BL195</f>
        <v>701.32591255886769</v>
      </c>
      <c r="BM63" s="583">
        <f>Drivers!BM195</f>
        <v>276.59062517737925</v>
      </c>
      <c r="BN63" s="583">
        <f>Drivers!BN195</f>
        <v>631.72198213431579</v>
      </c>
      <c r="BO63" s="583"/>
      <c r="BP63" s="358">
        <f>Drivers!BP195</f>
        <v>-686</v>
      </c>
      <c r="BQ63" s="358">
        <f>Drivers!BQ195</f>
        <v>-312</v>
      </c>
      <c r="BR63" s="358">
        <f>Drivers!BR195</f>
        <v>35</v>
      </c>
      <c r="BS63" s="358">
        <f>Drivers!BS195</f>
        <v>121</v>
      </c>
      <c r="BT63" s="358">
        <f>Drivers!BT195</f>
        <v>33</v>
      </c>
      <c r="BU63" s="358">
        <f>Drivers!BU195</f>
        <v>948</v>
      </c>
      <c r="BV63" s="358">
        <f>Drivers!BV195</f>
        <v>898</v>
      </c>
      <c r="BW63" s="358">
        <f>Drivers!BW195</f>
        <v>1224</v>
      </c>
      <c r="BX63" s="358">
        <f>Drivers!BX195</f>
        <v>1434</v>
      </c>
      <c r="BY63" s="358">
        <f>Drivers!BY195</f>
        <v>996</v>
      </c>
      <c r="BZ63" s="358">
        <f>Drivers!BZ195</f>
        <v>1445</v>
      </c>
      <c r="CA63" s="358">
        <f>Drivers!CA195</f>
        <v>1046</v>
      </c>
      <c r="CB63" s="358">
        <f>Drivers!CB195</f>
        <v>977.00803644867028</v>
      </c>
      <c r="CC63" s="358">
        <f>Drivers!CC195</f>
        <v>1791.9791304350074</v>
      </c>
      <c r="CD63" s="358">
        <f>Drivers!CD195</f>
        <v>2113.6505732117803</v>
      </c>
      <c r="CE63" s="358">
        <f>Drivers!CE195</f>
        <v>2355.1821843303132</v>
      </c>
      <c r="CF63" s="358">
        <f>Drivers!CF195</f>
        <v>2598.9266646999959</v>
      </c>
    </row>
    <row r="64" spans="1:84" ht="12.75" customHeight="1" outlineLevel="1">
      <c r="A64" s="566"/>
      <c r="B64" s="584"/>
      <c r="C64" s="584"/>
      <c r="D64" s="584"/>
      <c r="E64" s="584"/>
      <c r="F64" s="584"/>
      <c r="G64" s="584"/>
      <c r="H64" s="584"/>
      <c r="I64" s="584"/>
      <c r="J64" s="584"/>
      <c r="K64" s="584"/>
      <c r="L64" s="584"/>
      <c r="M64" s="584"/>
      <c r="N64" s="584"/>
      <c r="O64" s="584"/>
      <c r="P64" s="584"/>
      <c r="Q64" s="584"/>
      <c r="R64" s="584"/>
      <c r="S64" s="584"/>
      <c r="T64" s="584"/>
      <c r="U64" s="584"/>
      <c r="V64" s="584"/>
      <c r="W64" s="584"/>
      <c r="X64" s="584"/>
      <c r="Y64" s="584"/>
      <c r="Z64" s="584"/>
      <c r="AA64" s="584"/>
      <c r="AB64" s="584"/>
      <c r="AC64" s="584"/>
      <c r="AD64" s="584"/>
      <c r="AE64" s="584"/>
      <c r="AF64" s="584"/>
      <c r="AG64" s="584"/>
      <c r="AH64" s="584"/>
      <c r="AI64" s="584"/>
      <c r="AJ64" s="584"/>
      <c r="AK64" s="584"/>
      <c r="AL64" s="584"/>
      <c r="AM64" s="584"/>
      <c r="AN64" s="584"/>
      <c r="AO64" s="584"/>
      <c r="AP64" s="584"/>
      <c r="AQ64" s="584"/>
      <c r="AR64" s="584"/>
      <c r="AS64" s="584"/>
      <c r="AT64" s="584"/>
      <c r="AU64" s="584"/>
      <c r="AV64" s="584"/>
      <c r="AW64" s="584"/>
      <c r="AX64" s="584"/>
      <c r="AY64" s="584"/>
      <c r="AZ64" s="584"/>
      <c r="BA64" s="584"/>
      <c r="BB64" s="584"/>
      <c r="BC64" s="584"/>
      <c r="BD64" s="584"/>
      <c r="BE64" s="584"/>
      <c r="BF64" s="584"/>
      <c r="BG64" s="584"/>
      <c r="BH64" s="584"/>
      <c r="BI64" s="584"/>
      <c r="BJ64" s="584"/>
      <c r="BK64" s="584"/>
      <c r="BL64" s="584"/>
      <c r="BM64" s="584"/>
      <c r="BN64" s="584"/>
      <c r="BO64" s="584"/>
      <c r="BP64" s="585"/>
      <c r="BQ64" s="585"/>
      <c r="BR64" s="585"/>
      <c r="BS64" s="585"/>
      <c r="BT64" s="585"/>
      <c r="BU64" s="585"/>
      <c r="BV64" s="585"/>
      <c r="BW64" s="585"/>
      <c r="BX64" s="585"/>
      <c r="BY64" s="585"/>
      <c r="BZ64" s="585"/>
      <c r="CA64" s="585"/>
      <c r="CB64" s="585"/>
      <c r="CC64" s="585"/>
      <c r="CD64" s="585"/>
      <c r="CE64" s="585"/>
      <c r="CF64" s="585"/>
    </row>
    <row r="65" spans="1:84" s="565" customFormat="1" ht="12.75" customHeight="1">
      <c r="A65" s="562" t="s">
        <v>195</v>
      </c>
      <c r="B65" s="587">
        <f>B63+B54</f>
        <v>133</v>
      </c>
      <c r="C65" s="587">
        <f t="shared" ref="C65:CB65" si="107">C63+C54</f>
        <v>146</v>
      </c>
      <c r="D65" s="587">
        <f t="shared" si="107"/>
        <v>-206</v>
      </c>
      <c r="E65" s="587">
        <f t="shared" si="107"/>
        <v>-259</v>
      </c>
      <c r="F65" s="587">
        <f t="shared" si="107"/>
        <v>187</v>
      </c>
      <c r="G65" s="587">
        <f t="shared" si="107"/>
        <v>270</v>
      </c>
      <c r="H65" s="587">
        <f t="shared" si="107"/>
        <v>-323</v>
      </c>
      <c r="I65" s="587">
        <f t="shared" si="107"/>
        <v>-129</v>
      </c>
      <c r="J65" s="587">
        <f t="shared" si="107"/>
        <v>433</v>
      </c>
      <c r="K65" s="587">
        <f t="shared" si="107"/>
        <v>271</v>
      </c>
      <c r="L65" s="587">
        <f t="shared" si="107"/>
        <v>-308</v>
      </c>
      <c r="M65" s="587">
        <f t="shared" si="107"/>
        <v>27</v>
      </c>
      <c r="N65" s="587">
        <f t="shared" si="107"/>
        <v>395</v>
      </c>
      <c r="O65" s="587">
        <f t="shared" si="107"/>
        <v>289</v>
      </c>
      <c r="P65" s="587">
        <f t="shared" si="107"/>
        <v>-196</v>
      </c>
      <c r="Q65" s="587">
        <f t="shared" si="107"/>
        <v>-234</v>
      </c>
      <c r="R65" s="587">
        <f t="shared" si="107"/>
        <v>401</v>
      </c>
      <c r="S65" s="587">
        <f t="shared" si="107"/>
        <v>418</v>
      </c>
      <c r="T65" s="587">
        <f t="shared" si="107"/>
        <v>80</v>
      </c>
      <c r="U65" s="587">
        <f t="shared" si="107"/>
        <v>215</v>
      </c>
      <c r="V65" s="587">
        <f t="shared" si="107"/>
        <v>455</v>
      </c>
      <c r="W65" s="587">
        <f t="shared" si="107"/>
        <v>561</v>
      </c>
      <c r="X65" s="587">
        <f t="shared" si="107"/>
        <v>-69</v>
      </c>
      <c r="Y65" s="587">
        <f t="shared" si="107"/>
        <v>19</v>
      </c>
      <c r="Z65" s="587">
        <f t="shared" si="107"/>
        <v>584</v>
      </c>
      <c r="AA65" s="587">
        <f t="shared" si="107"/>
        <v>606</v>
      </c>
      <c r="AB65" s="587">
        <f t="shared" si="107"/>
        <v>-4</v>
      </c>
      <c r="AC65" s="587">
        <f t="shared" si="107"/>
        <v>45</v>
      </c>
      <c r="AD65" s="587">
        <f t="shared" si="107"/>
        <v>749</v>
      </c>
      <c r="AE65" s="587">
        <f t="shared" ref="AE65:AJ65" si="108">AE63+AE54</f>
        <v>774</v>
      </c>
      <c r="AF65" s="587">
        <f t="shared" si="108"/>
        <v>-9</v>
      </c>
      <c r="AG65" s="587">
        <f t="shared" si="108"/>
        <v>13</v>
      </c>
      <c r="AH65" s="587">
        <f t="shared" si="108"/>
        <v>792</v>
      </c>
      <c r="AI65" s="587">
        <f t="shared" si="108"/>
        <v>338</v>
      </c>
      <c r="AJ65" s="587">
        <f t="shared" si="108"/>
        <v>294</v>
      </c>
      <c r="AK65" s="587">
        <f t="shared" ref="AK65:AP65" si="109">AK63+AK54</f>
        <v>276</v>
      </c>
      <c r="AL65" s="587">
        <f t="shared" si="109"/>
        <v>233</v>
      </c>
      <c r="AM65" s="587">
        <f t="shared" si="109"/>
        <v>452</v>
      </c>
      <c r="AN65" s="587">
        <f t="shared" si="109"/>
        <v>303</v>
      </c>
      <c r="AO65" s="587">
        <f t="shared" si="109"/>
        <v>400</v>
      </c>
      <c r="AP65" s="587">
        <f t="shared" si="109"/>
        <v>440</v>
      </c>
      <c r="AQ65" s="587">
        <f>AQ63+AQ54</f>
        <v>508</v>
      </c>
      <c r="AR65" s="587">
        <f>AR63+AR54</f>
        <v>189</v>
      </c>
      <c r="AS65" s="587">
        <f>AS63+AS54</f>
        <v>297</v>
      </c>
      <c r="AT65" s="587">
        <f>AT63+AT54</f>
        <v>233</v>
      </c>
      <c r="AU65" s="587">
        <f>AU63+AU54</f>
        <v>427</v>
      </c>
      <c r="AV65" s="587">
        <f t="shared" si="107"/>
        <v>434</v>
      </c>
      <c r="AW65" s="587">
        <f t="shared" si="107"/>
        <v>121.79719471813692</v>
      </c>
      <c r="AX65" s="587">
        <f t="shared" si="107"/>
        <v>391.3559048066715</v>
      </c>
      <c r="AY65" s="587">
        <f t="shared" ref="AY65:BF65" si="110">AY63+AY54</f>
        <v>842.60293787605656</v>
      </c>
      <c r="AZ65" s="587">
        <f t="shared" si="110"/>
        <v>634.58095138427529</v>
      </c>
      <c r="BA65" s="587">
        <f t="shared" si="110"/>
        <v>150.01289100777288</v>
      </c>
      <c r="BB65" s="587">
        <f t="shared" si="110"/>
        <v>543.03579334188032</v>
      </c>
      <c r="BC65" s="587">
        <f t="shared" si="110"/>
        <v>925.24310156234196</v>
      </c>
      <c r="BD65" s="587">
        <f t="shared" si="110"/>
        <v>677.81058252246362</v>
      </c>
      <c r="BE65" s="587">
        <f t="shared" si="110"/>
        <v>255.40033297697303</v>
      </c>
      <c r="BF65" s="587">
        <f t="shared" si="110"/>
        <v>589.54604207459033</v>
      </c>
      <c r="BG65" s="587">
        <f t="shared" ref="BG65:BN65" si="111">BG63+BG54</f>
        <v>967.70048000792156</v>
      </c>
      <c r="BH65" s="587">
        <f t="shared" si="111"/>
        <v>659.34206318250949</v>
      </c>
      <c r="BI65" s="587">
        <f t="shared" si="111"/>
        <v>348.09271804031016</v>
      </c>
      <c r="BJ65" s="587">
        <f t="shared" si="111"/>
        <v>688.82658702412505</v>
      </c>
      <c r="BK65" s="587">
        <f t="shared" si="111"/>
        <v>1063.988369251467</v>
      </c>
      <c r="BL65" s="587">
        <f t="shared" si="111"/>
        <v>775.38477063945493</v>
      </c>
      <c r="BM65" s="587">
        <f t="shared" si="111"/>
        <v>350.2530589790274</v>
      </c>
      <c r="BN65" s="587">
        <f t="shared" si="111"/>
        <v>704.69366340761565</v>
      </c>
      <c r="BO65" s="587"/>
      <c r="BP65" s="573">
        <f>BP63+BP54</f>
        <v>-494</v>
      </c>
      <c r="BQ65" s="573">
        <f t="shared" ref="BQ65:BX65" si="112">BQ63+BQ54</f>
        <v>-132</v>
      </c>
      <c r="BR65" s="573">
        <f t="shared" si="112"/>
        <v>251</v>
      </c>
      <c r="BS65" s="573">
        <f t="shared" si="112"/>
        <v>385</v>
      </c>
      <c r="BT65" s="573">
        <f t="shared" si="112"/>
        <v>260</v>
      </c>
      <c r="BU65" s="573">
        <f t="shared" si="112"/>
        <v>1168</v>
      </c>
      <c r="BV65" s="573">
        <f t="shared" si="112"/>
        <v>1095</v>
      </c>
      <c r="BW65" s="573">
        <f t="shared" si="112"/>
        <v>1396</v>
      </c>
      <c r="BX65" s="573">
        <f t="shared" si="112"/>
        <v>1570</v>
      </c>
      <c r="BY65" s="573">
        <f>BY63+BY54</f>
        <v>1141</v>
      </c>
      <c r="BZ65" s="573">
        <f t="shared" si="107"/>
        <v>1595</v>
      </c>
      <c r="CA65" s="573">
        <f t="shared" si="107"/>
        <v>1227</v>
      </c>
      <c r="CB65" s="573">
        <f t="shared" si="107"/>
        <v>1374.1530995248086</v>
      </c>
      <c r="CC65" s="573">
        <f>CC63+CC54</f>
        <v>2170.2325736099838</v>
      </c>
      <c r="CD65" s="573">
        <f>CD63+CD54</f>
        <v>2448.0000591363696</v>
      </c>
      <c r="CE65" s="573">
        <f>CE63+CE54</f>
        <v>2663.9618482548667</v>
      </c>
      <c r="CF65" s="573">
        <f>CF63+CF54</f>
        <v>2894.3198622775649</v>
      </c>
    </row>
    <row r="66" spans="1:84" s="442" customFormat="1" ht="12.75" customHeight="1">
      <c r="A66" s="588" t="s">
        <v>199</v>
      </c>
      <c r="B66" s="548">
        <f>B65/Drivers!B$128</f>
        <v>0.13585291113381001</v>
      </c>
      <c r="C66" s="548">
        <f>C65/Drivers!C$128</f>
        <v>0.17914110429447852</v>
      </c>
      <c r="D66" s="548">
        <f>D65/Drivers!D$128</f>
        <v>-0.32646592709984151</v>
      </c>
      <c r="E66" s="548">
        <f>E65/Drivers!E$128</f>
        <v>-0.24596391263057929</v>
      </c>
      <c r="F66" s="548">
        <f>F65/Drivers!F$128</f>
        <v>0.17155963302752295</v>
      </c>
      <c r="G66" s="548">
        <f>G65/Drivers!G$128</f>
        <v>0.27027027027027029</v>
      </c>
      <c r="H66" s="548">
        <f>H65/Drivers!H$128</f>
        <v>-0.45174825174825173</v>
      </c>
      <c r="I66" s="548">
        <f>I65/Drivers!I$128</f>
        <v>-0.12158341187558906</v>
      </c>
      <c r="J66" s="548">
        <f>J65/Drivers!J$128</f>
        <v>0.31652046783625731</v>
      </c>
      <c r="K66" s="548">
        <f>K65/Drivers!K$128</f>
        <v>0.28376963350785339</v>
      </c>
      <c r="L66" s="548">
        <f>L65/Drivers!L$128</f>
        <v>-0.43319268635724334</v>
      </c>
      <c r="M66" s="548">
        <f>M65/Drivers!M$128</f>
        <v>2.9284164859002169E-2</v>
      </c>
      <c r="N66" s="548">
        <f>N65/Drivers!N$128</f>
        <v>0.32671629445822992</v>
      </c>
      <c r="O66" s="548">
        <f>O65/Drivers!O$128</f>
        <v>0.30453108535300316</v>
      </c>
      <c r="P66" s="548">
        <f>P65/Drivers!P$128</f>
        <v>-0.28201438848920862</v>
      </c>
      <c r="Q66" s="548">
        <f>Q65/Drivers!Q$128</f>
        <v>-0.28960396039603958</v>
      </c>
      <c r="R66" s="548">
        <f>R65/Drivers!R$128</f>
        <v>0.35707925200356189</v>
      </c>
      <c r="S66" s="548">
        <f>S65/Drivers!S$128</f>
        <v>0.3443163097199341</v>
      </c>
      <c r="T66" s="548">
        <f>T65/Drivers!T$128</f>
        <v>8.0808080808080815E-2</v>
      </c>
      <c r="U66" s="548">
        <f>U65/Drivers!U$128</f>
        <v>0.19094138543516873</v>
      </c>
      <c r="V66" s="548">
        <f>V65/Drivers!V$128</f>
        <v>0.38396624472573837</v>
      </c>
      <c r="W66" s="548">
        <f>W65/Drivers!W$128</f>
        <v>0.46633416458852867</v>
      </c>
      <c r="X66" s="548">
        <f>X65/Drivers!X$128</f>
        <v>-8.4662576687116561E-2</v>
      </c>
      <c r="Y66" s="548">
        <f>Y65/Drivers!Y$128</f>
        <v>1.7757009345794394E-2</v>
      </c>
      <c r="Z66" s="548">
        <f>Z65/Drivers!Z$128</f>
        <v>0.44648318042813456</v>
      </c>
      <c r="AA66" s="548">
        <f>AA65/Drivers!AA$128</f>
        <v>0.47678992918961449</v>
      </c>
      <c r="AB66" s="548">
        <f>AB65/Drivers!AB$128</f>
        <v>-4.4543429844097994E-3</v>
      </c>
      <c r="AC66" s="548">
        <f>AC65/Drivers!AC$128</f>
        <v>3.91644908616188E-2</v>
      </c>
      <c r="AD66" s="548">
        <f>AD65/Drivers!AD$128</f>
        <v>0.49050425671250819</v>
      </c>
      <c r="AE66" s="548">
        <f>AE65/Drivers!AE$128</f>
        <v>0.53416149068322982</v>
      </c>
      <c r="AF66" s="548">
        <f>AF65/Drivers!AF$128</f>
        <v>-9.384775808133473E-3</v>
      </c>
      <c r="AG66" s="548">
        <f>AG65/Drivers!AG$128</f>
        <v>1.1206896551724138E-2</v>
      </c>
      <c r="AH66" s="548">
        <f>AH65/Drivers!AH$128</f>
        <v>0.50063211125158025</v>
      </c>
      <c r="AI66" s="548">
        <f>AI65/Drivers!AI$128</f>
        <v>0.29727352682497798</v>
      </c>
      <c r="AJ66" s="548">
        <f>AJ65/Drivers!AJ$128</f>
        <v>0.2286158631415241</v>
      </c>
      <c r="AK66" s="548">
        <f>AK65/Drivers!AK$128</f>
        <v>0.21411947245927077</v>
      </c>
      <c r="AL66" s="548">
        <f>AL65/Drivers!AL$128</f>
        <v>0.18820678513731826</v>
      </c>
      <c r="AM66" s="548">
        <f>AM65/Drivers!AM$128</f>
        <v>0.37386269644334158</v>
      </c>
      <c r="AN66" s="548">
        <f>AN65/Drivers!AN$128</f>
        <v>0.22477744807121661</v>
      </c>
      <c r="AO66" s="548">
        <f>AO65/Drivers!AO$128</f>
        <v>0.25109855618330196</v>
      </c>
      <c r="AP66" s="548">
        <f>AP65/Drivers!AP$128</f>
        <v>0.3172314347512617</v>
      </c>
      <c r="AQ66" s="548">
        <f>AQ65/Drivers!AQ$128</f>
        <v>0.34818368745716244</v>
      </c>
      <c r="AR66" s="548">
        <f>AR65/Drivers!AR$128</f>
        <v>0.16420503909643788</v>
      </c>
      <c r="AS66" s="548">
        <f>AS65/Drivers!AS$128</f>
        <v>0.17752540346682605</v>
      </c>
      <c r="AT66" s="548">
        <f>AT65/Drivers!AT$128</f>
        <v>0.17310549777117384</v>
      </c>
      <c r="AU66" s="548">
        <f>AU65/Drivers!AU$128</f>
        <v>0.2753062540296583</v>
      </c>
      <c r="AV66" s="548">
        <f>AV65/Drivers!AV$128</f>
        <v>0.23767798466593648</v>
      </c>
      <c r="AW66" s="548">
        <f>AW65/Drivers!AW$128</f>
        <v>6.9899709665980553E-2</v>
      </c>
      <c r="AX66" s="548">
        <f>AX65/Drivers!AX$128</f>
        <v>0.21673591502101647</v>
      </c>
      <c r="AY66" s="548">
        <f>AY65/Drivers!AY$128</f>
        <v>0.4065083670250671</v>
      </c>
      <c r="AZ66" s="548">
        <f>AZ65/Drivers!AZ$128</f>
        <v>0.29718239928715301</v>
      </c>
      <c r="BA66" s="548">
        <f>BA65/Drivers!BA$128</f>
        <v>7.6055062875731619E-2</v>
      </c>
      <c r="BB66" s="548">
        <f>BB65/Drivers!BB$128</f>
        <v>0.28645829672056899</v>
      </c>
      <c r="BC66" s="548">
        <f>BC65/Drivers!BC$128</f>
        <v>0.43646159822652147</v>
      </c>
      <c r="BD66" s="548">
        <f>BD65/Drivers!BD$128</f>
        <v>0.3078040653838735</v>
      </c>
      <c r="BE66" s="548">
        <f>BE65/Drivers!BE$128</f>
        <v>0.12386144432356461</v>
      </c>
      <c r="BF66" s="548">
        <f>BF65/Drivers!BF$128</f>
        <v>0.29723759020630175</v>
      </c>
      <c r="BG66" s="548">
        <f>BG65/Drivers!BG$128</f>
        <v>0.43891665576853456</v>
      </c>
      <c r="BH66" s="548">
        <f>BH65/Drivers!BH$128</f>
        <v>0.26186366541513378</v>
      </c>
      <c r="BI66" s="548">
        <f>BI65/Drivers!BI$128</f>
        <v>0.15172185116417963</v>
      </c>
      <c r="BJ66" s="548">
        <f>BJ65/Drivers!BJ$128</f>
        <v>0.3180035029892358</v>
      </c>
      <c r="BK66" s="548">
        <f>BK65/Drivers!BK$128</f>
        <v>0.45026365062334556</v>
      </c>
      <c r="BL66" s="548">
        <f>BL65/Drivers!BL$128</f>
        <v>0.31708333256370086</v>
      </c>
      <c r="BM66" s="548">
        <f>BM65/Drivers!BM$128</f>
        <v>0.14924724409660808</v>
      </c>
      <c r="BN66" s="548">
        <f>BN65/Drivers!BN$128</f>
        <v>0.31478181062993049</v>
      </c>
      <c r="BO66" s="548"/>
      <c r="BP66" s="549">
        <f>BP65/Drivers!BP$128</f>
        <v>-0.13519430760810072</v>
      </c>
      <c r="BQ66" s="549">
        <f>BQ65/Drivers!BQ$128</f>
        <v>-3.6779047088325439E-2</v>
      </c>
      <c r="BR66" s="549">
        <f>BR65/Drivers!BR$128</f>
        <v>6.0584117789041755E-2</v>
      </c>
      <c r="BS66" s="549">
        <f>BS65/Drivers!BS$128</f>
        <v>0.10139583882012115</v>
      </c>
      <c r="BT66" s="549">
        <f>BT65/Drivers!BT$128</f>
        <v>7.2727272727272724E-2</v>
      </c>
      <c r="BU66" s="549">
        <f>BU65/Drivers!BU$128</f>
        <v>0.25869324473975636</v>
      </c>
      <c r="BV66" s="549">
        <f>BV65/Drivers!BV$128</f>
        <v>0.24909008189262966</v>
      </c>
      <c r="BW66" s="549">
        <f>BW65/Drivers!BW$128</f>
        <v>0.28813209494324044</v>
      </c>
      <c r="BX66" s="549">
        <f>BX65/Drivers!BX$128</f>
        <v>0.30485436893203882</v>
      </c>
      <c r="BY66" s="549">
        <f>BY65/Drivers!BY$128</f>
        <v>0.23050505050505052</v>
      </c>
      <c r="BZ66" s="549">
        <f>BZ65/Drivers!BZ$128</f>
        <v>0.28806212750586963</v>
      </c>
      <c r="CA66" s="549">
        <f>CA65/Drivers!CA$128</f>
        <v>0.21797832652336116</v>
      </c>
      <c r="CB66" s="549">
        <f>CB65/Drivers!CB$128</f>
        <v>0.19842972672977621</v>
      </c>
      <c r="CC66" s="549">
        <f>CC65/Drivers!CC$128</f>
        <v>0.26871886216824531</v>
      </c>
      <c r="CD66" s="549">
        <f>CD65/Drivers!CD$128</f>
        <v>0.29256545947681895</v>
      </c>
      <c r="CE66" s="549">
        <f>CE65/Drivers!CE$128</f>
        <v>0.29009679813249289</v>
      </c>
      <c r="CF66" s="549">
        <f>CF65/Drivers!CF$128</f>
        <v>0.30810726364804419</v>
      </c>
    </row>
    <row r="67" spans="1:84" ht="12.75" customHeight="1">
      <c r="A67" s="586" t="s">
        <v>0</v>
      </c>
      <c r="B67" s="550" t="s">
        <v>17</v>
      </c>
      <c r="C67" s="550">
        <f t="shared" ref="C67:Y67" si="113">C65/B65-1</f>
        <v>9.7744360902255689E-2</v>
      </c>
      <c r="D67" s="550">
        <f t="shared" si="113"/>
        <v>-2.4109589041095889</v>
      </c>
      <c r="E67" s="550">
        <f t="shared" si="113"/>
        <v>0.25728155339805836</v>
      </c>
      <c r="F67" s="550">
        <f t="shared" si="113"/>
        <v>-1.7220077220077221</v>
      </c>
      <c r="G67" s="550">
        <f t="shared" si="113"/>
        <v>0.44385026737967914</v>
      </c>
      <c r="H67" s="550">
        <f t="shared" si="113"/>
        <v>-2.1962962962962962</v>
      </c>
      <c r="I67" s="550">
        <f t="shared" si="113"/>
        <v>-0.60061919504643968</v>
      </c>
      <c r="J67" s="550">
        <f t="shared" si="113"/>
        <v>-4.3565891472868223</v>
      </c>
      <c r="K67" s="550">
        <f t="shared" si="113"/>
        <v>-0.37413394919168597</v>
      </c>
      <c r="L67" s="550">
        <f t="shared" si="113"/>
        <v>-2.1365313653136528</v>
      </c>
      <c r="M67" s="550">
        <f t="shared" si="113"/>
        <v>-1.0876623376623376</v>
      </c>
      <c r="N67" s="550">
        <f t="shared" si="113"/>
        <v>13.62962962962963</v>
      </c>
      <c r="O67" s="550">
        <f t="shared" si="113"/>
        <v>-0.26835443037974682</v>
      </c>
      <c r="P67" s="550">
        <f t="shared" si="113"/>
        <v>-1.6782006920415224</v>
      </c>
      <c r="Q67" s="550">
        <f t="shared" si="113"/>
        <v>0.19387755102040827</v>
      </c>
      <c r="R67" s="550">
        <f t="shared" si="113"/>
        <v>-2.7136752136752138</v>
      </c>
      <c r="S67" s="550">
        <f t="shared" si="113"/>
        <v>4.2394014962593429E-2</v>
      </c>
      <c r="T67" s="550">
        <f t="shared" si="113"/>
        <v>-0.80861244019138756</v>
      </c>
      <c r="U67" s="550">
        <f t="shared" si="113"/>
        <v>1.6875</v>
      </c>
      <c r="V67" s="550">
        <f t="shared" si="113"/>
        <v>1.1162790697674421</v>
      </c>
      <c r="W67" s="550">
        <f t="shared" si="113"/>
        <v>0.23296703296703303</v>
      </c>
      <c r="X67" s="550">
        <f t="shared" si="113"/>
        <v>-1.1229946524064172</v>
      </c>
      <c r="Y67" s="550">
        <f t="shared" si="113"/>
        <v>-1.2753623188405796</v>
      </c>
      <c r="Z67" s="550" t="s">
        <v>17</v>
      </c>
      <c r="AA67" s="550">
        <f t="shared" ref="AA67:AX67" si="114">AA65/Z65-1</f>
        <v>3.7671232876712368E-2</v>
      </c>
      <c r="AB67" s="550">
        <f t="shared" si="114"/>
        <v>-1.0066006600660067</v>
      </c>
      <c r="AC67" s="550">
        <f t="shared" si="114"/>
        <v>-12.25</v>
      </c>
      <c r="AD67" s="550">
        <f t="shared" si="114"/>
        <v>15.644444444444446</v>
      </c>
      <c r="AE67" s="550">
        <f t="shared" si="114"/>
        <v>3.3377837116154829E-2</v>
      </c>
      <c r="AF67" s="550">
        <f t="shared" si="114"/>
        <v>-1.0116279069767442</v>
      </c>
      <c r="AG67" s="550">
        <f t="shared" si="114"/>
        <v>-2.4444444444444446</v>
      </c>
      <c r="AH67" s="550">
        <f t="shared" si="114"/>
        <v>59.92307692307692</v>
      </c>
      <c r="AI67" s="550">
        <f t="shared" si="114"/>
        <v>-0.57323232323232332</v>
      </c>
      <c r="AJ67" s="550">
        <f t="shared" si="114"/>
        <v>-0.13017751479289941</v>
      </c>
      <c r="AK67" s="550">
        <f t="shared" si="114"/>
        <v>-6.1224489795918324E-2</v>
      </c>
      <c r="AL67" s="550">
        <f t="shared" si="114"/>
        <v>-0.15579710144927539</v>
      </c>
      <c r="AM67" s="550">
        <f t="shared" si="114"/>
        <v>0.93991416309012865</v>
      </c>
      <c r="AN67" s="550">
        <f t="shared" si="114"/>
        <v>-0.32964601769911506</v>
      </c>
      <c r="AO67" s="550">
        <f t="shared" si="114"/>
        <v>0.32013201320132012</v>
      </c>
      <c r="AP67" s="550">
        <f t="shared" si="114"/>
        <v>0.10000000000000009</v>
      </c>
      <c r="AQ67" s="550">
        <f t="shared" si="114"/>
        <v>0.15454545454545454</v>
      </c>
      <c r="AR67" s="550">
        <f t="shared" si="114"/>
        <v>-0.62795275590551181</v>
      </c>
      <c r="AS67" s="550">
        <f t="shared" si="114"/>
        <v>0.5714285714285714</v>
      </c>
      <c r="AT67" s="550">
        <f t="shared" si="114"/>
        <v>-0.21548821548821551</v>
      </c>
      <c r="AU67" s="550">
        <f t="shared" si="114"/>
        <v>0.83261802575107291</v>
      </c>
      <c r="AV67" s="550">
        <f t="shared" si="114"/>
        <v>1.6393442622950838E-2</v>
      </c>
      <c r="AW67" s="550">
        <f t="shared" si="114"/>
        <v>-0.71936130249277208</v>
      </c>
      <c r="AX67" s="550">
        <f t="shared" si="114"/>
        <v>2.2131766721914028</v>
      </c>
      <c r="AY67" s="550">
        <f t="shared" ref="AY67:BF67" si="115">AY65/AX65-1</f>
        <v>1.1530349421769923</v>
      </c>
      <c r="AZ67" s="550">
        <f t="shared" si="115"/>
        <v>-0.24688020554039469</v>
      </c>
      <c r="BA67" s="550">
        <f t="shared" si="115"/>
        <v>-0.76360322401651881</v>
      </c>
      <c r="BB67" s="550">
        <f t="shared" si="115"/>
        <v>2.6199275255200773</v>
      </c>
      <c r="BC67" s="550">
        <f t="shared" si="115"/>
        <v>0.70383446709531072</v>
      </c>
      <c r="BD67" s="550">
        <f t="shared" si="115"/>
        <v>-0.26742433272084931</v>
      </c>
      <c r="BE67" s="550">
        <f t="shared" si="115"/>
        <v>-0.62319807397148641</v>
      </c>
      <c r="BF67" s="550">
        <f t="shared" si="115"/>
        <v>1.3083213526105464</v>
      </c>
      <c r="BG67" s="550">
        <f t="shared" ref="BG67:BN67" si="116">BG65/BF65-1</f>
        <v>0.64143325702369225</v>
      </c>
      <c r="BH67" s="550">
        <f t="shared" si="116"/>
        <v>-0.3186506808624171</v>
      </c>
      <c r="BI67" s="550">
        <f t="shared" si="116"/>
        <v>-0.47206050170659875</v>
      </c>
      <c r="BJ67" s="550">
        <f t="shared" si="116"/>
        <v>0.97885951450543396</v>
      </c>
      <c r="BK67" s="550">
        <f t="shared" si="116"/>
        <v>0.54463894003876856</v>
      </c>
      <c r="BL67" s="550">
        <f t="shared" si="116"/>
        <v>-0.2712469487002469</v>
      </c>
      <c r="BM67" s="550">
        <f t="shared" si="116"/>
        <v>-0.54828483581103105</v>
      </c>
      <c r="BN67" s="550">
        <f t="shared" si="116"/>
        <v>1.0119557712408489</v>
      </c>
      <c r="BO67" s="550"/>
      <c r="BP67" s="551" t="s">
        <v>17</v>
      </c>
      <c r="BQ67" s="551" t="s">
        <v>17</v>
      </c>
      <c r="BR67" s="551" t="s">
        <v>17</v>
      </c>
      <c r="BS67" s="551" t="s">
        <v>17</v>
      </c>
      <c r="BT67" s="551" t="s">
        <v>17</v>
      </c>
      <c r="BU67" s="551" t="s">
        <v>17</v>
      </c>
      <c r="BV67" s="551" t="s">
        <v>17</v>
      </c>
      <c r="BW67" s="551" t="s">
        <v>17</v>
      </c>
      <c r="BX67" s="551" t="s">
        <v>17</v>
      </c>
      <c r="BY67" s="551" t="s">
        <v>17</v>
      </c>
      <c r="BZ67" s="551" t="s">
        <v>17</v>
      </c>
      <c r="CA67" s="551" t="s">
        <v>17</v>
      </c>
      <c r="CB67" s="551" t="s">
        <v>17</v>
      </c>
      <c r="CC67" s="551" t="s">
        <v>17</v>
      </c>
      <c r="CD67" s="551" t="s">
        <v>17</v>
      </c>
      <c r="CE67" s="551" t="s">
        <v>17</v>
      </c>
      <c r="CF67" s="551" t="s">
        <v>17</v>
      </c>
    </row>
    <row r="68" spans="1:84" ht="12.75" customHeight="1">
      <c r="A68" s="586" t="s">
        <v>1</v>
      </c>
      <c r="B68" s="550" t="s">
        <v>17</v>
      </c>
      <c r="C68" s="550" t="s">
        <v>17</v>
      </c>
      <c r="D68" s="550" t="s">
        <v>17</v>
      </c>
      <c r="E68" s="550" t="s">
        <v>17</v>
      </c>
      <c r="F68" s="550">
        <f t="shared" ref="F68:AU68" si="117">F65/B65-1</f>
        <v>0.40601503759398505</v>
      </c>
      <c r="G68" s="550">
        <f t="shared" si="117"/>
        <v>0.84931506849315075</v>
      </c>
      <c r="H68" s="550">
        <f t="shared" si="117"/>
        <v>0.56796116504854366</v>
      </c>
      <c r="I68" s="550">
        <f t="shared" si="117"/>
        <v>-0.50193050193050193</v>
      </c>
      <c r="J68" s="550">
        <f t="shared" si="117"/>
        <v>1.3155080213903743</v>
      </c>
      <c r="K68" s="550">
        <f t="shared" si="117"/>
        <v>3.7037037037037646E-3</v>
      </c>
      <c r="L68" s="550">
        <f t="shared" si="117"/>
        <v>-4.6439628482972117E-2</v>
      </c>
      <c r="M68" s="550">
        <f t="shared" si="117"/>
        <v>-1.2093023255813953</v>
      </c>
      <c r="N68" s="550">
        <f t="shared" si="117"/>
        <v>-8.775981524249421E-2</v>
      </c>
      <c r="O68" s="550">
        <f t="shared" si="117"/>
        <v>6.6420664206642055E-2</v>
      </c>
      <c r="P68" s="550">
        <f t="shared" si="117"/>
        <v>-0.36363636363636365</v>
      </c>
      <c r="Q68" s="550">
        <f t="shared" si="117"/>
        <v>-9.6666666666666661</v>
      </c>
      <c r="R68" s="550">
        <f t="shared" si="117"/>
        <v>1.51898734177216E-2</v>
      </c>
      <c r="S68" s="550">
        <f t="shared" si="117"/>
        <v>0.44636678200692037</v>
      </c>
      <c r="T68" s="550">
        <f t="shared" si="117"/>
        <v>-1.4081632653061225</v>
      </c>
      <c r="U68" s="550">
        <f t="shared" si="117"/>
        <v>-1.9188034188034186</v>
      </c>
      <c r="V68" s="550">
        <f t="shared" si="117"/>
        <v>0.13466334164588534</v>
      </c>
      <c r="W68" s="550">
        <f t="shared" si="117"/>
        <v>0.34210526315789469</v>
      </c>
      <c r="X68" s="550">
        <f t="shared" si="117"/>
        <v>-1.8625</v>
      </c>
      <c r="Y68" s="550">
        <f t="shared" si="117"/>
        <v>-0.91162790697674423</v>
      </c>
      <c r="Z68" s="550">
        <f t="shared" si="117"/>
        <v>0.28351648351648362</v>
      </c>
      <c r="AA68" s="550">
        <f t="shared" si="117"/>
        <v>8.0213903743315607E-2</v>
      </c>
      <c r="AB68" s="550">
        <f t="shared" si="117"/>
        <v>-0.94202898550724634</v>
      </c>
      <c r="AC68" s="550" t="s">
        <v>17</v>
      </c>
      <c r="AD68" s="550">
        <f t="shared" si="117"/>
        <v>0.28253424657534243</v>
      </c>
      <c r="AE68" s="550">
        <f t="shared" si="117"/>
        <v>0.27722772277227725</v>
      </c>
      <c r="AF68" s="550">
        <f t="shared" si="117"/>
        <v>1.25</v>
      </c>
      <c r="AG68" s="550">
        <f t="shared" si="117"/>
        <v>-0.71111111111111114</v>
      </c>
      <c r="AH68" s="550">
        <f t="shared" si="117"/>
        <v>5.7409879839786404E-2</v>
      </c>
      <c r="AI68" s="550">
        <f t="shared" si="117"/>
        <v>-0.56330749354005172</v>
      </c>
      <c r="AJ68" s="550">
        <f t="shared" si="117"/>
        <v>-33.666666666666664</v>
      </c>
      <c r="AK68" s="550">
        <f t="shared" si="117"/>
        <v>20.23076923076923</v>
      </c>
      <c r="AL68" s="550">
        <f t="shared" si="117"/>
        <v>-0.70580808080808088</v>
      </c>
      <c r="AM68" s="550">
        <f t="shared" si="117"/>
        <v>0.33727810650887569</v>
      </c>
      <c r="AN68" s="550">
        <f t="shared" si="117"/>
        <v>3.0612244897959107E-2</v>
      </c>
      <c r="AO68" s="550">
        <f t="shared" si="117"/>
        <v>0.44927536231884058</v>
      </c>
      <c r="AP68" s="550">
        <f t="shared" si="117"/>
        <v>0.88841201716738194</v>
      </c>
      <c r="AQ68" s="550">
        <f t="shared" si="117"/>
        <v>0.12389380530973448</v>
      </c>
      <c r="AR68" s="550">
        <f t="shared" si="117"/>
        <v>-0.37623762376237624</v>
      </c>
      <c r="AS68" s="550">
        <f t="shared" si="117"/>
        <v>-0.25749999999999995</v>
      </c>
      <c r="AT68" s="550">
        <f t="shared" si="117"/>
        <v>-0.47045454545454546</v>
      </c>
      <c r="AU68" s="550">
        <f t="shared" si="117"/>
        <v>-0.15944881889763785</v>
      </c>
      <c r="AV68" s="550">
        <f>AV65/AR65-1</f>
        <v>1.2962962962962963</v>
      </c>
      <c r="AW68" s="550">
        <f>AW65/AS65-1</f>
        <v>-0.58990843529246828</v>
      </c>
      <c r="AX68" s="550">
        <f>AX65/AT65-1</f>
        <v>0.67963907642348276</v>
      </c>
      <c r="AY68" s="550">
        <f t="shared" ref="AY68:BF68" si="118">AY65/AU65-1</f>
        <v>0.97330898800013244</v>
      </c>
      <c r="AZ68" s="550">
        <f t="shared" si="118"/>
        <v>0.46216809074717813</v>
      </c>
      <c r="BA68" s="550">
        <f t="shared" si="118"/>
        <v>0.23166129856219375</v>
      </c>
      <c r="BB68" s="550">
        <f t="shared" si="118"/>
        <v>0.38757531615662777</v>
      </c>
      <c r="BC68" s="550">
        <f t="shared" si="118"/>
        <v>9.807723183899153E-2</v>
      </c>
      <c r="BD68" s="550">
        <f t="shared" si="118"/>
        <v>6.8123115016117675E-2</v>
      </c>
      <c r="BE68" s="550">
        <f t="shared" si="118"/>
        <v>0.70252257163512399</v>
      </c>
      <c r="BF68" s="550">
        <f t="shared" si="118"/>
        <v>8.5648587630812845E-2</v>
      </c>
      <c r="BG68" s="550">
        <f t="shared" ref="BG68:BN68" si="119">BG65/BC65-1</f>
        <v>4.5887808700099564E-2</v>
      </c>
      <c r="BH68" s="550">
        <f t="shared" si="119"/>
        <v>-2.7247316309556235E-2</v>
      </c>
      <c r="BI68" s="550">
        <f t="shared" si="119"/>
        <v>0.36292977375129065</v>
      </c>
      <c r="BJ68" s="550">
        <f t="shared" si="119"/>
        <v>0.16840168174171821</v>
      </c>
      <c r="BK68" s="550">
        <f t="shared" si="119"/>
        <v>9.9501747940393015E-2</v>
      </c>
      <c r="BL68" s="550">
        <f t="shared" si="119"/>
        <v>0.17599773158234577</v>
      </c>
      <c r="BM68" s="550">
        <f t="shared" si="119"/>
        <v>6.2062227296206807E-3</v>
      </c>
      <c r="BN68" s="550">
        <f t="shared" si="119"/>
        <v>2.3034936052685806E-2</v>
      </c>
      <c r="BO68" s="550"/>
      <c r="BP68" s="551" t="s">
        <v>17</v>
      </c>
      <c r="BQ68" s="551">
        <f t="shared" ref="BQ68:CF68" si="120">BQ65/BP65-1</f>
        <v>-0.7327935222672064</v>
      </c>
      <c r="BR68" s="551">
        <f t="shared" si="120"/>
        <v>-2.9015151515151514</v>
      </c>
      <c r="BS68" s="551">
        <f t="shared" si="120"/>
        <v>0.53386454183266929</v>
      </c>
      <c r="BT68" s="551">
        <f t="shared" si="120"/>
        <v>-0.32467532467532467</v>
      </c>
      <c r="BU68" s="551">
        <f t="shared" si="120"/>
        <v>3.4923076923076923</v>
      </c>
      <c r="BV68" s="551">
        <f t="shared" si="120"/>
        <v>-6.25E-2</v>
      </c>
      <c r="BW68" s="551">
        <f t="shared" si="120"/>
        <v>0.27488584474885847</v>
      </c>
      <c r="BX68" s="551">
        <f t="shared" si="120"/>
        <v>0.12464183381088834</v>
      </c>
      <c r="BY68" s="551">
        <f t="shared" si="120"/>
        <v>-0.27324840764331215</v>
      </c>
      <c r="BZ68" s="551">
        <f t="shared" si="120"/>
        <v>0.39789658194566169</v>
      </c>
      <c r="CA68" s="551">
        <f t="shared" si="120"/>
        <v>-0.23072100313479627</v>
      </c>
      <c r="CB68" s="551">
        <f t="shared" si="120"/>
        <v>0.11992917646683665</v>
      </c>
      <c r="CC68" s="551">
        <f t="shared" si="120"/>
        <v>0.57932371171775898</v>
      </c>
      <c r="CD68" s="551">
        <f t="shared" si="120"/>
        <v>0.12798973202413277</v>
      </c>
      <c r="CE68" s="551">
        <f t="shared" si="120"/>
        <v>8.8219682966301116E-2</v>
      </c>
      <c r="CF68" s="551">
        <f t="shared" si="120"/>
        <v>8.647196436901039E-2</v>
      </c>
    </row>
    <row r="69" spans="1:84" ht="12.75" customHeight="1">
      <c r="A69" s="566"/>
      <c r="B69" s="326"/>
      <c r="C69" s="326"/>
      <c r="D69" s="326"/>
      <c r="E69" s="326"/>
      <c r="F69" s="326"/>
      <c r="G69" s="326"/>
      <c r="H69" s="326"/>
      <c r="I69" s="326"/>
      <c r="J69" s="326"/>
      <c r="K69" s="326"/>
      <c r="L69" s="326"/>
      <c r="M69" s="326"/>
      <c r="N69" s="326"/>
      <c r="O69" s="326"/>
      <c r="P69" s="326"/>
      <c r="Q69" s="326"/>
      <c r="R69" s="326"/>
      <c r="S69" s="326"/>
      <c r="T69" s="326"/>
      <c r="U69" s="326"/>
      <c r="V69" s="326"/>
      <c r="W69" s="326"/>
      <c r="X69" s="326"/>
      <c r="Y69" s="326"/>
      <c r="Z69" s="326"/>
      <c r="AA69" s="326"/>
      <c r="AB69" s="326"/>
      <c r="AC69" s="326"/>
      <c r="AD69" s="326"/>
      <c r="AE69" s="326"/>
      <c r="AF69" s="326"/>
      <c r="AG69" s="326"/>
      <c r="AH69" s="326"/>
      <c r="AI69" s="326"/>
      <c r="AJ69" s="326"/>
      <c r="AK69" s="326"/>
      <c r="AL69" s="326"/>
      <c r="AM69" s="326"/>
      <c r="AN69" s="326"/>
      <c r="AO69" s="326"/>
      <c r="AP69" s="326"/>
      <c r="AQ69" s="326"/>
      <c r="AR69" s="326"/>
      <c r="AS69" s="326"/>
      <c r="AT69" s="326"/>
      <c r="AU69" s="326"/>
      <c r="AV69" s="326"/>
      <c r="AW69" s="326"/>
      <c r="AX69" s="326"/>
      <c r="AY69" s="326"/>
      <c r="AZ69" s="326"/>
      <c r="BA69" s="326"/>
      <c r="BB69" s="326"/>
      <c r="BC69" s="326"/>
      <c r="BD69" s="326"/>
      <c r="BE69" s="326"/>
      <c r="BF69" s="326"/>
      <c r="BG69" s="326"/>
      <c r="BH69" s="326"/>
      <c r="BI69" s="326"/>
      <c r="BJ69" s="326"/>
      <c r="BK69" s="326"/>
      <c r="BL69" s="326"/>
      <c r="BM69" s="326"/>
      <c r="BN69" s="326"/>
      <c r="BO69" s="326"/>
      <c r="BP69" s="341"/>
      <c r="BQ69" s="341"/>
      <c r="BR69" s="341"/>
      <c r="BS69" s="341"/>
      <c r="BT69" s="341"/>
      <c r="BU69" s="341"/>
      <c r="BV69" s="341"/>
      <c r="BW69" s="341"/>
      <c r="BX69" s="341"/>
      <c r="BY69" s="341"/>
      <c r="BZ69" s="341"/>
      <c r="CA69" s="341"/>
      <c r="CB69" s="341"/>
      <c r="CC69" s="341"/>
      <c r="CD69" s="341"/>
      <c r="CE69" s="341"/>
      <c r="CF69" s="341"/>
    </row>
    <row r="70" spans="1:84" s="369" customFormat="1" ht="12.75" customHeight="1" outlineLevel="1">
      <c r="A70" s="557" t="s">
        <v>196</v>
      </c>
      <c r="B70" s="583">
        <f>Drivers!B258</f>
        <v>-42</v>
      </c>
      <c r="C70" s="583">
        <f>Drivers!C258</f>
        <v>-47</v>
      </c>
      <c r="D70" s="583">
        <f>Drivers!D258</f>
        <v>-43</v>
      </c>
      <c r="E70" s="583">
        <f>Drivers!E258</f>
        <v>-46</v>
      </c>
      <c r="F70" s="583">
        <f>Drivers!F258</f>
        <v>-38</v>
      </c>
      <c r="G70" s="583">
        <f>Drivers!G258</f>
        <v>-38</v>
      </c>
      <c r="H70" s="583">
        <f>Drivers!H258</f>
        <v>-43</v>
      </c>
      <c r="I70" s="583">
        <f>Drivers!I258</f>
        <v>-48</v>
      </c>
      <c r="J70" s="583">
        <f>Drivers!J258</f>
        <v>-41</v>
      </c>
      <c r="K70" s="583">
        <f>Drivers!K258</f>
        <v>-39</v>
      </c>
      <c r="L70" s="583">
        <f>Drivers!L258</f>
        <v>-44</v>
      </c>
      <c r="M70" s="583">
        <f>Drivers!M258</f>
        <v>-39</v>
      </c>
      <c r="N70" s="583">
        <f>Drivers!N258</f>
        <v>-42</v>
      </c>
      <c r="O70" s="583">
        <f>Drivers!O258</f>
        <v>-33</v>
      </c>
      <c r="P70" s="583">
        <f>Drivers!P258</f>
        <v>-38</v>
      </c>
      <c r="Q70" s="583">
        <f>Drivers!Q258</f>
        <v>-40</v>
      </c>
      <c r="R70" s="583">
        <f>Drivers!R258</f>
        <v>-39</v>
      </c>
      <c r="S70" s="583">
        <f>Drivers!S258</f>
        <v>-29</v>
      </c>
      <c r="T70" s="583">
        <f>Drivers!T258</f>
        <v>-40</v>
      </c>
      <c r="U70" s="583">
        <f>Drivers!U258</f>
        <v>-39</v>
      </c>
      <c r="V70" s="583">
        <f>Drivers!V258</f>
        <v>-36</v>
      </c>
      <c r="W70" s="583">
        <f>Drivers!W258</f>
        <v>-45</v>
      </c>
      <c r="X70" s="583">
        <f>Drivers!X258</f>
        <v>-44</v>
      </c>
      <c r="Y70" s="583">
        <f>Drivers!Y258</f>
        <v>-42</v>
      </c>
      <c r="Z70" s="583">
        <f>Drivers!Z258</f>
        <v>-47</v>
      </c>
      <c r="AA70" s="583">
        <f>Drivers!AA258</f>
        <v>-48</v>
      </c>
      <c r="AB70" s="583">
        <f>Drivers!AB258</f>
        <v>-48</v>
      </c>
      <c r="AC70" s="583">
        <f>Drivers!AC258</f>
        <v>-48</v>
      </c>
      <c r="AD70" s="583">
        <f>Drivers!AD258</f>
        <v>-52</v>
      </c>
      <c r="AE70" s="583">
        <f>Drivers!AE258</f>
        <v>-48</v>
      </c>
      <c r="AF70" s="583">
        <f>Drivers!AF258</f>
        <v>-62</v>
      </c>
      <c r="AG70" s="583">
        <f>Drivers!AG258</f>
        <v>-63</v>
      </c>
      <c r="AH70" s="583">
        <f>Drivers!AH258</f>
        <v>-69</v>
      </c>
      <c r="AI70" s="583">
        <f>Drivers!AI258</f>
        <v>-70</v>
      </c>
      <c r="AJ70" s="583">
        <f>Drivers!AJ258</f>
        <v>-66</v>
      </c>
      <c r="AK70" s="583">
        <f>Drivers!AK258</f>
        <v>-75</v>
      </c>
      <c r="AL70" s="583">
        <f>Drivers!AL258</f>
        <v>-73</v>
      </c>
      <c r="AM70" s="583">
        <f>Drivers!AM258</f>
        <v>-73</v>
      </c>
      <c r="AN70" s="583">
        <f>Drivers!AN258</f>
        <v>-92</v>
      </c>
      <c r="AO70" s="583">
        <f>Drivers!AO258</f>
        <v>-91</v>
      </c>
      <c r="AP70" s="583">
        <f>Drivers!AP258</f>
        <v>-91</v>
      </c>
      <c r="AQ70" s="583">
        <f>Drivers!AQ258</f>
        <v>-102</v>
      </c>
      <c r="AR70" s="583">
        <f>Drivers!AR258</f>
        <v>-113</v>
      </c>
      <c r="AS70" s="583">
        <f>Drivers!AS258</f>
        <v>-111</v>
      </c>
      <c r="AT70" s="583">
        <f>Drivers!AT258</f>
        <v>-109</v>
      </c>
      <c r="AU70" s="583">
        <f>Drivers!AU258</f>
        <v>-125</v>
      </c>
      <c r="AV70" s="583">
        <f>Drivers!AV258</f>
        <v>-149</v>
      </c>
      <c r="AW70" s="583">
        <f>Drivers!AW258</f>
        <v>-135.24803520833333</v>
      </c>
      <c r="AX70" s="583">
        <f>Drivers!AX258</f>
        <v>-168.36559330719879</v>
      </c>
      <c r="AY70" s="583">
        <f>Drivers!AY258</f>
        <v>-133.91215246490384</v>
      </c>
      <c r="AZ70" s="583">
        <f>Drivers!AZ258</f>
        <v>-165.39547741666811</v>
      </c>
      <c r="BA70" s="583">
        <f>Drivers!BA258</f>
        <v>-154.93542134760662</v>
      </c>
      <c r="BB70" s="583">
        <f>Drivers!BB258</f>
        <v>-164.37411252521255</v>
      </c>
      <c r="BC70" s="583">
        <f>Drivers!BC258</f>
        <v>-131.10297298367914</v>
      </c>
      <c r="BD70" s="583">
        <f>Drivers!BD258</f>
        <v>-171.33961861282347</v>
      </c>
      <c r="BE70" s="583">
        <f>Drivers!BE258</f>
        <v>-155.67314313678082</v>
      </c>
      <c r="BF70" s="583">
        <f>Drivers!BF258</f>
        <v>-168.04179393439404</v>
      </c>
      <c r="BG70" s="583">
        <f>Drivers!BG258</f>
        <v>-134.49632147900672</v>
      </c>
      <c r="BH70" s="583">
        <f>Drivers!BH258</f>
        <v>-206.544476542713</v>
      </c>
      <c r="BI70" s="583">
        <f>Drivers!BI258</f>
        <v>-166.62043236193279</v>
      </c>
      <c r="BJ70" s="583">
        <f>Drivers!BJ258</f>
        <v>-177.35033353765823</v>
      </c>
      <c r="BK70" s="583">
        <f>Drivers!BK258</f>
        <v>-140.44796622394566</v>
      </c>
      <c r="BL70" s="583">
        <f>Drivers!BL258</f>
        <v>-185.44406973195814</v>
      </c>
      <c r="BM70" s="583">
        <f>Drivers!BM258</f>
        <v>-170.10016160110877</v>
      </c>
      <c r="BN70" s="583">
        <f>Drivers!BN258</f>
        <v>-183.56194607242423</v>
      </c>
      <c r="BO70" s="583"/>
      <c r="BP70" s="583">
        <f>Drivers!BP258</f>
        <v>-161</v>
      </c>
      <c r="BQ70" s="583">
        <f>Drivers!BQ258</f>
        <v>-174</v>
      </c>
      <c r="BR70" s="583">
        <f>Drivers!BR258</f>
        <v>-170</v>
      </c>
      <c r="BS70" s="583">
        <f>Drivers!BS258</f>
        <v>-164</v>
      </c>
      <c r="BT70" s="583">
        <f>Drivers!BT258</f>
        <v>-150</v>
      </c>
      <c r="BU70" s="583">
        <f>Drivers!BU258</f>
        <v>-144</v>
      </c>
      <c r="BV70" s="583">
        <f>Drivers!BV258</f>
        <v>-178</v>
      </c>
      <c r="BW70" s="583">
        <f>Drivers!BW258</f>
        <v>-196</v>
      </c>
      <c r="BX70" s="583">
        <f>Drivers!BX258</f>
        <v>-242</v>
      </c>
      <c r="BY70" s="583">
        <f>Drivers!BY258</f>
        <v>-284</v>
      </c>
      <c r="BZ70" s="583">
        <f>Drivers!BZ258</f>
        <v>-347</v>
      </c>
      <c r="CA70" s="583">
        <f>Drivers!CA258</f>
        <v>-435</v>
      </c>
      <c r="CB70" s="583">
        <f>Drivers!CB258</f>
        <v>-577.61362851553213</v>
      </c>
      <c r="CC70" s="583">
        <f>Drivers!CC258</f>
        <v>-618.61716375439119</v>
      </c>
      <c r="CD70" s="583">
        <f>Drivers!CD258</f>
        <v>-626.15752866767752</v>
      </c>
      <c r="CE70" s="583">
        <f>Drivers!CE258</f>
        <v>-685.01156392131077</v>
      </c>
      <c r="CF70" s="583">
        <f>Drivers!CF258</f>
        <v>-679.55414362943679</v>
      </c>
    </row>
    <row r="71" spans="1:84" ht="12.75" customHeight="1" outlineLevel="1">
      <c r="A71" s="566"/>
      <c r="B71" s="584"/>
      <c r="C71" s="584"/>
      <c r="D71" s="584"/>
      <c r="E71" s="584"/>
      <c r="F71" s="584"/>
      <c r="G71" s="584"/>
      <c r="H71" s="584"/>
      <c r="I71" s="584"/>
      <c r="J71" s="584"/>
      <c r="K71" s="584"/>
      <c r="L71" s="584"/>
      <c r="M71" s="584"/>
      <c r="N71" s="584"/>
      <c r="O71" s="584"/>
      <c r="P71" s="584"/>
      <c r="Q71" s="584"/>
      <c r="R71" s="584"/>
      <c r="S71" s="584"/>
      <c r="T71" s="584"/>
      <c r="U71" s="584"/>
      <c r="V71" s="584"/>
      <c r="W71" s="584"/>
      <c r="X71" s="584"/>
      <c r="Y71" s="584"/>
      <c r="Z71" s="584"/>
      <c r="AA71" s="584"/>
      <c r="AB71" s="584"/>
      <c r="AC71" s="584"/>
      <c r="AD71" s="584"/>
      <c r="AE71" s="584"/>
      <c r="AF71" s="584"/>
      <c r="AG71" s="584"/>
      <c r="AH71" s="584"/>
      <c r="AI71" s="584"/>
      <c r="AJ71" s="584"/>
      <c r="AK71" s="584"/>
      <c r="AL71" s="584"/>
      <c r="AM71" s="584"/>
      <c r="AN71" s="584"/>
      <c r="AO71" s="584"/>
      <c r="AP71" s="584"/>
      <c r="AQ71" s="584"/>
      <c r="AR71" s="584"/>
      <c r="AS71" s="584"/>
      <c r="AT71" s="584"/>
      <c r="AU71" s="584"/>
      <c r="AV71" s="584"/>
      <c r="AW71" s="584"/>
      <c r="AX71" s="584"/>
      <c r="AY71" s="584"/>
      <c r="AZ71" s="584"/>
      <c r="BA71" s="584"/>
      <c r="BB71" s="584"/>
      <c r="BC71" s="584"/>
      <c r="BD71" s="584"/>
      <c r="BE71" s="584"/>
      <c r="BF71" s="584"/>
      <c r="BG71" s="584"/>
      <c r="BH71" s="584"/>
      <c r="BI71" s="584"/>
      <c r="BJ71" s="584"/>
      <c r="BK71" s="584"/>
      <c r="BL71" s="584"/>
      <c r="BM71" s="584"/>
      <c r="BN71" s="584"/>
      <c r="BO71" s="584"/>
      <c r="BP71" s="585"/>
      <c r="BQ71" s="585"/>
      <c r="BR71" s="585"/>
      <c r="BS71" s="585"/>
      <c r="BT71" s="585"/>
      <c r="BU71" s="585"/>
      <c r="BV71" s="585"/>
      <c r="BW71" s="585"/>
      <c r="BX71" s="585"/>
      <c r="BY71" s="585"/>
      <c r="BZ71" s="585"/>
      <c r="CA71" s="585"/>
      <c r="CB71" s="585"/>
      <c r="CC71" s="585"/>
      <c r="CD71" s="585"/>
      <c r="CE71" s="585"/>
      <c r="CF71" s="585"/>
    </row>
    <row r="72" spans="1:84" s="565" customFormat="1" ht="12.75" customHeight="1">
      <c r="A72" s="562" t="s">
        <v>197</v>
      </c>
      <c r="B72" s="587">
        <f t="shared" ref="B72:AG72" si="121">B48-B70</f>
        <v>273</v>
      </c>
      <c r="C72" s="587">
        <f t="shared" si="121"/>
        <v>-112</v>
      </c>
      <c r="D72" s="587">
        <f t="shared" si="121"/>
        <v>-103</v>
      </c>
      <c r="E72" s="587">
        <f t="shared" si="121"/>
        <v>380</v>
      </c>
      <c r="F72" s="587">
        <f t="shared" si="121"/>
        <v>270</v>
      </c>
      <c r="G72" s="587">
        <f t="shared" si="121"/>
        <v>-268</v>
      </c>
      <c r="H72" s="587">
        <f t="shared" si="121"/>
        <v>-220</v>
      </c>
      <c r="I72" s="587">
        <f t="shared" si="121"/>
        <v>479</v>
      </c>
      <c r="J72" s="587">
        <f t="shared" si="121"/>
        <v>284</v>
      </c>
      <c r="K72" s="587">
        <f t="shared" si="121"/>
        <v>-236</v>
      </c>
      <c r="L72" s="587">
        <f t="shared" si="121"/>
        <v>-9</v>
      </c>
      <c r="M72" s="587">
        <f t="shared" si="121"/>
        <v>377</v>
      </c>
      <c r="N72" s="587">
        <f t="shared" si="121"/>
        <v>250</v>
      </c>
      <c r="O72" s="587">
        <f t="shared" si="121"/>
        <v>-244</v>
      </c>
      <c r="P72" s="587">
        <f t="shared" si="121"/>
        <v>8</v>
      </c>
      <c r="Q72" s="587">
        <f t="shared" si="121"/>
        <v>697</v>
      </c>
      <c r="R72" s="587">
        <f t="shared" si="121"/>
        <v>304</v>
      </c>
      <c r="S72" s="587">
        <f t="shared" si="121"/>
        <v>6</v>
      </c>
      <c r="T72" s="587">
        <f t="shared" si="121"/>
        <v>202</v>
      </c>
      <c r="U72" s="587">
        <f t="shared" si="121"/>
        <v>706</v>
      </c>
      <c r="V72" s="587">
        <f t="shared" si="121"/>
        <v>202</v>
      </c>
      <c r="W72" s="587">
        <f t="shared" si="121"/>
        <v>-50</v>
      </c>
      <c r="X72" s="587">
        <f t="shared" si="121"/>
        <v>35</v>
      </c>
      <c r="Y72" s="587">
        <f t="shared" si="121"/>
        <v>910</v>
      </c>
      <c r="Z72" s="587">
        <f t="shared" si="121"/>
        <v>413</v>
      </c>
      <c r="AA72" s="587">
        <f t="shared" si="121"/>
        <v>-110</v>
      </c>
      <c r="AB72" s="587">
        <f t="shared" si="121"/>
        <v>141</v>
      </c>
      <c r="AC72" s="587">
        <f t="shared" si="121"/>
        <v>1138</v>
      </c>
      <c r="AD72" s="587">
        <f t="shared" si="121"/>
        <v>460</v>
      </c>
      <c r="AE72" s="587">
        <f t="shared" si="121"/>
        <v>191</v>
      </c>
      <c r="AF72" s="587">
        <f t="shared" si="121"/>
        <v>84</v>
      </c>
      <c r="AG72" s="587">
        <f t="shared" si="121"/>
        <v>888</v>
      </c>
      <c r="AH72" s="587">
        <f t="shared" ref="AH72:BN72" si="122">AH48-AH70</f>
        <v>664</v>
      </c>
      <c r="AI72" s="587">
        <f t="shared" si="122"/>
        <v>158</v>
      </c>
      <c r="AJ72" s="587">
        <f t="shared" si="122"/>
        <v>-91</v>
      </c>
      <c r="AK72" s="587">
        <f t="shared" si="122"/>
        <v>1008</v>
      </c>
      <c r="AL72" s="587">
        <f t="shared" si="122"/>
        <v>637</v>
      </c>
      <c r="AM72" s="587">
        <f t="shared" si="122"/>
        <v>186</v>
      </c>
      <c r="AN72" s="587">
        <f t="shared" si="122"/>
        <v>102</v>
      </c>
      <c r="AO72" s="587">
        <f t="shared" si="122"/>
        <v>1167</v>
      </c>
      <c r="AP72" s="587">
        <f t="shared" si="122"/>
        <v>549</v>
      </c>
      <c r="AQ72" s="587">
        <f t="shared" si="122"/>
        <v>442</v>
      </c>
      <c r="AR72" s="587">
        <f t="shared" si="122"/>
        <v>149</v>
      </c>
      <c r="AS72" s="587">
        <f t="shared" si="122"/>
        <v>1205</v>
      </c>
      <c r="AT72" s="587">
        <f t="shared" si="122"/>
        <v>449</v>
      </c>
      <c r="AU72" s="587">
        <f t="shared" si="122"/>
        <v>-62</v>
      </c>
      <c r="AV72" s="587">
        <f t="shared" si="122"/>
        <v>170</v>
      </c>
      <c r="AW72" s="587">
        <f>AW48-AW70</f>
        <v>1670.1622678642614</v>
      </c>
      <c r="AX72" s="587">
        <f t="shared" si="122"/>
        <v>543.51959154601946</v>
      </c>
      <c r="AY72" s="587">
        <f t="shared" si="122"/>
        <v>323.83099067885905</v>
      </c>
      <c r="AZ72" s="587">
        <f t="shared" si="122"/>
        <v>165.06971571828782</v>
      </c>
      <c r="BA72" s="587">
        <f t="shared" si="122"/>
        <v>1825.8295995576614</v>
      </c>
      <c r="BB72" s="587">
        <f t="shared" si="122"/>
        <v>719.58298366528891</v>
      </c>
      <c r="BC72" s="587">
        <f t="shared" si="122"/>
        <v>235.4373811215782</v>
      </c>
      <c r="BD72" s="587">
        <f t="shared" si="122"/>
        <v>210.88270587529004</v>
      </c>
      <c r="BE72" s="587">
        <f t="shared" si="122"/>
        <v>1927.685495051775</v>
      </c>
      <c r="BF72" s="587">
        <f t="shared" si="122"/>
        <v>729.58482179894861</v>
      </c>
      <c r="BG72" s="587">
        <f t="shared" si="122"/>
        <v>314.67378014783958</v>
      </c>
      <c r="BH72" s="587">
        <f t="shared" si="122"/>
        <v>329.30831977523906</v>
      </c>
      <c r="BI72" s="587">
        <f t="shared" si="122"/>
        <v>2083.442583299633</v>
      </c>
      <c r="BJ72" s="587">
        <f t="shared" si="122"/>
        <v>789.52405705804131</v>
      </c>
      <c r="BK72" s="587">
        <f t="shared" si="122"/>
        <v>347.12799287957318</v>
      </c>
      <c r="BL72" s="587">
        <f t="shared" si="122"/>
        <v>252.6507592373332</v>
      </c>
      <c r="BM72" s="587">
        <f t="shared" si="122"/>
        <v>2128.0107446476031</v>
      </c>
      <c r="BN72" s="587">
        <f t="shared" si="122"/>
        <v>846.59527855493479</v>
      </c>
      <c r="BO72" s="587"/>
      <c r="BP72" s="573">
        <f t="shared" ref="BP72:CF72" si="123">BP48-BP70</f>
        <v>241</v>
      </c>
      <c r="BQ72" s="573">
        <f t="shared" si="123"/>
        <v>435</v>
      </c>
      <c r="BR72" s="573">
        <f t="shared" si="123"/>
        <v>275</v>
      </c>
      <c r="BS72" s="573">
        <f t="shared" si="123"/>
        <v>382</v>
      </c>
      <c r="BT72" s="573">
        <f t="shared" si="123"/>
        <v>765</v>
      </c>
      <c r="BU72" s="573">
        <f t="shared" si="123"/>
        <v>1116</v>
      </c>
      <c r="BV72" s="573">
        <f t="shared" si="123"/>
        <v>1308</v>
      </c>
      <c r="BW72" s="573">
        <f t="shared" si="123"/>
        <v>1629</v>
      </c>
      <c r="BX72" s="573">
        <f t="shared" si="123"/>
        <v>1827</v>
      </c>
      <c r="BY72" s="573">
        <f t="shared" si="123"/>
        <v>1712</v>
      </c>
      <c r="BZ72" s="573">
        <f t="shared" si="123"/>
        <v>2004</v>
      </c>
      <c r="CA72" s="573">
        <f t="shared" si="123"/>
        <v>2245</v>
      </c>
      <c r="CB72" s="573">
        <f t="shared" si="123"/>
        <v>2321.681859410281</v>
      </c>
      <c r="CC72" s="573">
        <f t="shared" si="123"/>
        <v>3034.3132896200973</v>
      </c>
      <c r="CD72" s="573">
        <f t="shared" si="123"/>
        <v>3103.5904038475919</v>
      </c>
      <c r="CE72" s="573">
        <f t="shared" si="123"/>
        <v>3516.9487402807536</v>
      </c>
      <c r="CF72" s="573">
        <f t="shared" si="123"/>
        <v>3574.3847753194441</v>
      </c>
    </row>
    <row r="73" spans="1:84" s="442" customFormat="1" ht="12.75" customHeight="1">
      <c r="A73" s="588" t="s">
        <v>198</v>
      </c>
      <c r="B73" s="548">
        <f>B72/Drivers!B$128</f>
        <v>0.27885597548518898</v>
      </c>
      <c r="C73" s="548">
        <f>C72/Drivers!C$128</f>
        <v>-0.13742331288343559</v>
      </c>
      <c r="D73" s="548">
        <f>D72/Drivers!D$128</f>
        <v>-0.16323296354992076</v>
      </c>
      <c r="E73" s="548">
        <f>E72/Drivers!E$128</f>
        <v>0.36087369420702753</v>
      </c>
      <c r="F73" s="548">
        <f>F72/Drivers!F$128</f>
        <v>0.24770642201834864</v>
      </c>
      <c r="G73" s="548">
        <f>G72/Drivers!G$128</f>
        <v>-0.26826826826826827</v>
      </c>
      <c r="H73" s="548">
        <f>H72/Drivers!H$128</f>
        <v>-0.30769230769230771</v>
      </c>
      <c r="I73" s="548">
        <f>I72/Drivers!I$128</f>
        <v>0.45146088595664469</v>
      </c>
      <c r="J73" s="548">
        <f>J72/Drivers!J$128</f>
        <v>0.20760233918128654</v>
      </c>
      <c r="K73" s="548">
        <f>K72/Drivers!K$128</f>
        <v>-0.24712041884816754</v>
      </c>
      <c r="L73" s="548">
        <f>L72/Drivers!L$128</f>
        <v>-1.2658227848101266E-2</v>
      </c>
      <c r="M73" s="548">
        <f>M72/Drivers!M$128</f>
        <v>0.40889370932754882</v>
      </c>
      <c r="N73" s="548">
        <f>N72/Drivers!N$128</f>
        <v>0.20678246484698098</v>
      </c>
      <c r="O73" s="548">
        <f>O72/Drivers!O$128</f>
        <v>-0.25711275026343522</v>
      </c>
      <c r="P73" s="548">
        <f>P72/Drivers!P$128</f>
        <v>1.1510791366906475E-2</v>
      </c>
      <c r="Q73" s="548">
        <f>Q72/Drivers!Q$128</f>
        <v>0.86262376237623761</v>
      </c>
      <c r="R73" s="548">
        <f>R72/Drivers!R$128</f>
        <v>0.27070347284060553</v>
      </c>
      <c r="S73" s="548">
        <f>S72/Drivers!S$128</f>
        <v>4.9423393739703456E-3</v>
      </c>
      <c r="T73" s="548">
        <f>T72/Drivers!T$128</f>
        <v>0.20404040404040405</v>
      </c>
      <c r="U73" s="548">
        <f>U72/Drivers!U$128</f>
        <v>0.62699822380106573</v>
      </c>
      <c r="V73" s="548">
        <f>V72/Drivers!V$128</f>
        <v>0.17046413502109706</v>
      </c>
      <c r="W73" s="548">
        <f>W72/Drivers!W$128</f>
        <v>-4.1562759767248547E-2</v>
      </c>
      <c r="X73" s="548">
        <f>X72/Drivers!X$128</f>
        <v>4.2944785276073622E-2</v>
      </c>
      <c r="Y73" s="548">
        <f>Y72/Drivers!Y$128</f>
        <v>0.85046728971962615</v>
      </c>
      <c r="Z73" s="548">
        <f>Z72/Drivers!Z$128</f>
        <v>0.31574923547400613</v>
      </c>
      <c r="AA73" s="548">
        <f>AA72/Drivers!AA$128</f>
        <v>-8.6546026750590088E-2</v>
      </c>
      <c r="AB73" s="548">
        <f>AB72/Drivers!AB$128</f>
        <v>0.15701559020044542</v>
      </c>
      <c r="AC73" s="548">
        <f>AC72/Drivers!AC$128</f>
        <v>0.9904264577893821</v>
      </c>
      <c r="AD73" s="548">
        <f>AD72/Drivers!AD$128</f>
        <v>0.30124426981008512</v>
      </c>
      <c r="AE73" s="548">
        <f>AE72/Drivers!AE$128</f>
        <v>0.13181504485852311</v>
      </c>
      <c r="AF73" s="548">
        <f>AF72/Drivers!AF$128</f>
        <v>8.7591240875912413E-2</v>
      </c>
      <c r="AG73" s="548">
        <f>AG72/Drivers!AG$128</f>
        <v>0.76551724137931032</v>
      </c>
      <c r="AH73" s="548">
        <f>AH72/Drivers!AH$128</f>
        <v>0.4197218710493047</v>
      </c>
      <c r="AI73" s="548">
        <f>AI72/Drivers!AI$128</f>
        <v>0.13896218117854001</v>
      </c>
      <c r="AJ73" s="548">
        <f>AJ72/Drivers!AJ$128</f>
        <v>-7.0762052877138409E-2</v>
      </c>
      <c r="AK73" s="548">
        <f>AK72/Drivers!AK$128</f>
        <v>0.7820015515903801</v>
      </c>
      <c r="AL73" s="548">
        <f>AL72/Drivers!AL$128</f>
        <v>0.51453957996768984</v>
      </c>
      <c r="AM73" s="548">
        <f>AM72/Drivers!AM$128</f>
        <v>0.15384615384615385</v>
      </c>
      <c r="AN73" s="548">
        <f>AN72/Drivers!AN$128</f>
        <v>7.5667655786350152E-2</v>
      </c>
      <c r="AO73" s="548">
        <f>AO72/Drivers!AO$128</f>
        <v>0.73258003766478341</v>
      </c>
      <c r="AP73" s="548">
        <f>AP72/Drivers!AP$128</f>
        <v>0.39581831290555153</v>
      </c>
      <c r="AQ73" s="548">
        <f>AQ72/Drivers!AQ$128</f>
        <v>0.3029472241261138</v>
      </c>
      <c r="AR73" s="548">
        <f>AR72/Drivers!AR$128</f>
        <v>0.12945264986967853</v>
      </c>
      <c r="AS73" s="548">
        <f>AS72/Drivers!AS$128</f>
        <v>0.72026300059772863</v>
      </c>
      <c r="AT73" s="548">
        <f>AT72/Drivers!AT$128</f>
        <v>0.33358098068350667</v>
      </c>
      <c r="AU73" s="548">
        <f>AU72/Drivers!AU$128</f>
        <v>-3.9974210186976146E-2</v>
      </c>
      <c r="AV73" s="548">
        <f>AV72/Drivers!AV$128</f>
        <v>9.3099671412924426E-2</v>
      </c>
      <c r="AW73" s="548">
        <f>AW72/Drivers!AW$128</f>
        <v>0.9585102340735856</v>
      </c>
      <c r="AX73" s="548">
        <f>AX72/Drivers!AX$128</f>
        <v>0.30100533698033394</v>
      </c>
      <c r="AY73" s="548">
        <f>AY72/Drivers!AY$128</f>
        <v>0.1562301782910902</v>
      </c>
      <c r="AZ73" s="548">
        <f>AZ72/Drivers!AZ$128</f>
        <v>7.7304265215964438E-2</v>
      </c>
      <c r="BA73" s="548">
        <f>BA72/Drivers!BA$128</f>
        <v>0.92567768051036792</v>
      </c>
      <c r="BB73" s="548">
        <f>BB72/Drivers!BB$128</f>
        <v>0.3795891880005221</v>
      </c>
      <c r="BC73" s="548">
        <f>BC72/Drivers!BC$128</f>
        <v>0.11106202842590646</v>
      </c>
      <c r="BD73" s="548">
        <f>BD72/Drivers!BD$128</f>
        <v>9.576503504268423E-2</v>
      </c>
      <c r="BE73" s="548">
        <f>BE72/Drivers!BE$128</f>
        <v>0.93486921820194224</v>
      </c>
      <c r="BF73" s="548">
        <f>BF72/Drivers!BF$128</f>
        <v>0.36784240552186775</v>
      </c>
      <c r="BG73" s="548">
        <f>BG72/Drivers!BG$128</f>
        <v>0.14272552932845731</v>
      </c>
      <c r="BH73" s="548">
        <f>BH72/Drivers!BH$128</f>
        <v>0.13078777842840744</v>
      </c>
      <c r="BI73" s="548">
        <f>BI72/Drivers!BI$128</f>
        <v>0.90810220711337919</v>
      </c>
      <c r="BJ73" s="548">
        <f>BJ72/Drivers!BJ$128</f>
        <v>0.3644914708118504</v>
      </c>
      <c r="BK73" s="548">
        <f>BK72/Drivers!BK$128</f>
        <v>0.14689927242106066</v>
      </c>
      <c r="BL73" s="548">
        <f>BL72/Drivers!BL$128</f>
        <v>0.10331818182043415</v>
      </c>
      <c r="BM73" s="548">
        <f>BM72/Drivers!BM$128</f>
        <v>0.90677220627969712</v>
      </c>
      <c r="BN73" s="548">
        <f>BN72/Drivers!BN$128</f>
        <v>0.37816828572804329</v>
      </c>
      <c r="BO73" s="548"/>
      <c r="BP73" s="549">
        <f>BP72/Drivers!BP$128</f>
        <v>6.5955117679255604E-2</v>
      </c>
      <c r="BQ73" s="549">
        <f>BQ72/Drivers!BQ$128</f>
        <v>0.12120367790470883</v>
      </c>
      <c r="BR73" s="549">
        <f>BR72/Drivers!BR$128</f>
        <v>6.6377021482017864E-2</v>
      </c>
      <c r="BS73" s="549">
        <f>BS72/Drivers!BS$128</f>
        <v>0.10060574137476956</v>
      </c>
      <c r="BT73" s="549">
        <f>BT72/Drivers!BT$128</f>
        <v>0.213986013986014</v>
      </c>
      <c r="BU73" s="549">
        <f>BU72/Drivers!BU$128</f>
        <v>0.24717607973421926</v>
      </c>
      <c r="BV73" s="549">
        <f>BV72/Drivers!BV$128</f>
        <v>0.29754322111010006</v>
      </c>
      <c r="BW73" s="549">
        <f>BW72/Drivers!BW$128</f>
        <v>0.33622291021671824</v>
      </c>
      <c r="BX73" s="549">
        <f>BX72/Drivers!BX$128</f>
        <v>0.35475728155339809</v>
      </c>
      <c r="BY73" s="549">
        <f>BY72/Drivers!BY$128</f>
        <v>0.34585858585858587</v>
      </c>
      <c r="BZ73" s="549">
        <f>BZ72/Drivers!BZ$128</f>
        <v>0.36192884233339351</v>
      </c>
      <c r="CA73" s="549">
        <f>CA72/Drivers!CA$128</f>
        <v>0.39882750044412862</v>
      </c>
      <c r="CB73" s="549">
        <f>CB72/Drivers!CB$128</f>
        <v>0.33525427194071078</v>
      </c>
      <c r="CC73" s="549">
        <f>CC72/Drivers!CC$128</f>
        <v>0.37570960115689001</v>
      </c>
      <c r="CD73" s="549">
        <f>CD72/Drivers!CD$128</f>
        <v>0.37091639321685776</v>
      </c>
      <c r="CE73" s="549">
        <f>CE72/Drivers!CE$128</f>
        <v>0.38298430190353877</v>
      </c>
      <c r="CF73" s="549">
        <f>CF72/Drivers!CF$128</f>
        <v>0.38050179826437208</v>
      </c>
    </row>
    <row r="74" spans="1:84" ht="12.75" customHeight="1">
      <c r="A74" s="586" t="s">
        <v>0</v>
      </c>
      <c r="B74" s="550" t="s">
        <v>17</v>
      </c>
      <c r="C74" s="550">
        <f t="shared" ref="C74:AX74" si="124">C72/B72-1</f>
        <v>-1.4102564102564101</v>
      </c>
      <c r="D74" s="550">
        <f t="shared" si="124"/>
        <v>-8.0357142857142905E-2</v>
      </c>
      <c r="E74" s="550">
        <f t="shared" si="124"/>
        <v>-4.6893203883495147</v>
      </c>
      <c r="F74" s="550">
        <f t="shared" si="124"/>
        <v>-0.28947368421052633</v>
      </c>
      <c r="G74" s="550">
        <f t="shared" si="124"/>
        <v>-1.9925925925925925</v>
      </c>
      <c r="H74" s="550">
        <f t="shared" si="124"/>
        <v>-0.17910447761194026</v>
      </c>
      <c r="I74" s="550">
        <f t="shared" si="124"/>
        <v>-3.1772727272727272</v>
      </c>
      <c r="J74" s="550">
        <f t="shared" si="124"/>
        <v>-0.40709812108559496</v>
      </c>
      <c r="K74" s="550">
        <f t="shared" si="124"/>
        <v>-1.8309859154929577</v>
      </c>
      <c r="L74" s="550">
        <f t="shared" si="124"/>
        <v>-0.96186440677966101</v>
      </c>
      <c r="M74" s="550">
        <f t="shared" si="124"/>
        <v>-42.888888888888886</v>
      </c>
      <c r="N74" s="550">
        <f t="shared" si="124"/>
        <v>-0.33687002652519893</v>
      </c>
      <c r="O74" s="550">
        <f t="shared" si="124"/>
        <v>-1.976</v>
      </c>
      <c r="P74" s="550">
        <f t="shared" si="124"/>
        <v>-1.0327868852459017</v>
      </c>
      <c r="Q74" s="550">
        <f t="shared" si="124"/>
        <v>86.125</v>
      </c>
      <c r="R74" s="550">
        <f t="shared" si="124"/>
        <v>-0.56384505021520803</v>
      </c>
      <c r="S74" s="550">
        <f t="shared" si="124"/>
        <v>-0.98026315789473684</v>
      </c>
      <c r="T74" s="550">
        <f t="shared" si="124"/>
        <v>32.666666666666664</v>
      </c>
      <c r="U74" s="550">
        <f t="shared" si="124"/>
        <v>2.495049504950495</v>
      </c>
      <c r="V74" s="550">
        <f t="shared" si="124"/>
        <v>-0.71388101983002827</v>
      </c>
      <c r="W74" s="550">
        <f t="shared" si="124"/>
        <v>-1.2475247524752475</v>
      </c>
      <c r="X74" s="550">
        <f t="shared" si="124"/>
        <v>-1.7</v>
      </c>
      <c r="Y74" s="550">
        <f t="shared" si="124"/>
        <v>25</v>
      </c>
      <c r="Z74" s="550">
        <f t="shared" si="124"/>
        <v>-0.54615384615384621</v>
      </c>
      <c r="AA74" s="550">
        <f t="shared" si="124"/>
        <v>-1.2663438256658597</v>
      </c>
      <c r="AB74" s="550">
        <f t="shared" si="124"/>
        <v>-2.2818181818181817</v>
      </c>
      <c r="AC74" s="550">
        <f t="shared" si="124"/>
        <v>7.0709219858156036</v>
      </c>
      <c r="AD74" s="550">
        <f t="shared" si="124"/>
        <v>-0.59578207381370829</v>
      </c>
      <c r="AE74" s="550">
        <f t="shared" si="124"/>
        <v>-0.58478260869565224</v>
      </c>
      <c r="AF74" s="550">
        <f t="shared" si="124"/>
        <v>-0.56020942408376961</v>
      </c>
      <c r="AG74" s="550">
        <f t="shared" si="124"/>
        <v>9.5714285714285712</v>
      </c>
      <c r="AH74" s="550">
        <f t="shared" si="124"/>
        <v>-0.25225225225225223</v>
      </c>
      <c r="AI74" s="550">
        <f t="shared" si="124"/>
        <v>-0.76204819277108438</v>
      </c>
      <c r="AJ74" s="550">
        <f t="shared" si="124"/>
        <v>-1.5759493670886076</v>
      </c>
      <c r="AK74" s="550">
        <f t="shared" si="124"/>
        <v>-12.076923076923077</v>
      </c>
      <c r="AL74" s="550">
        <f t="shared" si="124"/>
        <v>-0.36805555555555558</v>
      </c>
      <c r="AM74" s="550">
        <f t="shared" si="124"/>
        <v>-0.70800627943485084</v>
      </c>
      <c r="AN74" s="550">
        <f t="shared" si="124"/>
        <v>-0.45161290322580649</v>
      </c>
      <c r="AO74" s="550">
        <f t="shared" si="124"/>
        <v>10.441176470588236</v>
      </c>
      <c r="AP74" s="550">
        <f t="shared" si="124"/>
        <v>-0.5295629820051414</v>
      </c>
      <c r="AQ74" s="550">
        <f t="shared" si="124"/>
        <v>-0.19489981785063748</v>
      </c>
      <c r="AR74" s="550">
        <f t="shared" si="124"/>
        <v>-0.66289592760180993</v>
      </c>
      <c r="AS74" s="550">
        <f t="shared" si="124"/>
        <v>7.0872483221476514</v>
      </c>
      <c r="AT74" s="550">
        <f t="shared" si="124"/>
        <v>-0.62738589211618256</v>
      </c>
      <c r="AU74" s="550">
        <f t="shared" si="124"/>
        <v>-1.1380846325167038</v>
      </c>
      <c r="AV74" s="550">
        <f t="shared" si="124"/>
        <v>-3.7419354838709675</v>
      </c>
      <c r="AW74" s="550">
        <f t="shared" si="124"/>
        <v>8.8244839286133026</v>
      </c>
      <c r="AX74" s="550">
        <f t="shared" si="124"/>
        <v>-0.67457078751931621</v>
      </c>
      <c r="AY74" s="550">
        <f t="shared" ref="AY74:BF74" si="125">AY72/AX72-1</f>
        <v>-0.40419628709659772</v>
      </c>
      <c r="AZ74" s="550">
        <f t="shared" si="125"/>
        <v>-0.49025967103319545</v>
      </c>
      <c r="BA74" s="550">
        <f t="shared" si="125"/>
        <v>10.060960465175022</v>
      </c>
      <c r="BB74" s="550">
        <f t="shared" si="125"/>
        <v>-0.60588710806330437</v>
      </c>
      <c r="BC74" s="550">
        <f t="shared" si="125"/>
        <v>-0.67281413476129259</v>
      </c>
      <c r="BD74" s="550">
        <f t="shared" si="125"/>
        <v>-0.10429386841339483</v>
      </c>
      <c r="BE74" s="550">
        <f t="shared" si="125"/>
        <v>8.1410316794386759</v>
      </c>
      <c r="BF74" s="550">
        <f t="shared" si="125"/>
        <v>-0.62152289692912122</v>
      </c>
      <c r="BG74" s="550">
        <f t="shared" ref="BG74:BN74" si="126">BG72/BF72-1</f>
        <v>-0.56869472781527497</v>
      </c>
      <c r="BH74" s="550">
        <f t="shared" si="126"/>
        <v>4.6507019493406521E-2</v>
      </c>
      <c r="BI74" s="550">
        <f t="shared" si="126"/>
        <v>5.3267231897500595</v>
      </c>
      <c r="BJ74" s="550">
        <f t="shared" si="126"/>
        <v>-0.62104832483185601</v>
      </c>
      <c r="BK74" s="550">
        <f t="shared" si="126"/>
        <v>-0.56033259559809168</v>
      </c>
      <c r="BL74" s="550">
        <f t="shared" si="126"/>
        <v>-0.27216829405923582</v>
      </c>
      <c r="BM74" s="550">
        <f t="shared" si="126"/>
        <v>7.4227363933967361</v>
      </c>
      <c r="BN74" s="550">
        <f t="shared" si="126"/>
        <v>-0.60216588159420681</v>
      </c>
      <c r="BO74" s="550"/>
      <c r="BP74" s="551" t="s">
        <v>17</v>
      </c>
      <c r="BQ74" s="551" t="s">
        <v>17</v>
      </c>
      <c r="BR74" s="551" t="s">
        <v>17</v>
      </c>
      <c r="BS74" s="551" t="s">
        <v>17</v>
      </c>
      <c r="BT74" s="551" t="s">
        <v>17</v>
      </c>
      <c r="BU74" s="551" t="s">
        <v>17</v>
      </c>
      <c r="BV74" s="551" t="s">
        <v>17</v>
      </c>
      <c r="BW74" s="551" t="s">
        <v>17</v>
      </c>
      <c r="BX74" s="551" t="s">
        <v>17</v>
      </c>
      <c r="BY74" s="551" t="s">
        <v>17</v>
      </c>
      <c r="BZ74" s="551" t="s">
        <v>17</v>
      </c>
      <c r="CA74" s="551" t="s">
        <v>17</v>
      </c>
      <c r="CB74" s="551" t="s">
        <v>17</v>
      </c>
      <c r="CC74" s="551" t="s">
        <v>17</v>
      </c>
      <c r="CD74" s="551" t="s">
        <v>17</v>
      </c>
      <c r="CE74" s="551" t="s">
        <v>17</v>
      </c>
      <c r="CF74" s="551" t="s">
        <v>17</v>
      </c>
    </row>
    <row r="75" spans="1:84" ht="12.75" customHeight="1">
      <c r="A75" s="586" t="s">
        <v>1</v>
      </c>
      <c r="B75" s="550" t="s">
        <v>17</v>
      </c>
      <c r="C75" s="550" t="s">
        <v>17</v>
      </c>
      <c r="D75" s="550" t="s">
        <v>17</v>
      </c>
      <c r="E75" s="550" t="s">
        <v>17</v>
      </c>
      <c r="F75" s="550">
        <f t="shared" ref="F75:AX75" si="127">F72/B72-1</f>
        <v>-1.098901098901095E-2</v>
      </c>
      <c r="G75" s="550">
        <f t="shared" si="127"/>
        <v>1.3928571428571428</v>
      </c>
      <c r="H75" s="550">
        <f t="shared" si="127"/>
        <v>1.1359223300970873</v>
      </c>
      <c r="I75" s="550">
        <f t="shared" si="127"/>
        <v>0.26052631578947372</v>
      </c>
      <c r="J75" s="550">
        <f t="shared" si="127"/>
        <v>5.1851851851851816E-2</v>
      </c>
      <c r="K75" s="550">
        <f t="shared" si="127"/>
        <v>-0.11940298507462688</v>
      </c>
      <c r="L75" s="550">
        <f t="shared" si="127"/>
        <v>-0.95909090909090911</v>
      </c>
      <c r="M75" s="550">
        <f t="shared" si="127"/>
        <v>-0.21294363256784965</v>
      </c>
      <c r="N75" s="550">
        <f t="shared" si="127"/>
        <v>-0.11971830985915488</v>
      </c>
      <c r="O75" s="550">
        <f t="shared" si="127"/>
        <v>3.3898305084745672E-2</v>
      </c>
      <c r="P75" s="550">
        <f t="shared" si="127"/>
        <v>-1.8888888888888888</v>
      </c>
      <c r="Q75" s="550">
        <f t="shared" si="127"/>
        <v>0.8488063660477454</v>
      </c>
      <c r="R75" s="550">
        <f t="shared" si="127"/>
        <v>0.21599999999999997</v>
      </c>
      <c r="S75" s="550">
        <f t="shared" si="127"/>
        <v>-1.0245901639344261</v>
      </c>
      <c r="T75" s="550">
        <f t="shared" si="127"/>
        <v>24.25</v>
      </c>
      <c r="U75" s="550">
        <f t="shared" si="127"/>
        <v>1.2912482065997155E-2</v>
      </c>
      <c r="V75" s="550">
        <f t="shared" si="127"/>
        <v>-0.33552631578947367</v>
      </c>
      <c r="W75" s="550">
        <f t="shared" si="127"/>
        <v>-9.3333333333333339</v>
      </c>
      <c r="X75" s="550">
        <f t="shared" si="127"/>
        <v>-0.8267326732673268</v>
      </c>
      <c r="Y75" s="550">
        <f t="shared" si="127"/>
        <v>0.28895184135977336</v>
      </c>
      <c r="Z75" s="550">
        <f t="shared" si="127"/>
        <v>1.0445544554455446</v>
      </c>
      <c r="AA75" s="550">
        <f t="shared" si="127"/>
        <v>1.2000000000000002</v>
      </c>
      <c r="AB75" s="550">
        <f t="shared" si="127"/>
        <v>3.0285714285714285</v>
      </c>
      <c r="AC75" s="550">
        <f t="shared" si="127"/>
        <v>0.25054945054945055</v>
      </c>
      <c r="AD75" s="550">
        <f t="shared" si="127"/>
        <v>0.11380145278450371</v>
      </c>
      <c r="AE75" s="550">
        <f t="shared" si="127"/>
        <v>-2.7363636363636363</v>
      </c>
      <c r="AF75" s="550">
        <f t="shared" si="127"/>
        <v>-0.4042553191489362</v>
      </c>
      <c r="AG75" s="550">
        <f t="shared" si="127"/>
        <v>-0.21968365553602809</v>
      </c>
      <c r="AH75" s="550">
        <f t="shared" si="127"/>
        <v>0.44347826086956532</v>
      </c>
      <c r="AI75" s="550">
        <f t="shared" si="127"/>
        <v>-0.17277486910994766</v>
      </c>
      <c r="AJ75" s="550">
        <f t="shared" si="127"/>
        <v>-2.083333333333333</v>
      </c>
      <c r="AK75" s="550">
        <f t="shared" si="127"/>
        <v>0.13513513513513509</v>
      </c>
      <c r="AL75" s="550">
        <f t="shared" si="127"/>
        <v>-4.0662650602409589E-2</v>
      </c>
      <c r="AM75" s="550">
        <f t="shared" si="127"/>
        <v>0.17721518987341778</v>
      </c>
      <c r="AN75" s="550">
        <f t="shared" si="127"/>
        <v>-2.1208791208791209</v>
      </c>
      <c r="AO75" s="550">
        <f t="shared" si="127"/>
        <v>0.15773809523809534</v>
      </c>
      <c r="AP75" s="550">
        <f t="shared" si="127"/>
        <v>-0.13814756671899531</v>
      </c>
      <c r="AQ75" s="550">
        <f t="shared" si="127"/>
        <v>1.3763440860215055</v>
      </c>
      <c r="AR75" s="550">
        <f t="shared" si="127"/>
        <v>0.46078431372549011</v>
      </c>
      <c r="AS75" s="550">
        <f t="shared" si="127"/>
        <v>3.2562125107112205E-2</v>
      </c>
      <c r="AT75" s="550">
        <f t="shared" si="127"/>
        <v>-0.18214936247723135</v>
      </c>
      <c r="AU75" s="550">
        <f t="shared" si="127"/>
        <v>-1.1402714932126696</v>
      </c>
      <c r="AV75" s="550">
        <f t="shared" si="127"/>
        <v>0.14093959731543615</v>
      </c>
      <c r="AW75" s="550">
        <f t="shared" si="127"/>
        <v>0.3860267783105904</v>
      </c>
      <c r="AX75" s="550">
        <f t="shared" si="127"/>
        <v>0.21051133974614578</v>
      </c>
      <c r="AY75" s="550">
        <f t="shared" ref="AY75:BF75" si="128">AY72/AU72-1</f>
        <v>-6.2230804948203069</v>
      </c>
      <c r="AZ75" s="550">
        <f t="shared" si="128"/>
        <v>-2.9001672245365762E-2</v>
      </c>
      <c r="BA75" s="550">
        <f t="shared" si="128"/>
        <v>9.3204914689194451E-2</v>
      </c>
      <c r="BB75" s="550">
        <f t="shared" si="128"/>
        <v>0.3239320069741447</v>
      </c>
      <c r="BC75" s="550">
        <f t="shared" si="128"/>
        <v>-0.27296216885227076</v>
      </c>
      <c r="BD75" s="550">
        <f t="shared" si="128"/>
        <v>0.27753722091087774</v>
      </c>
      <c r="BE75" s="550">
        <f t="shared" si="128"/>
        <v>5.5786090618089368E-2</v>
      </c>
      <c r="BF75" s="550">
        <f t="shared" si="128"/>
        <v>1.3899492290262438E-2</v>
      </c>
      <c r="BG75" s="550">
        <f t="shared" ref="BG75:BN75" si="129">BG72/BC72-1</f>
        <v>0.33654978087504417</v>
      </c>
      <c r="BH75" s="550">
        <f t="shared" si="129"/>
        <v>0.56157100890948586</v>
      </c>
      <c r="BI75" s="550">
        <f t="shared" si="129"/>
        <v>8.0800052004164957E-2</v>
      </c>
      <c r="BJ75" s="550">
        <f t="shared" si="129"/>
        <v>8.2155266211952682E-2</v>
      </c>
      <c r="BK75" s="550">
        <f t="shared" si="129"/>
        <v>0.10313605638349022</v>
      </c>
      <c r="BL75" s="550">
        <f t="shared" si="129"/>
        <v>-0.23278355247819582</v>
      </c>
      <c r="BM75" s="550">
        <f t="shared" si="129"/>
        <v>2.1391595672094699E-2</v>
      </c>
      <c r="BN75" s="550">
        <f t="shared" si="129"/>
        <v>7.2285601669383803E-2</v>
      </c>
      <c r="BO75" s="550"/>
      <c r="BP75" s="551" t="s">
        <v>17</v>
      </c>
      <c r="BQ75" s="551">
        <f t="shared" ref="BQ75:CF75" si="130">BQ72/BP72-1</f>
        <v>0.80497925311203322</v>
      </c>
      <c r="BR75" s="551">
        <f t="shared" si="130"/>
        <v>-0.36781609195402298</v>
      </c>
      <c r="BS75" s="551">
        <f t="shared" si="130"/>
        <v>0.38909090909090915</v>
      </c>
      <c r="BT75" s="551">
        <f t="shared" si="130"/>
        <v>1.0026178010471205</v>
      </c>
      <c r="BU75" s="551">
        <f t="shared" si="130"/>
        <v>0.45882352941176463</v>
      </c>
      <c r="BV75" s="551">
        <f t="shared" si="130"/>
        <v>0.17204301075268824</v>
      </c>
      <c r="BW75" s="551">
        <f t="shared" si="130"/>
        <v>0.24541284403669716</v>
      </c>
      <c r="BX75" s="551">
        <f t="shared" si="130"/>
        <v>0.12154696132596676</v>
      </c>
      <c r="BY75" s="551">
        <f t="shared" si="130"/>
        <v>-6.294471811713187E-2</v>
      </c>
      <c r="BZ75" s="551">
        <f t="shared" si="130"/>
        <v>0.17056074766355134</v>
      </c>
      <c r="CA75" s="551">
        <f t="shared" si="130"/>
        <v>0.12025948103792405</v>
      </c>
      <c r="CB75" s="551">
        <f t="shared" si="130"/>
        <v>3.4156730249568446E-2</v>
      </c>
      <c r="CC75" s="551">
        <f t="shared" si="130"/>
        <v>0.30694620252183391</v>
      </c>
      <c r="CD75" s="551">
        <f t="shared" si="130"/>
        <v>2.2831233170444332E-2</v>
      </c>
      <c r="CE75" s="551">
        <f t="shared" si="130"/>
        <v>0.13318714219528194</v>
      </c>
      <c r="CF75" s="551">
        <f t="shared" si="130"/>
        <v>1.6331211877175456E-2</v>
      </c>
    </row>
    <row r="76" spans="1:84" ht="12.75" customHeight="1">
      <c r="A76" s="566"/>
      <c r="B76" s="326"/>
      <c r="C76" s="326"/>
      <c r="D76" s="326"/>
      <c r="E76" s="326"/>
      <c r="F76" s="326"/>
      <c r="G76" s="326"/>
      <c r="H76" s="326"/>
      <c r="I76" s="326"/>
      <c r="J76" s="326"/>
      <c r="K76" s="326"/>
      <c r="L76" s="326"/>
      <c r="M76" s="326"/>
      <c r="N76" s="326"/>
      <c r="O76" s="326"/>
      <c r="P76" s="326"/>
      <c r="Q76" s="326"/>
      <c r="R76" s="326"/>
      <c r="S76" s="326"/>
      <c r="T76" s="326"/>
      <c r="U76" s="326"/>
      <c r="V76" s="326"/>
      <c r="W76" s="326"/>
      <c r="X76" s="326"/>
      <c r="Y76" s="326"/>
      <c r="Z76" s="326"/>
      <c r="AA76" s="326"/>
      <c r="AB76" s="326"/>
      <c r="AC76" s="326"/>
      <c r="AD76" s="326"/>
      <c r="AE76" s="326"/>
      <c r="AF76" s="326"/>
      <c r="AG76" s="326"/>
      <c r="AH76" s="326"/>
      <c r="AI76" s="326"/>
      <c r="AJ76" s="326"/>
      <c r="AK76" s="326"/>
      <c r="AL76" s="326"/>
      <c r="AM76" s="326"/>
      <c r="AN76" s="326"/>
      <c r="AO76" s="326"/>
      <c r="AP76" s="326"/>
      <c r="AQ76" s="326"/>
      <c r="AR76" s="326"/>
      <c r="AS76" s="326"/>
      <c r="AT76" s="326"/>
      <c r="AU76" s="326"/>
      <c r="AV76" s="326"/>
      <c r="AW76" s="326"/>
      <c r="AX76" s="326"/>
      <c r="AY76" s="326"/>
      <c r="AZ76" s="326"/>
      <c r="BA76" s="326"/>
      <c r="BB76" s="326"/>
      <c r="BC76" s="326"/>
      <c r="BD76" s="326"/>
      <c r="BE76" s="326"/>
      <c r="BF76" s="326"/>
      <c r="BG76" s="326"/>
      <c r="BH76" s="326"/>
      <c r="BI76" s="326"/>
      <c r="BJ76" s="326"/>
      <c r="BK76" s="326"/>
      <c r="BL76" s="326"/>
      <c r="BM76" s="326"/>
      <c r="BN76" s="326"/>
      <c r="BO76" s="326"/>
      <c r="BP76" s="341"/>
      <c r="BQ76" s="341"/>
      <c r="BR76" s="341"/>
      <c r="BS76" s="341"/>
      <c r="BT76" s="341"/>
      <c r="BU76" s="341"/>
      <c r="BV76" s="341"/>
      <c r="BW76" s="341"/>
      <c r="BX76" s="341"/>
      <c r="BY76" s="341"/>
      <c r="BZ76" s="341"/>
      <c r="CA76" s="341"/>
      <c r="CB76" s="341"/>
      <c r="CC76" s="341"/>
      <c r="CD76" s="341"/>
      <c r="CE76" s="341"/>
      <c r="CF76" s="341"/>
    </row>
    <row r="77" spans="1:84" s="565" customFormat="1" ht="12.75" customHeight="1">
      <c r="A77" s="562" t="s">
        <v>477</v>
      </c>
      <c r="B77" s="573">
        <f>B48+Debt!B19</f>
        <v>231</v>
      </c>
      <c r="C77" s="573">
        <f>C48+Debt!C19</f>
        <v>-159</v>
      </c>
      <c r="D77" s="573">
        <f>D48+Debt!D19</f>
        <v>-146</v>
      </c>
      <c r="E77" s="573">
        <f>E48+Debt!E19</f>
        <v>334</v>
      </c>
      <c r="F77" s="573">
        <f>F48+Debt!F19</f>
        <v>232</v>
      </c>
      <c r="G77" s="573">
        <f>G48+Debt!G19</f>
        <v>-306</v>
      </c>
      <c r="H77" s="573">
        <f>H48+Debt!H19</f>
        <v>-263.49593750000003</v>
      </c>
      <c r="I77" s="587">
        <f>I48+Debt!I30</f>
        <v>425.00343750000002</v>
      </c>
      <c r="J77" s="587">
        <f>J48+Debt!J30</f>
        <v>236.99406250000001</v>
      </c>
      <c r="K77" s="587">
        <f>K48+Debt!K30</f>
        <v>-281.01531249999999</v>
      </c>
      <c r="L77" s="587">
        <f>L48+Debt!L30</f>
        <v>-61.024687499999999</v>
      </c>
      <c r="M77" s="587">
        <f>M48+Debt!M30</f>
        <v>331.9659375</v>
      </c>
      <c r="N77" s="587">
        <f>N48+Debt!N30</f>
        <v>201.95656249999999</v>
      </c>
      <c r="O77" s="587">
        <f>O48+Debt!O30</f>
        <v>-283.05281250000002</v>
      </c>
      <c r="P77" s="587">
        <f>P48+Debt!P30</f>
        <v>-36.063124999999999</v>
      </c>
      <c r="Q77" s="587">
        <f>Q48+Debt!Q30</f>
        <v>649.92656250000005</v>
      </c>
      <c r="R77" s="587">
        <f>R48+Debt!R30</f>
        <v>258.91718750000001</v>
      </c>
      <c r="S77" s="587">
        <f>S48+Debt!S30</f>
        <v>-29.093125000000001</v>
      </c>
      <c r="T77" s="587">
        <f>T48+Debt!T30</f>
        <v>154.89656249999999</v>
      </c>
      <c r="U77" s="587">
        <f>U48+Debt!U30</f>
        <v>660.88718749999998</v>
      </c>
      <c r="V77" s="587">
        <f>V48+Debt!V30</f>
        <v>159.29860750390625</v>
      </c>
      <c r="W77" s="587">
        <f>W48+Debt!W30</f>
        <v>-101.77522966811192</v>
      </c>
      <c r="X77" s="587">
        <f>X48+Debt!X30</f>
        <v>-20.963226205286325</v>
      </c>
      <c r="Y77" s="587">
        <f>Y48+Debt!Y30</f>
        <v>862.29646129471371</v>
      </c>
      <c r="Z77" s="587">
        <f>Z48+Debt!Z30</f>
        <v>358.51735332768072</v>
      </c>
      <c r="AA77" s="587">
        <f>AA48+Debt!AA30</f>
        <v>-170.50937620528632</v>
      </c>
      <c r="AB77" s="587">
        <f>AB48+Debt!AB30</f>
        <v>82.633780647356843</v>
      </c>
      <c r="AC77" s="587">
        <f>AC48+Debt!AC30</f>
        <v>1079.7535</v>
      </c>
      <c r="AD77" s="587">
        <f>AD48+Debt!AD30</f>
        <v>397.75349999999997</v>
      </c>
      <c r="AE77" s="587">
        <f>AE48+Debt!AE30</f>
        <v>132.74832499999999</v>
      </c>
      <c r="AF77" s="587">
        <f>AF48+Debt!AF30</f>
        <v>11.74315</v>
      </c>
      <c r="AG77" s="587">
        <f>AG48+Debt!AG30</f>
        <v>814.73797500000001</v>
      </c>
      <c r="AH77" s="587">
        <f>AH48+Debt!AH30</f>
        <v>584.7328</v>
      </c>
      <c r="AI77" s="587">
        <f>AI48+Debt!AI30</f>
        <v>77.727625000000003</v>
      </c>
      <c r="AJ77" s="587">
        <f>AJ48+Debt!AJ30</f>
        <v>-167.27754999999999</v>
      </c>
      <c r="AK77" s="587">
        <f>AK48+Debt!AK30</f>
        <v>922.71727499999997</v>
      </c>
      <c r="AL77" s="587">
        <f>AL48+Debt!AL30</f>
        <v>553.71209999999996</v>
      </c>
      <c r="AM77" s="587">
        <f>AM48+Debt!AM30</f>
        <v>102.706925</v>
      </c>
      <c r="AN77" s="587">
        <f>AN48+Debt!AN30</f>
        <v>-0.29824999999999946</v>
      </c>
      <c r="AO77" s="587">
        <f>AO48+Debt!AO30</f>
        <v>1065.7017499999999</v>
      </c>
      <c r="AP77" s="587">
        <f>AP48+Debt!AP30</f>
        <v>450.23483750000003</v>
      </c>
      <c r="AQ77" s="587">
        <f>AQ48+Debt!AQ30</f>
        <v>334.76792499999999</v>
      </c>
      <c r="AR77" s="587">
        <f>AR48+Debt!AR30</f>
        <v>30.094049999999999</v>
      </c>
      <c r="AS77" s="587">
        <f>AS48+Debt!AS30</f>
        <v>1088.0940499999999</v>
      </c>
      <c r="AT77" s="587">
        <f>AT48+Debt!AT30</f>
        <v>326.33872500000001</v>
      </c>
      <c r="AU77" s="587">
        <f>AU48+Debt!AU30</f>
        <v>-206.421775</v>
      </c>
      <c r="AV77" s="587">
        <f>AV48+Debt!AV30</f>
        <v>1.5730500000000021</v>
      </c>
      <c r="AW77" s="587">
        <f>AW48+Debt!AW30</f>
        <v>1515.4872826559281</v>
      </c>
      <c r="AX77" s="587">
        <f>AX48+Debt!AX30</f>
        <v>355.72704823882071</v>
      </c>
      <c r="AY77" s="587">
        <f>AY48+Debt!AY30</f>
        <v>170.49188821395518</v>
      </c>
      <c r="AZ77" s="587">
        <f>AZ48+Debt!AZ30</f>
        <v>-19.752711698380281</v>
      </c>
      <c r="BA77" s="587">
        <f>BA48+Debt!BA30</f>
        <v>1651.4672282100548</v>
      </c>
      <c r="BB77" s="587">
        <f>BB48+Debt!BB30</f>
        <v>535.78192114007629</v>
      </c>
      <c r="BC77" s="587">
        <f>BC48+Debt!BC19</f>
        <v>104.33440813789906</v>
      </c>
      <c r="BD77" s="587">
        <f>BD48+Debt!BD19</f>
        <v>39.543087262466564</v>
      </c>
      <c r="BE77" s="587">
        <f>BE48+Debt!BE19</f>
        <v>1772.012351914994</v>
      </c>
      <c r="BF77" s="587">
        <f>BF48+Debt!BF19</f>
        <v>561.54302786455457</v>
      </c>
      <c r="BG77" s="587">
        <f>BG48+Debt!BG19</f>
        <v>180.17745866883286</v>
      </c>
      <c r="BH77" s="587">
        <f>BH48+Debt!BH19</f>
        <v>122.76384323252606</v>
      </c>
      <c r="BI77" s="587">
        <f>BI48+Debt!BI19</f>
        <v>1916.8221509377004</v>
      </c>
      <c r="BJ77" s="587">
        <f>BJ48+Debt!BJ19</f>
        <v>612.17372352038308</v>
      </c>
      <c r="BK77" s="587">
        <f>BK48+Debt!BK19</f>
        <v>206.68002665562753</v>
      </c>
      <c r="BL77" s="587">
        <f>BL48+Debt!BL19</f>
        <v>67.206689505375053</v>
      </c>
      <c r="BM77" s="587">
        <f>BM48+Debt!BM19</f>
        <v>1957.9105830464941</v>
      </c>
      <c r="BN77" s="587">
        <f>BN48+Debt!BN19</f>
        <v>663.03333248251056</v>
      </c>
      <c r="BO77" s="587"/>
      <c r="BP77" s="573">
        <f>BP48+Debt!BP30</f>
        <v>80</v>
      </c>
      <c r="BQ77" s="573">
        <f>BQ48+Debt!BQ30</f>
        <v>261</v>
      </c>
      <c r="BR77" s="573">
        <f>BR48+Debt!BR30</f>
        <v>88.501562500000006</v>
      </c>
      <c r="BS77" s="573">
        <f>BS48+Debt!BS30</f>
        <v>191.88249999999999</v>
      </c>
      <c r="BT77" s="573">
        <f>BT48+Debt!BT30</f>
        <v>589.72781250000003</v>
      </c>
      <c r="BU77" s="573">
        <f>BU48+Debt!BU30</f>
        <v>945.98923250390624</v>
      </c>
      <c r="BV77" s="573">
        <f>BV48+Debt!BV30</f>
        <v>1098.0753587489962</v>
      </c>
      <c r="BW77" s="573">
        <f>BW48+Debt!BW30</f>
        <v>1389.6314044420706</v>
      </c>
      <c r="BX77" s="573">
        <f>BX48+Debt!BX30</f>
        <v>1543.96225</v>
      </c>
      <c r="BY77" s="573">
        <f>BY48+Debt!BY19</f>
        <v>1428</v>
      </c>
      <c r="BZ77" s="573">
        <f>BZ48+Debt!BZ19</f>
        <v>1656.4384375</v>
      </c>
      <c r="CA77" s="573">
        <f>CA48+Debt!CA19</f>
        <v>1804.3843750000001</v>
      </c>
      <c r="CB77" s="573">
        <f>CB48+Debt!CB19</f>
        <v>1744.0682308947489</v>
      </c>
      <c r="CC77" s="573">
        <f>CC48+Debt!CC19</f>
        <v>2415.6961258657061</v>
      </c>
      <c r="CD77" s="573">
        <f>CD48+Debt!CD19</f>
        <v>2477.4328751799144</v>
      </c>
      <c r="CE77" s="573">
        <f>CE48+Debt!CE19</f>
        <v>2831.9371763594427</v>
      </c>
      <c r="CF77" s="573">
        <f>CF48+Debt!CF19</f>
        <v>2894.8306316900075</v>
      </c>
    </row>
    <row r="78" spans="1:84" ht="12.75" customHeight="1">
      <c r="A78" s="586" t="s">
        <v>0</v>
      </c>
      <c r="B78" s="550" t="s">
        <v>17</v>
      </c>
      <c r="C78" s="550">
        <f t="shared" ref="C78:AH78" si="131">C77/B77-1</f>
        <v>-1.6883116883116882</v>
      </c>
      <c r="D78" s="550">
        <f t="shared" si="131"/>
        <v>-8.1761006289308158E-2</v>
      </c>
      <c r="E78" s="550">
        <f t="shared" si="131"/>
        <v>-3.2876712328767121</v>
      </c>
      <c r="F78" s="550">
        <f t="shared" si="131"/>
        <v>-0.30538922155688619</v>
      </c>
      <c r="G78" s="550">
        <f t="shared" si="131"/>
        <v>-2.318965517241379</v>
      </c>
      <c r="H78" s="550">
        <f t="shared" si="131"/>
        <v>-0.1389021650326796</v>
      </c>
      <c r="I78" s="550">
        <f t="shared" si="131"/>
        <v>-2.6129411387983925</v>
      </c>
      <c r="J78" s="550">
        <f t="shared" si="131"/>
        <v>-0.44237142199585144</v>
      </c>
      <c r="K78" s="550">
        <f t="shared" si="131"/>
        <v>-2.1857483243910383</v>
      </c>
      <c r="L78" s="550">
        <f t="shared" si="131"/>
        <v>-0.78284212715276857</v>
      </c>
      <c r="M78" s="550">
        <f t="shared" si="131"/>
        <v>-6.4398629652958075</v>
      </c>
      <c r="N78" s="550">
        <f t="shared" si="131"/>
        <v>-0.3916346839048811</v>
      </c>
      <c r="O78" s="550">
        <f t="shared" si="131"/>
        <v>-2.4015529329481433</v>
      </c>
      <c r="P78" s="550">
        <f t="shared" si="131"/>
        <v>-0.8725922393016321</v>
      </c>
      <c r="Q78" s="550">
        <f t="shared" si="131"/>
        <v>-19.021914698185476</v>
      </c>
      <c r="R78" s="550">
        <f t="shared" si="131"/>
        <v>-0.60162085620250361</v>
      </c>
      <c r="S78" s="550">
        <f t="shared" si="131"/>
        <v>-1.1123645953399675</v>
      </c>
      <c r="T78" s="550">
        <f t="shared" si="131"/>
        <v>-6.3241637843992349</v>
      </c>
      <c r="U78" s="550">
        <f t="shared" si="131"/>
        <v>3.2666355975459433</v>
      </c>
      <c r="V78" s="550">
        <f t="shared" si="131"/>
        <v>-0.75896248177166203</v>
      </c>
      <c r="W78" s="550">
        <f t="shared" si="131"/>
        <v>-1.6388959154311267</v>
      </c>
      <c r="X78" s="550">
        <f t="shared" si="131"/>
        <v>-0.79402428003702652</v>
      </c>
      <c r="Y78" s="550">
        <f t="shared" si="131"/>
        <v>-42.133766952210209</v>
      </c>
      <c r="Z78" s="550">
        <f t="shared" si="131"/>
        <v>-0.58422958991461349</v>
      </c>
      <c r="AA78" s="550">
        <f t="shared" si="131"/>
        <v>-1.4755958801510027</v>
      </c>
      <c r="AB78" s="550">
        <f t="shared" si="131"/>
        <v>-1.484628954057454</v>
      </c>
      <c r="AC78" s="550">
        <f t="shared" si="131"/>
        <v>12.066732413078059</v>
      </c>
      <c r="AD78" s="550">
        <f t="shared" si="131"/>
        <v>-0.63162564418638145</v>
      </c>
      <c r="AE78" s="550">
        <f t="shared" si="131"/>
        <v>-0.66625479096978402</v>
      </c>
      <c r="AF78" s="550">
        <f t="shared" si="131"/>
        <v>-0.91153824351456036</v>
      </c>
      <c r="AG78" s="550">
        <f t="shared" si="131"/>
        <v>68.379849103519931</v>
      </c>
      <c r="AH78" s="550">
        <f t="shared" si="131"/>
        <v>-0.28230570079908202</v>
      </c>
      <c r="AI78" s="550">
        <f t="shared" ref="AI78:BN78" si="132">AI77/AH77-1</f>
        <v>-0.86707154960351118</v>
      </c>
      <c r="AJ78" s="550">
        <f t="shared" si="132"/>
        <v>-3.1520990767439501</v>
      </c>
      <c r="AK78" s="550">
        <f t="shared" si="132"/>
        <v>-6.5160855416641388</v>
      </c>
      <c r="AL78" s="550">
        <f t="shared" si="132"/>
        <v>-0.39991141923727402</v>
      </c>
      <c r="AM78" s="550">
        <f t="shared" si="132"/>
        <v>-0.81451204515848574</v>
      </c>
      <c r="AN78" s="550">
        <f t="shared" si="132"/>
        <v>-1.0029038937734724</v>
      </c>
      <c r="AO78" s="550">
        <f t="shared" si="132"/>
        <v>-3574.1827326068797</v>
      </c>
      <c r="AP78" s="550">
        <f t="shared" si="132"/>
        <v>-0.57752266288386966</v>
      </c>
      <c r="AQ78" s="550">
        <f t="shared" si="132"/>
        <v>-0.25645930275219986</v>
      </c>
      <c r="AR78" s="550">
        <f t="shared" si="132"/>
        <v>-0.91010473897700916</v>
      </c>
      <c r="AS78" s="550">
        <f t="shared" si="132"/>
        <v>35.156451192179183</v>
      </c>
      <c r="AT78" s="550">
        <f t="shared" si="132"/>
        <v>-0.70008224472875291</v>
      </c>
      <c r="AU78" s="550">
        <f t="shared" si="132"/>
        <v>-1.6325384000933387</v>
      </c>
      <c r="AV78" s="550">
        <f t="shared" si="132"/>
        <v>-1.0076205623171295</v>
      </c>
      <c r="AW78" s="550">
        <f t="shared" si="132"/>
        <v>962.40693725941708</v>
      </c>
      <c r="AX78" s="550">
        <f t="shared" si="132"/>
        <v>-0.76527216538867915</v>
      </c>
      <c r="AY78" s="550">
        <f t="shared" si="132"/>
        <v>-0.52072273093078425</v>
      </c>
      <c r="AZ78" s="550">
        <f t="shared" si="132"/>
        <v>-1.1158571935903017</v>
      </c>
      <c r="BA78" s="550">
        <f t="shared" si="132"/>
        <v>-84.607114477627633</v>
      </c>
      <c r="BB78" s="550">
        <f t="shared" si="132"/>
        <v>-0.67557217485884702</v>
      </c>
      <c r="BC78" s="550">
        <f t="shared" si="132"/>
        <v>-0.80526702372508463</v>
      </c>
      <c r="BD78" s="550">
        <f t="shared" si="132"/>
        <v>-0.6209966781984102</v>
      </c>
      <c r="BE78" s="550">
        <f t="shared" si="132"/>
        <v>43.81219031162874</v>
      </c>
      <c r="BF78" s="550">
        <f t="shared" si="132"/>
        <v>-0.68310433769962087</v>
      </c>
      <c r="BG78" s="550">
        <f t="shared" si="132"/>
        <v>-0.67913864169231197</v>
      </c>
      <c r="BH78" s="550">
        <f t="shared" si="132"/>
        <v>-0.31865037869045165</v>
      </c>
      <c r="BI78" s="550">
        <f t="shared" si="132"/>
        <v>14.613898200523604</v>
      </c>
      <c r="BJ78" s="550">
        <f t="shared" si="132"/>
        <v>-0.68063092174675122</v>
      </c>
      <c r="BK78" s="550">
        <f t="shared" si="132"/>
        <v>-0.66238337466187258</v>
      </c>
      <c r="BL78" s="550">
        <f t="shared" si="132"/>
        <v>-0.67482736192329051</v>
      </c>
      <c r="BM78" s="550">
        <f t="shared" si="132"/>
        <v>28.132674105155925</v>
      </c>
      <c r="BN78" s="550">
        <f t="shared" si="132"/>
        <v>-0.6613566838936864</v>
      </c>
      <c r="BO78" s="550"/>
      <c r="BP78" s="551" t="s">
        <v>17</v>
      </c>
      <c r="BQ78" s="551" t="s">
        <v>17</v>
      </c>
      <c r="BR78" s="551" t="s">
        <v>17</v>
      </c>
      <c r="BS78" s="551" t="s">
        <v>17</v>
      </c>
      <c r="BT78" s="551" t="s">
        <v>17</v>
      </c>
      <c r="BU78" s="551" t="s">
        <v>17</v>
      </c>
      <c r="BV78" s="551" t="s">
        <v>17</v>
      </c>
      <c r="BW78" s="551" t="s">
        <v>17</v>
      </c>
      <c r="BX78" s="551" t="s">
        <v>17</v>
      </c>
      <c r="BY78" s="551" t="s">
        <v>17</v>
      </c>
      <c r="BZ78" s="551" t="s">
        <v>17</v>
      </c>
      <c r="CA78" s="551" t="s">
        <v>17</v>
      </c>
      <c r="CB78" s="551" t="s">
        <v>17</v>
      </c>
      <c r="CC78" s="551" t="s">
        <v>17</v>
      </c>
      <c r="CD78" s="551" t="s">
        <v>17</v>
      </c>
      <c r="CE78" s="551" t="s">
        <v>17</v>
      </c>
      <c r="CF78" s="551" t="s">
        <v>17</v>
      </c>
    </row>
    <row r="79" spans="1:84" ht="12.75" customHeight="1">
      <c r="A79" s="586" t="s">
        <v>1</v>
      </c>
      <c r="B79" s="550" t="s">
        <v>17</v>
      </c>
      <c r="C79" s="550" t="s">
        <v>17</v>
      </c>
      <c r="D79" s="550" t="s">
        <v>17</v>
      </c>
      <c r="E79" s="550" t="s">
        <v>17</v>
      </c>
      <c r="F79" s="550">
        <f t="shared" ref="F79:AK79" si="133">F77/B77-1</f>
        <v>4.3290043290042934E-3</v>
      </c>
      <c r="G79" s="550">
        <f t="shared" si="133"/>
        <v>0.92452830188679247</v>
      </c>
      <c r="H79" s="550">
        <f t="shared" si="133"/>
        <v>0.80476669520547972</v>
      </c>
      <c r="I79" s="550">
        <f t="shared" si="133"/>
        <v>0.27246538173652701</v>
      </c>
      <c r="J79" s="550">
        <f t="shared" si="133"/>
        <v>2.1526131465517295E-2</v>
      </c>
      <c r="K79" s="550">
        <f t="shared" si="133"/>
        <v>-8.1649305555555607E-2</v>
      </c>
      <c r="L79" s="550">
        <f t="shared" si="133"/>
        <v>-0.76840368743825516</v>
      </c>
      <c r="M79" s="550">
        <f t="shared" si="133"/>
        <v>-0.21890999411034184</v>
      </c>
      <c r="N79" s="550">
        <f t="shared" si="133"/>
        <v>-0.14784125657156499</v>
      </c>
      <c r="O79" s="550">
        <f t="shared" si="133"/>
        <v>7.2504945793656628E-3</v>
      </c>
      <c r="P79" s="550">
        <f t="shared" si="133"/>
        <v>-0.40904039860916941</v>
      </c>
      <c r="Q79" s="550">
        <f t="shared" si="133"/>
        <v>0.95781099529225067</v>
      </c>
      <c r="R79" s="550">
        <f t="shared" si="133"/>
        <v>0.28204394199866623</v>
      </c>
      <c r="S79" s="550">
        <f t="shared" si="133"/>
        <v>-0.89721661924839557</v>
      </c>
      <c r="T79" s="550">
        <f t="shared" si="133"/>
        <v>-5.2951508639364997</v>
      </c>
      <c r="U79" s="550">
        <f t="shared" si="133"/>
        <v>1.6864405353489431E-2</v>
      </c>
      <c r="V79" s="550">
        <f t="shared" si="133"/>
        <v>-0.3847507419571895</v>
      </c>
      <c r="W79" s="550">
        <f t="shared" si="133"/>
        <v>2.4982570510425375</v>
      </c>
      <c r="X79" s="550">
        <f t="shared" si="133"/>
        <v>-1.1353369362556791</v>
      </c>
      <c r="Y79" s="550">
        <f t="shared" si="133"/>
        <v>0.30475590630921978</v>
      </c>
      <c r="Z79" s="550">
        <f t="shared" si="133"/>
        <v>1.2505994179446254</v>
      </c>
      <c r="AA79" s="550">
        <f t="shared" si="133"/>
        <v>0.67535240904211968</v>
      </c>
      <c r="AB79" s="550">
        <f t="shared" si="133"/>
        <v>-4.9418446301227705</v>
      </c>
      <c r="AC79" s="550">
        <f t="shared" si="133"/>
        <v>0.2521836148773946</v>
      </c>
      <c r="AD79" s="550">
        <f t="shared" si="133"/>
        <v>0.10944002098681649</v>
      </c>
      <c r="AE79" s="550">
        <f t="shared" si="133"/>
        <v>-1.7785397375460246</v>
      </c>
      <c r="AF79" s="550">
        <f t="shared" si="133"/>
        <v>-0.85788923236957548</v>
      </c>
      <c r="AG79" s="550">
        <f t="shared" si="133"/>
        <v>-0.2454407649523711</v>
      </c>
      <c r="AH79" s="550">
        <f t="shared" si="133"/>
        <v>0.47008838388599994</v>
      </c>
      <c r="AI79" s="550">
        <f t="shared" si="133"/>
        <v>-0.41447377961266174</v>
      </c>
      <c r="AJ79" s="550">
        <f t="shared" si="133"/>
        <v>-15.244691586158739</v>
      </c>
      <c r="AK79" s="550">
        <f t="shared" si="133"/>
        <v>0.13253254827111749</v>
      </c>
      <c r="AL79" s="550">
        <f t="shared" ref="AL79:BN79" si="134">AL77/AH77-1</f>
        <v>-5.3051068795867184E-2</v>
      </c>
      <c r="AM79" s="550">
        <f t="shared" si="134"/>
        <v>0.32136965461121436</v>
      </c>
      <c r="AN79" s="550">
        <f t="shared" si="134"/>
        <v>-0.99821703510124338</v>
      </c>
      <c r="AO79" s="550">
        <f t="shared" si="134"/>
        <v>0.15496022332517834</v>
      </c>
      <c r="AP79" s="550">
        <f t="shared" si="134"/>
        <v>-0.18687917872844018</v>
      </c>
      <c r="AQ79" s="550">
        <f t="shared" si="134"/>
        <v>2.2594484257025513</v>
      </c>
      <c r="AR79" s="550">
        <f t="shared" si="134"/>
        <v>-101.90209555741845</v>
      </c>
      <c r="AS79" s="550">
        <f t="shared" si="134"/>
        <v>2.101178871105347E-2</v>
      </c>
      <c r="AT79" s="550">
        <f t="shared" si="134"/>
        <v>-0.27518108813603304</v>
      </c>
      <c r="AU79" s="550">
        <f t="shared" si="134"/>
        <v>-1.6166115675508639</v>
      </c>
      <c r="AV79" s="550">
        <f t="shared" si="134"/>
        <v>-0.94772886999257322</v>
      </c>
      <c r="AW79" s="550">
        <f t="shared" si="134"/>
        <v>0.3927907083546025</v>
      </c>
      <c r="AX79" s="550">
        <f t="shared" si="134"/>
        <v>9.0054660962534339E-2</v>
      </c>
      <c r="AY79" s="550">
        <f t="shared" si="134"/>
        <v>-1.8259394543717842</v>
      </c>
      <c r="AZ79" s="550">
        <f t="shared" si="134"/>
        <v>-13.556950954121138</v>
      </c>
      <c r="BA79" s="550">
        <f t="shared" si="134"/>
        <v>8.9726880001143039E-2</v>
      </c>
      <c r="BB79" s="550">
        <f t="shared" si="134"/>
        <v>0.50616019724306716</v>
      </c>
      <c r="BC79" s="550">
        <f t="shared" si="134"/>
        <v>-0.38803887251828184</v>
      </c>
      <c r="BD79" s="550">
        <f t="shared" si="134"/>
        <v>-3.0019067693732953</v>
      </c>
      <c r="BE79" s="550">
        <f t="shared" si="134"/>
        <v>7.2992743450072783E-2</v>
      </c>
      <c r="BF79" s="550">
        <f t="shared" si="134"/>
        <v>4.8081328816884872E-2</v>
      </c>
      <c r="BG79" s="550">
        <f t="shared" si="134"/>
        <v>0.72692270828518857</v>
      </c>
      <c r="BH79" s="550">
        <f t="shared" si="134"/>
        <v>2.1045588933833907</v>
      </c>
      <c r="BI79" s="550">
        <f t="shared" si="134"/>
        <v>8.1720535901576463E-2</v>
      </c>
      <c r="BJ79" s="550">
        <f t="shared" si="134"/>
        <v>9.01635193448449E-2</v>
      </c>
      <c r="BK79" s="550">
        <f t="shared" si="134"/>
        <v>0.14709147405340284</v>
      </c>
      <c r="BL79" s="550">
        <f t="shared" si="134"/>
        <v>-0.45255306663803796</v>
      </c>
      <c r="BM79" s="550">
        <f t="shared" si="134"/>
        <v>2.143570392730143E-2</v>
      </c>
      <c r="BN79" s="550">
        <f t="shared" si="134"/>
        <v>8.3080352860708917E-2</v>
      </c>
      <c r="BO79" s="550"/>
      <c r="BP79" s="551" t="s">
        <v>17</v>
      </c>
      <c r="BQ79" s="551">
        <f t="shared" ref="BQ79:CF79" si="135">BQ77/BP77-1</f>
        <v>2.2625000000000002</v>
      </c>
      <c r="BR79" s="551">
        <f t="shared" si="135"/>
        <v>-0.66091355363984672</v>
      </c>
      <c r="BS79" s="551">
        <f t="shared" si="135"/>
        <v>1.1681255627548945</v>
      </c>
      <c r="BT79" s="551">
        <f t="shared" si="135"/>
        <v>2.0733798678879003</v>
      </c>
      <c r="BU79" s="551">
        <f t="shared" si="135"/>
        <v>0.60411161293822513</v>
      </c>
      <c r="BV79" s="551">
        <f t="shared" si="135"/>
        <v>0.16076940521039385</v>
      </c>
      <c r="BW79" s="551">
        <f t="shared" si="135"/>
        <v>0.2655155161893763</v>
      </c>
      <c r="BX79" s="551">
        <f t="shared" si="135"/>
        <v>0.1110588355045794</v>
      </c>
      <c r="BY79" s="551">
        <f t="shared" si="135"/>
        <v>-7.5106920522182485E-2</v>
      </c>
      <c r="BZ79" s="551">
        <f t="shared" si="135"/>
        <v>0.15997089460784308</v>
      </c>
      <c r="CA79" s="551">
        <f t="shared" si="135"/>
        <v>8.9315687290672408E-2</v>
      </c>
      <c r="CB79" s="551">
        <f t="shared" si="135"/>
        <v>-3.3427547334669794E-2</v>
      </c>
      <c r="CC79" s="551">
        <f t="shared" si="135"/>
        <v>0.38509267187694607</v>
      </c>
      <c r="CD79" s="551">
        <f t="shared" si="135"/>
        <v>2.5556504666779611E-2</v>
      </c>
      <c r="CE79" s="551">
        <f t="shared" si="135"/>
        <v>0.14309340314771757</v>
      </c>
      <c r="CF79" s="551">
        <f t="shared" si="135"/>
        <v>2.2208633671533917E-2</v>
      </c>
    </row>
    <row r="80" spans="1:84" ht="12.75" customHeight="1">
      <c r="A80" s="586"/>
      <c r="B80" s="550"/>
      <c r="C80" s="550"/>
      <c r="D80" s="550"/>
      <c r="E80" s="550"/>
      <c r="F80" s="550"/>
      <c r="G80" s="550"/>
      <c r="H80" s="550"/>
      <c r="I80" s="550"/>
      <c r="J80" s="550"/>
      <c r="K80" s="550"/>
      <c r="L80" s="550"/>
      <c r="M80" s="550"/>
      <c r="N80" s="550"/>
      <c r="O80" s="550"/>
      <c r="P80" s="550"/>
      <c r="Q80" s="550"/>
      <c r="R80" s="550"/>
      <c r="S80" s="550"/>
      <c r="T80" s="550"/>
      <c r="U80" s="550"/>
      <c r="V80" s="550"/>
      <c r="W80" s="550"/>
      <c r="X80" s="550"/>
      <c r="Y80" s="550"/>
      <c r="Z80" s="550"/>
      <c r="AA80" s="550"/>
      <c r="AB80" s="550"/>
      <c r="AC80" s="550"/>
      <c r="AD80" s="550"/>
      <c r="AE80" s="550"/>
      <c r="AF80" s="550"/>
      <c r="AG80" s="550"/>
      <c r="AH80" s="550"/>
      <c r="AI80" s="550"/>
      <c r="AJ80" s="550"/>
      <c r="AK80" s="550"/>
      <c r="AL80" s="550"/>
      <c r="AM80" s="550"/>
      <c r="AN80" s="550"/>
      <c r="AO80" s="550"/>
      <c r="AP80" s="550"/>
      <c r="AQ80" s="550"/>
      <c r="AR80" s="550"/>
      <c r="AS80" s="550"/>
      <c r="AT80" s="550"/>
      <c r="AU80" s="550"/>
      <c r="AV80" s="550"/>
      <c r="AW80" s="550"/>
      <c r="AX80" s="550"/>
      <c r="AY80" s="550"/>
      <c r="AZ80" s="550"/>
      <c r="BA80" s="550"/>
      <c r="BB80" s="550"/>
      <c r="BC80" s="550"/>
      <c r="BD80" s="550"/>
      <c r="BE80" s="550"/>
      <c r="BF80" s="550"/>
      <c r="BG80" s="550"/>
      <c r="BH80" s="550"/>
      <c r="BI80" s="550"/>
      <c r="BJ80" s="550"/>
      <c r="BK80" s="550"/>
      <c r="BL80" s="550"/>
      <c r="BM80" s="550"/>
      <c r="BN80" s="550"/>
      <c r="BO80" s="550"/>
      <c r="BP80" s="551"/>
      <c r="BQ80" s="551"/>
      <c r="BR80" s="551"/>
      <c r="BS80" s="551"/>
      <c r="BT80" s="551"/>
      <c r="BU80" s="551"/>
      <c r="BV80" s="551"/>
      <c r="BW80" s="551"/>
      <c r="BX80" s="551"/>
      <c r="BY80" s="551"/>
      <c r="BZ80" s="551"/>
      <c r="CA80" s="551"/>
      <c r="CB80" s="551"/>
      <c r="CC80" s="551"/>
      <c r="CD80" s="551"/>
      <c r="CE80" s="551"/>
      <c r="CF80" s="551"/>
    </row>
    <row r="81" spans="1:84" s="565" customFormat="1" ht="12.75" customHeight="1">
      <c r="A81" s="562" t="s">
        <v>476</v>
      </c>
      <c r="B81" s="587"/>
      <c r="C81" s="587"/>
      <c r="D81" s="587"/>
      <c r="E81" s="587"/>
      <c r="F81" s="587"/>
      <c r="G81" s="587"/>
      <c r="H81" s="587"/>
      <c r="I81" s="587"/>
      <c r="J81" s="587"/>
      <c r="K81" s="587"/>
      <c r="L81" s="587"/>
      <c r="M81" s="587"/>
      <c r="N81" s="587"/>
      <c r="O81" s="587"/>
      <c r="P81" s="587"/>
      <c r="Q81" s="587"/>
      <c r="R81" s="587"/>
      <c r="S81" s="587"/>
      <c r="T81" s="587"/>
      <c r="U81" s="587"/>
      <c r="V81" s="587"/>
      <c r="W81" s="587"/>
      <c r="X81" s="587"/>
      <c r="Y81" s="587"/>
      <c r="Z81" s="587"/>
      <c r="AA81" s="587"/>
      <c r="AB81" s="587"/>
      <c r="AC81" s="587"/>
      <c r="AD81" s="587"/>
      <c r="AE81" s="587"/>
      <c r="AF81" s="587"/>
      <c r="AG81" s="587"/>
      <c r="AH81" s="587"/>
      <c r="AI81" s="587">
        <f>AI77+AI70</f>
        <v>7.7276250000000033</v>
      </c>
      <c r="AJ81" s="587">
        <f t="shared" ref="AJ81:CF81" si="136">AJ77+AJ70</f>
        <v>-233.27754999999999</v>
      </c>
      <c r="AK81" s="587">
        <f t="shared" si="136"/>
        <v>847.71727499999997</v>
      </c>
      <c r="AL81" s="587">
        <f t="shared" si="136"/>
        <v>480.71209999999996</v>
      </c>
      <c r="AM81" s="587">
        <f t="shared" si="136"/>
        <v>29.706924999999998</v>
      </c>
      <c r="AN81" s="587">
        <f t="shared" si="136"/>
        <v>-92.298249999999996</v>
      </c>
      <c r="AO81" s="587">
        <f t="shared" si="136"/>
        <v>974.70174999999995</v>
      </c>
      <c r="AP81" s="587">
        <f t="shared" si="136"/>
        <v>359.23483750000003</v>
      </c>
      <c r="AQ81" s="587">
        <f t="shared" si="136"/>
        <v>232.76792499999999</v>
      </c>
      <c r="AR81" s="587">
        <f t="shared" si="136"/>
        <v>-82.905950000000004</v>
      </c>
      <c r="AS81" s="587">
        <f t="shared" si="136"/>
        <v>977.09404999999992</v>
      </c>
      <c r="AT81" s="587">
        <f t="shared" si="136"/>
        <v>217.33872500000001</v>
      </c>
      <c r="AU81" s="587">
        <f t="shared" si="136"/>
        <v>-331.42177500000003</v>
      </c>
      <c r="AV81" s="587">
        <f t="shared" si="136"/>
        <v>-147.42695000000001</v>
      </c>
      <c r="AW81" s="587">
        <f t="shared" si="136"/>
        <v>1380.2392474475948</v>
      </c>
      <c r="AX81" s="587">
        <f t="shared" si="136"/>
        <v>187.36145493162192</v>
      </c>
      <c r="AY81" s="587">
        <f t="shared" si="136"/>
        <v>36.579735749051338</v>
      </c>
      <c r="AZ81" s="587">
        <f t="shared" si="136"/>
        <v>-185.14818911504841</v>
      </c>
      <c r="BA81" s="587">
        <f t="shared" si="136"/>
        <v>1496.5318068624483</v>
      </c>
      <c r="BB81" s="587">
        <f t="shared" si="136"/>
        <v>371.40780861486371</v>
      </c>
      <c r="BC81" s="587">
        <f t="shared" si="136"/>
        <v>-26.768564845780077</v>
      </c>
      <c r="BD81" s="587">
        <f t="shared" si="136"/>
        <v>-131.7965313503569</v>
      </c>
      <c r="BE81" s="587">
        <f t="shared" si="136"/>
        <v>1616.3392087782131</v>
      </c>
      <c r="BF81" s="587">
        <f t="shared" si="136"/>
        <v>393.50123393016054</v>
      </c>
      <c r="BG81" s="587">
        <f t="shared" si="136"/>
        <v>45.681137189826131</v>
      </c>
      <c r="BH81" s="587">
        <f t="shared" si="136"/>
        <v>-83.780633310186943</v>
      </c>
      <c r="BI81" s="587">
        <f t="shared" si="136"/>
        <v>1750.2017185757677</v>
      </c>
      <c r="BJ81" s="587">
        <f t="shared" si="136"/>
        <v>434.82338998272485</v>
      </c>
      <c r="BK81" s="587">
        <f t="shared" si="136"/>
        <v>66.232060431681873</v>
      </c>
      <c r="BL81" s="587">
        <f t="shared" si="136"/>
        <v>-118.23738022658308</v>
      </c>
      <c r="BM81" s="587">
        <f t="shared" si="136"/>
        <v>1787.8104214453854</v>
      </c>
      <c r="BN81" s="587">
        <f t="shared" si="136"/>
        <v>479.47138641008632</v>
      </c>
      <c r="BO81" s="587"/>
      <c r="BP81" s="587">
        <f t="shared" si="136"/>
        <v>-81</v>
      </c>
      <c r="BQ81" s="587">
        <f t="shared" si="136"/>
        <v>87</v>
      </c>
      <c r="BR81" s="587">
        <f t="shared" si="136"/>
        <v>-81.498437499999994</v>
      </c>
      <c r="BS81" s="587">
        <f t="shared" si="136"/>
        <v>27.882499999999993</v>
      </c>
      <c r="BT81" s="587">
        <f t="shared" si="136"/>
        <v>439.72781250000003</v>
      </c>
      <c r="BU81" s="587">
        <f t="shared" si="136"/>
        <v>801.98923250390624</v>
      </c>
      <c r="BV81" s="587">
        <f t="shared" si="136"/>
        <v>920.07535874899622</v>
      </c>
      <c r="BW81" s="587">
        <f t="shared" si="136"/>
        <v>1193.6314044420706</v>
      </c>
      <c r="BX81" s="587">
        <f t="shared" si="136"/>
        <v>1301.96225</v>
      </c>
      <c r="BY81" s="587">
        <f t="shared" si="136"/>
        <v>1144</v>
      </c>
      <c r="BZ81" s="587">
        <f t="shared" si="136"/>
        <v>1309.4384375</v>
      </c>
      <c r="CA81" s="587">
        <f t="shared" si="136"/>
        <v>1369.3843750000001</v>
      </c>
      <c r="CB81" s="587">
        <f t="shared" si="136"/>
        <v>1166.4546023792168</v>
      </c>
      <c r="CC81" s="587">
        <f t="shared" si="136"/>
        <v>1797.0789621113149</v>
      </c>
      <c r="CD81" s="587">
        <f t="shared" si="136"/>
        <v>1851.2753465122369</v>
      </c>
      <c r="CE81" s="587">
        <f t="shared" si="136"/>
        <v>2146.9256124381318</v>
      </c>
      <c r="CF81" s="587">
        <f t="shared" si="136"/>
        <v>2215.276488060571</v>
      </c>
    </row>
    <row r="82" spans="1:84" ht="12.75" customHeight="1">
      <c r="A82" s="586"/>
      <c r="B82" s="550"/>
      <c r="C82" s="550"/>
      <c r="D82" s="550"/>
      <c r="E82" s="550"/>
      <c r="F82" s="550"/>
      <c r="G82" s="550"/>
      <c r="H82" s="550"/>
      <c r="I82" s="550"/>
      <c r="J82" s="550"/>
      <c r="K82" s="550"/>
      <c r="L82" s="550"/>
      <c r="M82" s="550"/>
      <c r="N82" s="550"/>
      <c r="O82" s="550"/>
      <c r="P82" s="550"/>
      <c r="Q82" s="550"/>
      <c r="R82" s="550"/>
      <c r="S82" s="550"/>
      <c r="T82" s="550"/>
      <c r="U82" s="550"/>
      <c r="V82" s="550"/>
      <c r="W82" s="550"/>
      <c r="X82" s="550"/>
      <c r="Y82" s="550"/>
      <c r="Z82" s="550"/>
      <c r="AA82" s="550"/>
      <c r="AB82" s="550"/>
      <c r="AC82" s="550"/>
      <c r="AD82" s="550"/>
      <c r="AE82" s="550"/>
      <c r="AF82" s="550"/>
      <c r="AG82" s="550"/>
      <c r="AH82" s="550"/>
      <c r="AI82" s="550"/>
      <c r="AJ82" s="550"/>
      <c r="AK82" s="550"/>
      <c r="AL82" s="550"/>
      <c r="AM82" s="550"/>
      <c r="AN82" s="550"/>
      <c r="AO82" s="550"/>
      <c r="AP82" s="550"/>
      <c r="AQ82" s="550"/>
      <c r="AR82" s="550"/>
      <c r="AS82" s="550"/>
      <c r="AT82" s="550"/>
      <c r="AU82" s="550"/>
      <c r="AV82" s="550"/>
      <c r="AW82" s="550"/>
      <c r="AX82" s="550"/>
      <c r="AY82" s="550"/>
      <c r="AZ82" s="550"/>
      <c r="BA82" s="550"/>
      <c r="BB82" s="550"/>
      <c r="BC82" s="550"/>
      <c r="BD82" s="550"/>
      <c r="BE82" s="550"/>
      <c r="BF82" s="550"/>
      <c r="BG82" s="550"/>
      <c r="BH82" s="550"/>
      <c r="BI82" s="550"/>
      <c r="BJ82" s="550"/>
      <c r="BK82" s="550"/>
      <c r="BL82" s="550"/>
      <c r="BM82" s="550"/>
      <c r="BN82" s="550"/>
      <c r="BO82" s="550"/>
      <c r="BP82" s="551"/>
      <c r="BQ82" s="551"/>
      <c r="BR82" s="551"/>
      <c r="BS82" s="551"/>
      <c r="BT82" s="551"/>
      <c r="BU82" s="551"/>
      <c r="BV82" s="551"/>
      <c r="BW82" s="551"/>
      <c r="BX82" s="551"/>
      <c r="BY82" s="551"/>
      <c r="BZ82" s="551"/>
      <c r="CA82" s="551"/>
      <c r="CB82" s="551"/>
      <c r="CC82" s="551"/>
      <c r="CD82" s="551"/>
      <c r="CE82" s="551"/>
      <c r="CF82" s="551"/>
    </row>
    <row r="83" spans="1:84" ht="12.75" customHeight="1">
      <c r="A83" s="590"/>
      <c r="B83" s="326"/>
      <c r="C83" s="326"/>
      <c r="D83" s="326"/>
      <c r="E83" s="326"/>
      <c r="F83" s="326"/>
      <c r="G83" s="326"/>
      <c r="H83" s="326"/>
      <c r="I83" s="326"/>
      <c r="J83" s="326"/>
      <c r="K83" s="326"/>
      <c r="L83" s="326"/>
      <c r="M83" s="326"/>
      <c r="N83" s="326"/>
      <c r="O83" s="326"/>
      <c r="P83" s="326"/>
      <c r="Q83" s="326"/>
      <c r="R83" s="326"/>
      <c r="S83" s="326"/>
      <c r="T83" s="326"/>
      <c r="U83" s="326"/>
      <c r="V83" s="326"/>
      <c r="W83" s="326"/>
      <c r="X83" s="326"/>
      <c r="Y83" s="326"/>
      <c r="Z83" s="326"/>
      <c r="AA83" s="326"/>
      <c r="AB83" s="326"/>
      <c r="AC83" s="326"/>
      <c r="AD83" s="326"/>
      <c r="AE83" s="326"/>
      <c r="AF83" s="326"/>
      <c r="AG83" s="326"/>
      <c r="AH83" s="326"/>
      <c r="AI83" s="326"/>
      <c r="AJ83" s="326"/>
      <c r="AK83" s="326"/>
      <c r="AL83" s="326"/>
      <c r="AM83" s="326"/>
      <c r="AN83" s="326"/>
      <c r="AO83" s="326"/>
      <c r="AP83" s="326"/>
      <c r="AQ83" s="326"/>
      <c r="AR83" s="326"/>
      <c r="AS83" s="326"/>
      <c r="AT83" s="326"/>
      <c r="AU83" s="326"/>
      <c r="AV83" s="326"/>
      <c r="AW83" s="326"/>
      <c r="AX83" s="326"/>
      <c r="AY83" s="326"/>
      <c r="AZ83" s="326"/>
      <c r="BA83" s="326"/>
      <c r="BB83" s="326"/>
      <c r="BC83" s="326"/>
      <c r="BD83" s="326"/>
      <c r="BE83" s="326"/>
      <c r="BF83" s="326"/>
      <c r="BG83" s="326"/>
      <c r="BH83" s="326"/>
      <c r="BI83" s="326"/>
      <c r="BJ83" s="326"/>
      <c r="BK83" s="326"/>
      <c r="BL83" s="326"/>
      <c r="BM83" s="326"/>
      <c r="BN83" s="326"/>
      <c r="BO83" s="326"/>
      <c r="BP83" s="341"/>
      <c r="BQ83" s="341"/>
      <c r="BR83" s="341"/>
      <c r="BS83" s="341"/>
      <c r="BT83" s="341"/>
      <c r="BU83" s="341"/>
      <c r="BV83" s="341"/>
      <c r="BW83" s="341"/>
      <c r="BX83" s="341"/>
      <c r="BY83" s="341"/>
      <c r="BZ83" s="341"/>
      <c r="CA83" s="341"/>
      <c r="CB83" s="341"/>
      <c r="CC83" s="341"/>
      <c r="CD83" s="341"/>
      <c r="CE83" s="341"/>
      <c r="CF83" s="341"/>
    </row>
    <row r="84" spans="1:84" ht="12.75" customHeight="1">
      <c r="A84" s="566" t="s">
        <v>157</v>
      </c>
      <c r="B84" s="591" t="s">
        <v>17</v>
      </c>
      <c r="C84" s="592">
        <f>C25/(BS!B$8)</f>
        <v>0.22685185185185186</v>
      </c>
      <c r="D84" s="592">
        <f>D25/(BS!C$8)</f>
        <v>0.20624999999999999</v>
      </c>
      <c r="E84" s="592">
        <f>E25/(BS!D$8)</f>
        <v>0.17171717171717171</v>
      </c>
      <c r="F84" s="592">
        <f>F25/(BS!E$8)</f>
        <v>0.3131115459882583</v>
      </c>
      <c r="G84" s="592">
        <f>G25/(BS!F$8)</f>
        <v>0.16700201207243462</v>
      </c>
      <c r="H84" s="592">
        <f>H25/(BS!G$8)</f>
        <v>0.46918489065606361</v>
      </c>
      <c r="I84" s="592">
        <f>I25/(BS!H$8)</f>
        <v>0.40563380281690142</v>
      </c>
      <c r="J84" s="592">
        <f>J25/(BS!I$8)</f>
        <v>0.15517241379310345</v>
      </c>
      <c r="K84" s="592">
        <f>K25/(BS!J$8)</f>
        <v>0.29290617848970252</v>
      </c>
      <c r="L84" s="592">
        <f>L25/(BS!K$8)</f>
        <v>0.34234234234234234</v>
      </c>
      <c r="M84" s="592">
        <f>M25/(BS!L$8)</f>
        <v>0.35327635327635326</v>
      </c>
      <c r="N84" s="592">
        <f>N25/(BS!M$8)</f>
        <v>0.2</v>
      </c>
      <c r="O84" s="592">
        <f>O25/(BS!N$8)</f>
        <v>0.34278350515463918</v>
      </c>
      <c r="P84" s="592">
        <f>P25/(BS!O$8)</f>
        <v>0.3295774647887324</v>
      </c>
      <c r="Q84" s="592">
        <f>Q25/(BS!P$8)</f>
        <v>0.24695121951219512</v>
      </c>
      <c r="R84" s="592">
        <f>R25/(BS!Q$8)</f>
        <v>0.21604938271604937</v>
      </c>
      <c r="S84" s="592">
        <f>S25/(BS!R$8)</f>
        <v>0.2658662092624357</v>
      </c>
      <c r="T84" s="592">
        <f>T25/(BS!S$8)</f>
        <v>0.25853018372703412</v>
      </c>
      <c r="U84" s="592">
        <f>U25/(BS!T$8)</f>
        <v>0.21989528795811519</v>
      </c>
      <c r="V84" s="592">
        <f>V25/(BS!U$8)</f>
        <v>0.26744186046511625</v>
      </c>
      <c r="W84" s="592">
        <f>W25/(BS!V$8)</f>
        <v>0.26128016789087094</v>
      </c>
      <c r="X84" s="592">
        <f>X25/(BS!W$8)</f>
        <v>0.2469597754911132</v>
      </c>
      <c r="Y84" s="592">
        <f>Y25/(BS!X$8)</f>
        <v>0.19595959595959597</v>
      </c>
      <c r="Z84" s="592">
        <f>Z25/(BS!Y$8)</f>
        <v>0.24223602484472051</v>
      </c>
      <c r="AA84" s="592">
        <f>AA25/(BS!Z$8)</f>
        <v>0.2058165548098434</v>
      </c>
      <c r="AB84" s="592">
        <f>AB25/(BS!AA$8)</f>
        <v>0.26570397111913358</v>
      </c>
      <c r="AC84" s="592">
        <f>AC25/(BS!AB$8)</f>
        <v>0.2131578947368421</v>
      </c>
      <c r="AD84" s="592">
        <f>AD25/(BS!AC$8)</f>
        <v>0.18029953917050692</v>
      </c>
      <c r="AE84" s="592">
        <f>AE25/(BS!AD$8)</f>
        <v>0.22267412302999492</v>
      </c>
      <c r="AF84" s="592">
        <f>AF25/(BS!AE$8)</f>
        <v>0.27542754275427545</v>
      </c>
      <c r="AG84" s="592">
        <f>AG25/(BS!AF$8)</f>
        <v>0.26486013986013984</v>
      </c>
      <c r="AH84" s="592">
        <f>AH25/(BS!AG$8)</f>
        <v>0.65142364106988782</v>
      </c>
      <c r="AI84" s="592">
        <f>AI25/(BS!AH$8)</f>
        <v>0.19291705498602049</v>
      </c>
      <c r="AJ84" s="592">
        <f>AJ25/(BS!AI$8)</f>
        <v>0.21826484018264841</v>
      </c>
      <c r="AK84" s="592">
        <f>AK25/(BS!AJ$8)</f>
        <v>0.30588942307692307</v>
      </c>
      <c r="AL84" s="592">
        <f>AL25/(BS!AK$8)</f>
        <v>0.57535321821036112</v>
      </c>
      <c r="AM84" s="592">
        <f>AM25/(BS!AL$8)</f>
        <v>0.48575305291723203</v>
      </c>
      <c r="AN84" s="592">
        <f>AN25/(BS!AM$8)</f>
        <v>0.2629987908101572</v>
      </c>
      <c r="AO84" s="592">
        <f>AO25/(BS!AN$8)</f>
        <v>0.29953679876479672</v>
      </c>
      <c r="AP84" s="592">
        <f>AP25/(BS!AO$8)</f>
        <v>0.38369184592296146</v>
      </c>
      <c r="AQ84" s="592">
        <f>AQ25/(BS!AP$8)</f>
        <v>0.35282155566853074</v>
      </c>
      <c r="AR84" s="592">
        <f>AR25/(BS!AQ$8)</f>
        <v>0.37185413456599897</v>
      </c>
      <c r="AS84" s="592">
        <f>AS25/(BS!AR$8)</f>
        <v>0.33975659229208927</v>
      </c>
      <c r="AT84" s="592">
        <f>AT25/(BS!AS$8)</f>
        <v>0.82456140350877194</v>
      </c>
      <c r="AU84" s="592">
        <f>AU25/(BS!AT$8)</f>
        <v>0.45840867992766726</v>
      </c>
      <c r="AV84" s="592">
        <f>AV25/(BS!AU$8)</f>
        <v>0.70488081725312146</v>
      </c>
      <c r="AW84" s="343">
        <f t="shared" ref="AW84:BB84" si="137">AS84</f>
        <v>0.33975659229208927</v>
      </c>
      <c r="AX84" s="343">
        <f t="shared" si="137"/>
        <v>0.82456140350877194</v>
      </c>
      <c r="AY84" s="343">
        <f t="shared" si="137"/>
        <v>0.45840867992766726</v>
      </c>
      <c r="AZ84" s="343">
        <f t="shared" si="137"/>
        <v>0.70488081725312146</v>
      </c>
      <c r="BA84" s="343">
        <f t="shared" si="137"/>
        <v>0.33975659229208927</v>
      </c>
      <c r="BB84" s="343">
        <f t="shared" si="137"/>
        <v>0.82456140350877194</v>
      </c>
      <c r="BC84" s="343">
        <f t="shared" ref="BC84:BJ84" si="138">AY84</f>
        <v>0.45840867992766726</v>
      </c>
      <c r="BD84" s="343">
        <f t="shared" si="138"/>
        <v>0.70488081725312146</v>
      </c>
      <c r="BE84" s="343">
        <f t="shared" si="138"/>
        <v>0.33975659229208927</v>
      </c>
      <c r="BF84" s="343">
        <f t="shared" si="138"/>
        <v>0.82456140350877194</v>
      </c>
      <c r="BG84" s="343">
        <f t="shared" si="138"/>
        <v>0.45840867992766726</v>
      </c>
      <c r="BH84" s="343">
        <f t="shared" si="138"/>
        <v>0.70488081725312146</v>
      </c>
      <c r="BI84" s="343">
        <f t="shared" si="138"/>
        <v>0.33975659229208927</v>
      </c>
      <c r="BJ84" s="343">
        <f t="shared" si="138"/>
        <v>0.82456140350877194</v>
      </c>
      <c r="BK84" s="343">
        <f>BG84</f>
        <v>0.45840867992766726</v>
      </c>
      <c r="BL84" s="343">
        <f>BH84</f>
        <v>0.70488081725312146</v>
      </c>
      <c r="BM84" s="343">
        <f>BI84</f>
        <v>0.33975659229208927</v>
      </c>
      <c r="BN84" s="343">
        <f>BJ84</f>
        <v>0.82456140350877194</v>
      </c>
      <c r="BO84" s="343"/>
      <c r="BP84" s="341"/>
      <c r="BQ84" s="341"/>
      <c r="BR84" s="341"/>
      <c r="BS84" s="341"/>
      <c r="BT84" s="341"/>
      <c r="BU84" s="341"/>
      <c r="BV84" s="341"/>
      <c r="BW84" s="341"/>
      <c r="BX84" s="341"/>
      <c r="BY84" s="341"/>
      <c r="BZ84" s="341"/>
      <c r="CA84" s="341"/>
      <c r="CB84" s="341"/>
      <c r="CC84" s="341"/>
      <c r="CD84" s="341"/>
      <c r="CE84" s="341"/>
      <c r="CF84" s="341"/>
    </row>
    <row r="85" spans="1:84" ht="12.75" customHeight="1">
      <c r="A85" s="566" t="s">
        <v>158</v>
      </c>
      <c r="B85" s="591" t="s">
        <v>17</v>
      </c>
      <c r="C85" s="592">
        <f>C26/(BS!B$8)</f>
        <v>-0.34259259259259262</v>
      </c>
      <c r="D85" s="592">
        <f>D26/(BS!C$8)</f>
        <v>-0.23749999999999999</v>
      </c>
      <c r="E85" s="592">
        <f>E26/(BS!D$8)</f>
        <v>-0.21212121212121213</v>
      </c>
      <c r="F85" s="592">
        <f>F26/(BS!E$8)</f>
        <v>-0.28767123287671231</v>
      </c>
      <c r="G85" s="592">
        <f>G26/(BS!F$8)</f>
        <v>-0.18108651911468812</v>
      </c>
      <c r="H85" s="592">
        <f>H26/(BS!G$8)</f>
        <v>-0.17693836978131214</v>
      </c>
      <c r="I85" s="592">
        <f>I26/(BS!H$8)</f>
        <v>-0.54929577464788737</v>
      </c>
      <c r="J85" s="592">
        <f>J26/(BS!I$8)</f>
        <v>-0.23152709359605911</v>
      </c>
      <c r="K85" s="592">
        <f>K26/(BS!J$8)</f>
        <v>-0.31350114416475972</v>
      </c>
      <c r="L85" s="592">
        <f>L26/(BS!K$8)</f>
        <v>-0.13513513513513514</v>
      </c>
      <c r="M85" s="592">
        <f>M26/(BS!L$8)</f>
        <v>-0.13390313390313391</v>
      </c>
      <c r="N85" s="592">
        <f>N26/(BS!M$8)</f>
        <v>-0.61818181818181817</v>
      </c>
      <c r="O85" s="592">
        <f>O26/(BS!N$8)</f>
        <v>-0.26030927835051548</v>
      </c>
      <c r="P85" s="592">
        <f>P26/(BS!O$8)</f>
        <v>-0.25352112676056338</v>
      </c>
      <c r="Q85" s="592">
        <f>Q26/(BS!P$8)</f>
        <v>-0.24085365853658536</v>
      </c>
      <c r="R85" s="592">
        <f>R26/(BS!Q$8)</f>
        <v>-1.0185185185185186</v>
      </c>
      <c r="S85" s="592">
        <f>S26/(BS!R$8)</f>
        <v>-0.57461406518010294</v>
      </c>
      <c r="T85" s="592">
        <f>T26/(BS!S$8)</f>
        <v>-0.26509186351706038</v>
      </c>
      <c r="U85" s="592">
        <f>U26/(BS!T$8)</f>
        <v>-0.2356020942408377</v>
      </c>
      <c r="V85" s="592">
        <f>V26/(BS!U$8)</f>
        <v>-0.4974160206718346</v>
      </c>
      <c r="W85" s="592">
        <f>W26/(BS!V$8)</f>
        <v>-0.38300104931794332</v>
      </c>
      <c r="X85" s="592">
        <f>X26/(BS!W$8)</f>
        <v>-0.17399438727782976</v>
      </c>
      <c r="Y85" s="592">
        <f>Y26/(BS!X$8)</f>
        <v>-0.17777777777777778</v>
      </c>
      <c r="Z85" s="592">
        <f>Z26/(BS!Y$8)</f>
        <v>-0.6262939958592133</v>
      </c>
      <c r="AA85" s="592">
        <f>AA26/(BS!Z$8)</f>
        <v>-0.23639075316927666</v>
      </c>
      <c r="AB85" s="592">
        <f>AB26/(BS!AA$8)</f>
        <v>-0.36606498194945847</v>
      </c>
      <c r="AC85" s="592">
        <f>AC26/(BS!AB$8)</f>
        <v>-0.36052631578947369</v>
      </c>
      <c r="AD85" s="592">
        <f>AD26/(BS!AC$8)</f>
        <v>-0.31394009216589863</v>
      </c>
      <c r="AE85" s="592">
        <f>AE26/(BS!AD$8)</f>
        <v>-0.35231316725978645</v>
      </c>
      <c r="AF85" s="592">
        <f>AF26/(BS!AE$8)</f>
        <v>-0.3159315931593159</v>
      </c>
      <c r="AG85" s="592">
        <f>AG26/(BS!AF$8)</f>
        <v>-0.26966783216783219</v>
      </c>
      <c r="AH85" s="592">
        <f>AH26/(BS!AG$8)</f>
        <v>-0.1186367558239862</v>
      </c>
      <c r="AI85" s="592">
        <f>AI26/(BS!AH$8)</f>
        <v>-0.21248835041938491</v>
      </c>
      <c r="AJ85" s="592">
        <f>AJ26/(BS!AI$8)</f>
        <v>-0.73150684931506849</v>
      </c>
      <c r="AK85" s="592">
        <f>AK26/(BS!AJ$8)</f>
        <v>-6.9110576923076927E-2</v>
      </c>
      <c r="AL85" s="592">
        <f>AL26/(BS!AK$8)</f>
        <v>-0.15541601255886969</v>
      </c>
      <c r="AM85" s="592">
        <f>AM26/(BS!AL$8)</f>
        <v>-1.7137042062415198</v>
      </c>
      <c r="AN85" s="592">
        <f>AN26/(BS!AM$8)</f>
        <v>-0.435912938331318</v>
      </c>
      <c r="AO85" s="592">
        <f>AO26/(BS!AN$8)</f>
        <v>-0.32784354091610912</v>
      </c>
      <c r="AP85" s="592">
        <f>AP26/(BS!AO$8)</f>
        <v>-0.36918459229614808</v>
      </c>
      <c r="AQ85" s="592">
        <f>AQ26/(BS!AP$8)</f>
        <v>-0.33756990340620235</v>
      </c>
      <c r="AR85" s="592">
        <f>AR26/(BS!AQ$8)</f>
        <v>-0.38623523369286084</v>
      </c>
      <c r="AS85" s="592">
        <f>AS26/(BS!AR$8)</f>
        <v>-0.32454361054766734</v>
      </c>
      <c r="AT85" s="592">
        <f>AT26/(BS!AS$8)</f>
        <v>-0.39834881320949433</v>
      </c>
      <c r="AU85" s="592">
        <f>AU26/(BS!AT$8)</f>
        <v>-0.25768535262206149</v>
      </c>
      <c r="AV85" s="592">
        <f>AV26/(BS!AU$8)</f>
        <v>-9.5346197502837682E-2</v>
      </c>
      <c r="AW85" s="343">
        <v>-0.25</v>
      </c>
      <c r="AX85" s="343">
        <v>-0.25</v>
      </c>
      <c r="AY85" s="343">
        <v>-0.25</v>
      </c>
      <c r="AZ85" s="343">
        <v>-0.25</v>
      </c>
      <c r="BA85" s="343">
        <v>-0.25</v>
      </c>
      <c r="BB85" s="343">
        <v>-0.25</v>
      </c>
      <c r="BC85" s="343">
        <v>-0.25</v>
      </c>
      <c r="BD85" s="343">
        <v>-0.25</v>
      </c>
      <c r="BE85" s="343">
        <v>-0.25</v>
      </c>
      <c r="BF85" s="343">
        <v>-0.25</v>
      </c>
      <c r="BG85" s="343">
        <v>-0.25</v>
      </c>
      <c r="BH85" s="343">
        <v>-0.25</v>
      </c>
      <c r="BI85" s="343">
        <v>-0.25</v>
      </c>
      <c r="BJ85" s="343">
        <v>-0.25</v>
      </c>
      <c r="BK85" s="343">
        <v>-0.25</v>
      </c>
      <c r="BL85" s="343">
        <v>-0.25</v>
      </c>
      <c r="BM85" s="343">
        <v>-0.25</v>
      </c>
      <c r="BN85" s="343">
        <v>-0.25</v>
      </c>
      <c r="BO85" s="343"/>
      <c r="BP85" s="341"/>
      <c r="BQ85" s="341"/>
      <c r="BR85" s="341"/>
      <c r="BS85" s="341"/>
      <c r="BT85" s="341"/>
      <c r="BU85" s="341"/>
      <c r="BV85" s="341"/>
      <c r="BW85" s="341"/>
      <c r="BX85" s="341"/>
      <c r="BY85" s="341"/>
      <c r="BZ85" s="341"/>
      <c r="CA85" s="341"/>
      <c r="CB85" s="341"/>
      <c r="CC85" s="341"/>
      <c r="CD85" s="341"/>
      <c r="CE85" s="341"/>
      <c r="CF85" s="341"/>
    </row>
    <row r="86" spans="1:84" ht="12.75" customHeight="1">
      <c r="A86" s="566" t="s">
        <v>159</v>
      </c>
      <c r="B86" s="591">
        <f t="shared" ref="B86:AU86" si="139">B36/B$11</f>
        <v>0.33333333333333331</v>
      </c>
      <c r="C86" s="591">
        <f t="shared" si="139"/>
        <v>2.1276595744680851E-2</v>
      </c>
      <c r="D86" s="591">
        <f t="shared" si="139"/>
        <v>0.37209302325581395</v>
      </c>
      <c r="E86" s="591">
        <f t="shared" si="139"/>
        <v>0</v>
      </c>
      <c r="F86" s="591">
        <f t="shared" si="139"/>
        <v>0.44736842105263158</v>
      </c>
      <c r="G86" s="591">
        <f t="shared" si="139"/>
        <v>0.36842105263157893</v>
      </c>
      <c r="H86" s="591">
        <f t="shared" si="139"/>
        <v>0.48837209302325579</v>
      </c>
      <c r="I86" s="591">
        <f t="shared" si="139"/>
        <v>8.3333333333333329E-2</v>
      </c>
      <c r="J86" s="591">
        <f t="shared" si="139"/>
        <v>0.43902439024390244</v>
      </c>
      <c r="K86" s="591">
        <f t="shared" si="139"/>
        <v>0</v>
      </c>
      <c r="L86" s="591">
        <f t="shared" si="139"/>
        <v>0.40909090909090912</v>
      </c>
      <c r="M86" s="591">
        <f t="shared" si="139"/>
        <v>2.564102564102564E-2</v>
      </c>
      <c r="N86" s="591">
        <f t="shared" si="139"/>
        <v>0.35714285714285715</v>
      </c>
      <c r="O86" s="591">
        <f t="shared" si="139"/>
        <v>0.66666666666666663</v>
      </c>
      <c r="P86" s="591">
        <f t="shared" si="139"/>
        <v>0.73684210526315785</v>
      </c>
      <c r="Q86" s="591">
        <f t="shared" si="139"/>
        <v>2.5000000000000001E-2</v>
      </c>
      <c r="R86" s="591">
        <f t="shared" si="139"/>
        <v>0.66666666666666663</v>
      </c>
      <c r="S86" s="591">
        <f t="shared" si="139"/>
        <v>0.17241379310344829</v>
      </c>
      <c r="T86" s="591">
        <f t="shared" si="139"/>
        <v>0.52500000000000002</v>
      </c>
      <c r="U86" s="591">
        <f t="shared" si="139"/>
        <v>0.12820512820512819</v>
      </c>
      <c r="V86" s="591">
        <f t="shared" si="139"/>
        <v>0.80555555555555558</v>
      </c>
      <c r="W86" s="591">
        <f t="shared" si="139"/>
        <v>1</v>
      </c>
      <c r="X86" s="591">
        <f t="shared" si="139"/>
        <v>0.88636363636363635</v>
      </c>
      <c r="Y86" s="591">
        <f t="shared" si="139"/>
        <v>4.7619047619047616E-2</v>
      </c>
      <c r="Z86" s="591">
        <f t="shared" si="139"/>
        <v>0.44680851063829785</v>
      </c>
      <c r="AA86" s="591">
        <f t="shared" si="139"/>
        <v>8.3333333333333329E-2</v>
      </c>
      <c r="AB86" s="591">
        <f t="shared" si="139"/>
        <v>0.5625</v>
      </c>
      <c r="AC86" s="591">
        <f t="shared" si="139"/>
        <v>4.1666666666666664E-2</v>
      </c>
      <c r="AD86" s="591">
        <f t="shared" si="139"/>
        <v>0.75</v>
      </c>
      <c r="AE86" s="591">
        <f t="shared" si="139"/>
        <v>0.625</v>
      </c>
      <c r="AF86" s="591">
        <f t="shared" si="139"/>
        <v>0.43548387096774194</v>
      </c>
      <c r="AG86" s="591">
        <f t="shared" si="139"/>
        <v>0</v>
      </c>
      <c r="AH86" s="591">
        <f t="shared" si="139"/>
        <v>0.30434782608695654</v>
      </c>
      <c r="AI86" s="591">
        <f t="shared" si="139"/>
        <v>1.4285714285714285E-2</v>
      </c>
      <c r="AJ86" s="591">
        <f t="shared" si="139"/>
        <v>0.53030303030303028</v>
      </c>
      <c r="AK86" s="591">
        <f t="shared" si="139"/>
        <v>0</v>
      </c>
      <c r="AL86" s="591">
        <f t="shared" si="139"/>
        <v>0.34246575342465752</v>
      </c>
      <c r="AM86" s="591">
        <f t="shared" si="139"/>
        <v>4.1095890410958902E-2</v>
      </c>
      <c r="AN86" s="591">
        <f t="shared" si="139"/>
        <v>0.32608695652173914</v>
      </c>
      <c r="AO86" s="591">
        <f t="shared" si="139"/>
        <v>1.098901098901099E-2</v>
      </c>
      <c r="AP86" s="591">
        <f t="shared" si="139"/>
        <v>0.30769230769230771</v>
      </c>
      <c r="AQ86" s="591">
        <f t="shared" si="139"/>
        <v>2.9411764705882353E-2</v>
      </c>
      <c r="AR86" s="591">
        <f t="shared" si="139"/>
        <v>0.35398230088495575</v>
      </c>
      <c r="AS86" s="591">
        <f t="shared" si="139"/>
        <v>0.11711711711711711</v>
      </c>
      <c r="AT86" s="591">
        <f t="shared" si="139"/>
        <v>0.27522935779816515</v>
      </c>
      <c r="AU86" s="591">
        <f t="shared" si="139"/>
        <v>0</v>
      </c>
      <c r="AV86" s="591">
        <f t="shared" ref="AV86" si="140">AV36/AV$11</f>
        <v>0.27516778523489932</v>
      </c>
      <c r="AW86" s="343">
        <f t="shared" ref="AW86:BB86" si="141">AS86</f>
        <v>0.11711711711711711</v>
      </c>
      <c r="AX86" s="343">
        <f t="shared" si="141"/>
        <v>0.27522935779816515</v>
      </c>
      <c r="AY86" s="343">
        <f t="shared" si="141"/>
        <v>0</v>
      </c>
      <c r="AZ86" s="343">
        <f t="shared" si="141"/>
        <v>0.27516778523489932</v>
      </c>
      <c r="BA86" s="343">
        <f t="shared" si="141"/>
        <v>0.11711711711711711</v>
      </c>
      <c r="BB86" s="343">
        <f t="shared" si="141"/>
        <v>0.27522935779816515</v>
      </c>
      <c r="BC86" s="343">
        <f t="shared" ref="BC86:BJ86" si="142">AY86</f>
        <v>0</v>
      </c>
      <c r="BD86" s="343">
        <f t="shared" si="142"/>
        <v>0.27516778523489932</v>
      </c>
      <c r="BE86" s="343">
        <f t="shared" si="142"/>
        <v>0.11711711711711711</v>
      </c>
      <c r="BF86" s="343">
        <f t="shared" si="142"/>
        <v>0.27522935779816515</v>
      </c>
      <c r="BG86" s="343">
        <f t="shared" si="142"/>
        <v>0</v>
      </c>
      <c r="BH86" s="343">
        <f t="shared" si="142"/>
        <v>0.27516778523489932</v>
      </c>
      <c r="BI86" s="343">
        <f t="shared" si="142"/>
        <v>0.11711711711711711</v>
      </c>
      <c r="BJ86" s="343">
        <f t="shared" si="142"/>
        <v>0.27522935779816515</v>
      </c>
      <c r="BK86" s="343">
        <f>BG86</f>
        <v>0</v>
      </c>
      <c r="BL86" s="343">
        <f>BH86</f>
        <v>0.27516778523489932</v>
      </c>
      <c r="BM86" s="343">
        <f>BI86</f>
        <v>0.11711711711711711</v>
      </c>
      <c r="BN86" s="343">
        <f>BJ86</f>
        <v>0.27522935779816515</v>
      </c>
      <c r="BO86" s="343"/>
      <c r="BP86" s="341"/>
      <c r="BQ86" s="341"/>
      <c r="BR86" s="341"/>
      <c r="BS86" s="341"/>
      <c r="BT86" s="341"/>
      <c r="BU86" s="341"/>
      <c r="BV86" s="341"/>
      <c r="BW86" s="341"/>
      <c r="BX86" s="341"/>
      <c r="BY86" s="341"/>
      <c r="BZ86" s="341"/>
      <c r="CA86" s="341"/>
      <c r="CB86" s="341"/>
      <c r="CC86" s="341"/>
      <c r="CD86" s="341"/>
      <c r="CE86" s="341"/>
      <c r="CF86" s="341"/>
    </row>
    <row r="87" spans="1:84" ht="12.75" customHeight="1">
      <c r="A87" s="566" t="s">
        <v>49</v>
      </c>
      <c r="B87" s="591">
        <f t="shared" ref="B87:AU87" si="143">B37/B$11</f>
        <v>2.3809523809523808E-2</v>
      </c>
      <c r="C87" s="591">
        <f t="shared" si="143"/>
        <v>0</v>
      </c>
      <c r="D87" s="591">
        <f t="shared" si="143"/>
        <v>0</v>
      </c>
      <c r="E87" s="591">
        <f t="shared" si="143"/>
        <v>0</v>
      </c>
      <c r="F87" s="591">
        <f t="shared" si="143"/>
        <v>2.6315789473684209E-2</v>
      </c>
      <c r="G87" s="591">
        <f t="shared" si="143"/>
        <v>5.2631578947368418E-2</v>
      </c>
      <c r="H87" s="591">
        <f t="shared" si="143"/>
        <v>2.3255813953488372E-2</v>
      </c>
      <c r="I87" s="591">
        <f t="shared" si="143"/>
        <v>2.0833333333333332E-2</v>
      </c>
      <c r="J87" s="591">
        <f t="shared" si="143"/>
        <v>0</v>
      </c>
      <c r="K87" s="591">
        <f t="shared" si="143"/>
        <v>0</v>
      </c>
      <c r="L87" s="591">
        <f t="shared" si="143"/>
        <v>0</v>
      </c>
      <c r="M87" s="591">
        <f t="shared" si="143"/>
        <v>0</v>
      </c>
      <c r="N87" s="591">
        <f t="shared" si="143"/>
        <v>0</v>
      </c>
      <c r="O87" s="591">
        <f t="shared" si="143"/>
        <v>0</v>
      </c>
      <c r="P87" s="591">
        <f t="shared" si="143"/>
        <v>0</v>
      </c>
      <c r="Q87" s="591">
        <f t="shared" si="143"/>
        <v>0</v>
      </c>
      <c r="R87" s="591">
        <f t="shared" si="143"/>
        <v>0.33333333333333331</v>
      </c>
      <c r="S87" s="591">
        <f t="shared" si="143"/>
        <v>0.41379310344827586</v>
      </c>
      <c r="T87" s="591">
        <f t="shared" si="143"/>
        <v>0.05</v>
      </c>
      <c r="U87" s="591">
        <f t="shared" si="143"/>
        <v>5.128205128205128E-2</v>
      </c>
      <c r="V87" s="591">
        <f t="shared" si="143"/>
        <v>0.16666666666666666</v>
      </c>
      <c r="W87" s="591">
        <f t="shared" si="143"/>
        <v>0.88888888888888884</v>
      </c>
      <c r="X87" s="591">
        <f t="shared" si="143"/>
        <v>0.56818181818181823</v>
      </c>
      <c r="Y87" s="591">
        <f t="shared" si="143"/>
        <v>0.19047619047619047</v>
      </c>
      <c r="Z87" s="591">
        <f t="shared" si="143"/>
        <v>0.27659574468085107</v>
      </c>
      <c r="AA87" s="591">
        <f t="shared" si="143"/>
        <v>-2.0208333333333335</v>
      </c>
      <c r="AB87" s="591">
        <f t="shared" si="143"/>
        <v>-0.1875</v>
      </c>
      <c r="AC87" s="591">
        <f t="shared" si="143"/>
        <v>0.33333333333333331</v>
      </c>
      <c r="AD87" s="591">
        <f t="shared" si="143"/>
        <v>-0.34615384615384615</v>
      </c>
      <c r="AE87" s="591">
        <f t="shared" si="143"/>
        <v>-1.9791666666666667</v>
      </c>
      <c r="AF87" s="591">
        <f t="shared" si="143"/>
        <v>-0.16129032258064516</v>
      </c>
      <c r="AG87" s="591">
        <f t="shared" si="143"/>
        <v>-0.1111111111111111</v>
      </c>
      <c r="AH87" s="591">
        <f t="shared" si="143"/>
        <v>-0.11594202898550725</v>
      </c>
      <c r="AI87" s="591">
        <f t="shared" si="143"/>
        <v>-1.2714285714285714</v>
      </c>
      <c r="AJ87" s="591">
        <f t="shared" si="143"/>
        <v>-0.10606060606060606</v>
      </c>
      <c r="AK87" s="591">
        <f t="shared" si="143"/>
        <v>-0.26666666666666666</v>
      </c>
      <c r="AL87" s="591">
        <f t="shared" si="143"/>
        <v>-8.2191780821917804E-2</v>
      </c>
      <c r="AM87" s="591">
        <f t="shared" si="143"/>
        <v>-0.69863013698630139</v>
      </c>
      <c r="AN87" s="591">
        <f t="shared" si="143"/>
        <v>-4.3478260869565216E-2</v>
      </c>
      <c r="AO87" s="591">
        <f t="shared" si="143"/>
        <v>-0.34065934065934067</v>
      </c>
      <c r="AP87" s="591">
        <f t="shared" si="143"/>
        <v>-5.4945054945054944E-2</v>
      </c>
      <c r="AQ87" s="591">
        <f t="shared" si="143"/>
        <v>-0.67647058823529416</v>
      </c>
      <c r="AR87" s="591">
        <f t="shared" si="143"/>
        <v>-7.0796460176991149E-2</v>
      </c>
      <c r="AS87" s="591">
        <f t="shared" si="143"/>
        <v>-0.60360360360360366</v>
      </c>
      <c r="AT87" s="591">
        <f t="shared" si="143"/>
        <v>-7.3394495412844041E-2</v>
      </c>
      <c r="AU87" s="591">
        <f t="shared" si="143"/>
        <v>-0.84</v>
      </c>
      <c r="AV87" s="591">
        <f t="shared" ref="AV87" si="144">AV37/AV$11</f>
        <v>-0.10738255033557047</v>
      </c>
      <c r="AW87" s="343">
        <f>AVERAGE(AS87:AV87)</f>
        <v>-0.40609516233800452</v>
      </c>
      <c r="AX87" s="343">
        <f>AVERAGE(AT87:AW87)</f>
        <v>-0.35671805202160473</v>
      </c>
      <c r="AY87" s="343">
        <f t="shared" ref="AY87:BF87" si="145">AVERAGE(AU87:AX87)</f>
        <v>-0.42754894117379488</v>
      </c>
      <c r="AZ87" s="343">
        <f t="shared" si="145"/>
        <v>-0.32443617646724365</v>
      </c>
      <c r="BA87" s="343">
        <f t="shared" si="145"/>
        <v>-0.37869958300016193</v>
      </c>
      <c r="BB87" s="343">
        <f t="shared" si="145"/>
        <v>-0.37185068816570133</v>
      </c>
      <c r="BC87" s="343">
        <f t="shared" si="145"/>
        <v>-0.37563384720172549</v>
      </c>
      <c r="BD87" s="343">
        <f t="shared" si="145"/>
        <v>-0.36265507370870814</v>
      </c>
      <c r="BE87" s="343">
        <f t="shared" si="145"/>
        <v>-0.37220979801907422</v>
      </c>
      <c r="BF87" s="343">
        <f t="shared" si="145"/>
        <v>-0.37058735177380231</v>
      </c>
      <c r="BG87" s="343">
        <f t="shared" ref="BG87:BN87" si="146">AVERAGE(BC87:BF87)</f>
        <v>-0.37027151767582756</v>
      </c>
      <c r="BH87" s="343">
        <f t="shared" si="146"/>
        <v>-0.36893093529435306</v>
      </c>
      <c r="BI87" s="343">
        <f t="shared" si="146"/>
        <v>-0.37049990069076427</v>
      </c>
      <c r="BJ87" s="343">
        <f t="shared" si="146"/>
        <v>-0.37007242635868681</v>
      </c>
      <c r="BK87" s="343">
        <f t="shared" si="146"/>
        <v>-0.36994369500490792</v>
      </c>
      <c r="BL87" s="343">
        <f t="shared" si="146"/>
        <v>-0.36986173933717803</v>
      </c>
      <c r="BM87" s="343">
        <f t="shared" si="146"/>
        <v>-0.3700944403478843</v>
      </c>
      <c r="BN87" s="343">
        <f t="shared" si="146"/>
        <v>-0.36999307526216429</v>
      </c>
      <c r="BO87" s="343"/>
      <c r="BP87" s="341"/>
      <c r="BQ87" s="341"/>
      <c r="BR87" s="341"/>
      <c r="BS87" s="341"/>
      <c r="BT87" s="341"/>
      <c r="BU87" s="341"/>
      <c r="BV87" s="341"/>
      <c r="BW87" s="341"/>
      <c r="BX87" s="341"/>
      <c r="BY87" s="341"/>
      <c r="BZ87" s="341"/>
      <c r="CA87" s="341"/>
      <c r="CB87" s="341"/>
      <c r="CC87" s="341"/>
      <c r="CD87" s="341"/>
      <c r="CE87" s="341"/>
      <c r="CF87" s="341"/>
    </row>
    <row r="88" spans="1:84" s="597" customFormat="1" ht="12.75" customHeight="1">
      <c r="A88" s="593" t="s">
        <v>206</v>
      </c>
      <c r="B88" s="594">
        <v>0</v>
      </c>
      <c r="C88" s="594">
        <v>0</v>
      </c>
      <c r="D88" s="594">
        <v>0</v>
      </c>
      <c r="E88" s="594">
        <v>0</v>
      </c>
      <c r="F88" s="594">
        <v>0</v>
      </c>
      <c r="G88" s="594">
        <v>0</v>
      </c>
      <c r="H88" s="594">
        <v>0</v>
      </c>
      <c r="I88" s="594">
        <v>0</v>
      </c>
      <c r="J88" s="594">
        <v>0</v>
      </c>
      <c r="K88" s="594">
        <v>0</v>
      </c>
      <c r="L88" s="594">
        <v>0</v>
      </c>
      <c r="M88" s="594">
        <v>0</v>
      </c>
      <c r="N88" s="594">
        <v>0</v>
      </c>
      <c r="O88" s="594">
        <v>0</v>
      </c>
      <c r="P88" s="594">
        <v>0</v>
      </c>
      <c r="Q88" s="594">
        <v>0</v>
      </c>
      <c r="R88" s="594">
        <v>0</v>
      </c>
      <c r="S88" s="594">
        <v>0</v>
      </c>
      <c r="T88" s="594">
        <v>0</v>
      </c>
      <c r="U88" s="594">
        <v>0</v>
      </c>
      <c r="V88" s="594">
        <v>0</v>
      </c>
      <c r="W88" s="594">
        <v>0</v>
      </c>
      <c r="X88" s="594">
        <v>0</v>
      </c>
      <c r="Y88" s="594">
        <v>0</v>
      </c>
      <c r="Z88" s="594">
        <v>0</v>
      </c>
      <c r="AA88" s="594">
        <v>0</v>
      </c>
      <c r="AB88" s="594">
        <v>0</v>
      </c>
      <c r="AC88" s="594">
        <v>0</v>
      </c>
      <c r="AD88" s="594">
        <v>0</v>
      </c>
      <c r="AE88" s="594">
        <v>0</v>
      </c>
      <c r="AF88" s="594">
        <v>0</v>
      </c>
      <c r="AG88" s="594">
        <v>0</v>
      </c>
      <c r="AH88" s="594">
        <v>0</v>
      </c>
      <c r="AI88" s="594">
        <v>0</v>
      </c>
      <c r="AJ88" s="594">
        <v>0</v>
      </c>
      <c r="AK88" s="594">
        <v>0</v>
      </c>
      <c r="AL88" s="594">
        <v>0</v>
      </c>
      <c r="AM88" s="594">
        <v>0</v>
      </c>
      <c r="AN88" s="594">
        <v>0</v>
      </c>
      <c r="AO88" s="594">
        <v>0</v>
      </c>
      <c r="AP88" s="594">
        <v>0</v>
      </c>
      <c r="AQ88" s="594">
        <v>0</v>
      </c>
      <c r="AR88" s="594">
        <v>0</v>
      </c>
      <c r="AS88" s="594">
        <v>0.17</v>
      </c>
      <c r="AT88" s="594">
        <v>0.17</v>
      </c>
      <c r="AU88" s="594">
        <v>0.17</v>
      </c>
      <c r="AV88" s="594">
        <v>0.17</v>
      </c>
      <c r="AW88" s="595">
        <v>0.17</v>
      </c>
      <c r="AX88" s="595">
        <v>0.17</v>
      </c>
      <c r="AY88" s="595">
        <v>0.17</v>
      </c>
      <c r="AZ88" s="595">
        <v>0.17</v>
      </c>
      <c r="BA88" s="595">
        <v>0.17</v>
      </c>
      <c r="BB88" s="595">
        <v>0.17</v>
      </c>
      <c r="BC88" s="595">
        <v>0.17</v>
      </c>
      <c r="BD88" s="595">
        <v>0.17</v>
      </c>
      <c r="BE88" s="595">
        <v>0.17</v>
      </c>
      <c r="BF88" s="595">
        <v>0.17</v>
      </c>
      <c r="BG88" s="595">
        <v>0.17</v>
      </c>
      <c r="BH88" s="595">
        <v>0.17</v>
      </c>
      <c r="BI88" s="595">
        <v>0.17</v>
      </c>
      <c r="BJ88" s="595">
        <v>0.17</v>
      </c>
      <c r="BK88" s="595">
        <v>0.17</v>
      </c>
      <c r="BL88" s="595">
        <v>0.17</v>
      </c>
      <c r="BM88" s="595">
        <v>0.17</v>
      </c>
      <c r="BN88" s="595">
        <v>0.17</v>
      </c>
      <c r="BO88" s="596"/>
      <c r="BP88" s="596"/>
      <c r="BQ88" s="596">
        <f t="shared" ref="BQ88" si="147">SUM(C88:F88)</f>
        <v>0</v>
      </c>
      <c r="BR88" s="596">
        <f t="shared" ref="BR88" si="148">SUM(G88:J88)</f>
        <v>0</v>
      </c>
      <c r="BS88" s="596">
        <f t="shared" ref="BS88" si="149">SUM(K88:N88)</f>
        <v>0</v>
      </c>
      <c r="BT88" s="596">
        <f t="shared" ref="BT88" si="150">SUM(O88:R88)</f>
        <v>0</v>
      </c>
      <c r="BU88" s="596">
        <f t="shared" ref="BU88" si="151">SUM(S88:V88)</f>
        <v>0</v>
      </c>
      <c r="BV88" s="596">
        <f t="shared" ref="BV88" si="152">SUM(W88:Z88)</f>
        <v>0</v>
      </c>
      <c r="BW88" s="596">
        <f t="shared" ref="BW88" si="153">SUM(AA88:AD88)</f>
        <v>0</v>
      </c>
      <c r="BX88" s="596">
        <f t="shared" ref="BX88" si="154">SUM(AE88:AH88)</f>
        <v>0</v>
      </c>
      <c r="BY88" s="596">
        <f t="shared" ref="BY88" si="155">SUM(AI88:AL88)</f>
        <v>0</v>
      </c>
      <c r="BZ88" s="596">
        <f t="shared" ref="BZ88" si="156">SUM(AM88:AP88)</f>
        <v>0</v>
      </c>
      <c r="CA88" s="596">
        <f t="shared" ref="CA88" si="157">SUM(AQ88:AT88)</f>
        <v>0.34</v>
      </c>
      <c r="CB88" s="596">
        <f t="shared" ref="CB88" si="158">SUM(AU88:AX88)</f>
        <v>0.68</v>
      </c>
      <c r="CC88" s="596">
        <f t="shared" ref="CC88" si="159">SUM(AY88:BB88)</f>
        <v>0.68</v>
      </c>
      <c r="CD88" s="596">
        <f t="shared" ref="CD88" si="160">SUM(BC88:BF88)</f>
        <v>0.68</v>
      </c>
      <c r="CE88" s="596">
        <f t="shared" ref="CE88" si="161">SUM(BG88:BJ88)</f>
        <v>0.68</v>
      </c>
      <c r="CF88" s="596">
        <f t="shared" ref="CF88" si="162">SUM(BK88:BN88)</f>
        <v>0.68</v>
      </c>
    </row>
    <row r="89" spans="1:84" ht="12.75" customHeight="1">
      <c r="A89" s="598"/>
      <c r="B89" s="341"/>
      <c r="C89" s="341"/>
      <c r="D89" s="341"/>
      <c r="E89" s="341"/>
      <c r="F89" s="341"/>
      <c r="G89" s="341"/>
      <c r="H89" s="341"/>
      <c r="I89" s="341"/>
      <c r="J89" s="341"/>
      <c r="K89" s="341"/>
      <c r="L89" s="341"/>
      <c r="M89" s="341"/>
      <c r="N89" s="341"/>
      <c r="O89" s="341"/>
      <c r="P89" s="341"/>
      <c r="Q89" s="341"/>
      <c r="R89" s="341"/>
      <c r="S89" s="341"/>
      <c r="T89" s="343"/>
      <c r="U89" s="341"/>
      <c r="V89" s="341"/>
      <c r="W89" s="341"/>
      <c r="X89" s="341"/>
      <c r="Y89" s="341"/>
      <c r="Z89" s="341"/>
      <c r="AA89" s="341"/>
      <c r="AB89" s="341"/>
      <c r="AC89" s="341"/>
      <c r="AD89" s="341"/>
      <c r="AE89" s="341"/>
      <c r="AF89" s="341"/>
      <c r="AG89" s="341"/>
      <c r="AH89" s="341"/>
      <c r="AI89" s="341"/>
      <c r="AJ89" s="341"/>
      <c r="AK89" s="341"/>
      <c r="AL89" s="341"/>
      <c r="AM89" s="341"/>
      <c r="AN89" s="341"/>
      <c r="AO89" s="341"/>
      <c r="AP89" s="341"/>
      <c r="AQ89" s="341"/>
      <c r="AR89" s="341"/>
      <c r="AS89" s="341"/>
      <c r="AT89" s="341"/>
      <c r="AU89" s="341"/>
      <c r="AV89" s="341"/>
      <c r="AW89" s="341"/>
      <c r="AX89" s="341"/>
      <c r="AY89" s="341"/>
      <c r="AZ89" s="341"/>
      <c r="BA89" s="341"/>
      <c r="BB89" s="341"/>
      <c r="BC89" s="341"/>
      <c r="BD89" s="341"/>
      <c r="BE89" s="341"/>
      <c r="BF89" s="341"/>
      <c r="BG89" s="341"/>
      <c r="BH89" s="341"/>
      <c r="BI89" s="341"/>
      <c r="BJ89" s="341"/>
      <c r="BK89" s="341"/>
      <c r="BL89" s="341"/>
      <c r="BM89" s="341"/>
      <c r="BN89" s="341"/>
      <c r="BO89" s="341"/>
      <c r="BP89" s="341"/>
      <c r="BQ89" s="341"/>
      <c r="BR89" s="341"/>
      <c r="BS89" s="341"/>
      <c r="BT89" s="341"/>
      <c r="BU89" s="341"/>
      <c r="BV89" s="341"/>
      <c r="BW89" s="341"/>
      <c r="BX89" s="341"/>
      <c r="BY89" s="341"/>
      <c r="BZ89" s="341"/>
      <c r="CA89" s="341"/>
      <c r="CB89" s="341"/>
      <c r="CC89" s="341"/>
      <c r="CD89" s="341"/>
      <c r="CE89" s="341"/>
      <c r="CF89" s="341"/>
    </row>
    <row r="91" spans="1:84" ht="12.75" customHeight="1">
      <c r="A91" s="598"/>
      <c r="B91" s="341"/>
      <c r="C91" s="341"/>
      <c r="D91" s="341"/>
      <c r="E91" s="341"/>
      <c r="F91" s="341"/>
      <c r="G91" s="341"/>
      <c r="H91" s="341"/>
      <c r="I91" s="341"/>
      <c r="J91" s="341"/>
      <c r="K91" s="341"/>
      <c r="L91" s="341"/>
      <c r="M91" s="341"/>
      <c r="N91" s="341"/>
      <c r="O91" s="341"/>
      <c r="P91" s="341"/>
      <c r="Q91" s="341"/>
      <c r="R91" s="341"/>
      <c r="S91" s="341"/>
      <c r="T91" s="341"/>
      <c r="U91" s="341"/>
      <c r="V91" s="341"/>
      <c r="W91" s="341"/>
      <c r="X91" s="341"/>
      <c r="Y91" s="341"/>
      <c r="Z91" s="341"/>
      <c r="AA91" s="341"/>
      <c r="AB91" s="341"/>
      <c r="AC91" s="341"/>
      <c r="AD91" s="341"/>
      <c r="AE91" s="341"/>
      <c r="AF91" s="341"/>
      <c r="AG91" s="341"/>
      <c r="AH91" s="341"/>
      <c r="AI91" s="341"/>
      <c r="AJ91" s="341"/>
      <c r="AK91" s="341"/>
      <c r="AL91" s="341"/>
      <c r="AM91" s="341"/>
      <c r="AN91" s="341"/>
      <c r="AO91" s="341"/>
      <c r="AP91" s="341"/>
      <c r="AQ91" s="341"/>
      <c r="AR91" s="341"/>
      <c r="AS91" s="341"/>
      <c r="AT91" s="341"/>
      <c r="AU91" s="341"/>
      <c r="AV91" s="341"/>
      <c r="AW91" s="341"/>
      <c r="AX91" s="341"/>
      <c r="AY91" s="341"/>
      <c r="AZ91" s="341"/>
      <c r="BA91" s="341"/>
      <c r="BB91" s="341"/>
      <c r="BC91" s="341"/>
      <c r="BD91" s="341"/>
      <c r="BE91" s="341"/>
      <c r="BF91" s="341"/>
      <c r="BG91" s="341"/>
      <c r="BH91" s="341"/>
      <c r="BI91" s="341"/>
      <c r="BJ91" s="341"/>
      <c r="BK91" s="341"/>
      <c r="BL91" s="341"/>
      <c r="BM91" s="341"/>
      <c r="BN91" s="341"/>
      <c r="BO91" s="341"/>
      <c r="BP91" s="341"/>
      <c r="BQ91" s="341"/>
      <c r="BR91" s="341"/>
      <c r="BS91" s="341"/>
      <c r="BT91" s="341"/>
      <c r="BU91" s="341"/>
      <c r="BV91" s="341"/>
      <c r="BW91" s="341"/>
      <c r="BX91" s="341"/>
      <c r="BY91" s="341"/>
      <c r="BZ91" s="341"/>
      <c r="CA91" s="341"/>
      <c r="CB91" s="341"/>
      <c r="CC91" s="341"/>
      <c r="CD91" s="341"/>
      <c r="CE91" s="341"/>
      <c r="CF91" s="341"/>
    </row>
  </sheetData>
  <phoneticPr fontId="3" type="noConversion"/>
  <pageMargins left="0.75" right="0.75" top="1" bottom="1" header="0.5" footer="0.5"/>
  <pageSetup scale="32" orientation="landscape" r:id="rId1"/>
  <headerFooter alignWithMargins="0"/>
  <ignoredErrors>
    <ignoredError sqref="BQ8:BY15 BQ22:BY22 BQ21:BT21 BQ17:BY19 BQ16:BV16 BY16 BQ20:BY20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A1:CF47"/>
  <sheetViews>
    <sheetView tabSelected="1" zoomScaleNormal="100" workbookViewId="0">
      <pane xSplit="1" ySplit="5" topLeftCell="AP6" activePane="bottomRight" state="frozen"/>
      <selection activeCell="AM1" sqref="AM1"/>
      <selection pane="topRight" activeCell="AM1" sqref="AM1"/>
      <selection pane="bottomLeft" activeCell="AM1" sqref="AM1"/>
      <selection pane="bottomRight" activeCell="AY14" sqref="AY14"/>
    </sheetView>
  </sheetViews>
  <sheetFormatPr baseColWidth="10" defaultColWidth="6" defaultRowHeight="16" outlineLevelRow="1" outlineLevelCol="1"/>
  <cols>
    <col min="1" max="1" width="26.5" style="416" bestFit="1" customWidth="1"/>
    <col min="2" max="9" width="6" style="416" hidden="1" customWidth="1" outlineLevel="1"/>
    <col min="10" max="10" width="6" style="416" hidden="1" customWidth="1" outlineLevel="1" collapsed="1"/>
    <col min="11" max="14" width="6" style="416" hidden="1" customWidth="1" outlineLevel="1"/>
    <col min="15" max="15" width="6" style="416" hidden="1" customWidth="1" outlineLevel="1" collapsed="1"/>
    <col min="16" max="34" width="6" style="416" hidden="1" customWidth="1" outlineLevel="1"/>
    <col min="35" max="35" width="6" style="416" customWidth="1" collapsed="1"/>
    <col min="36" max="54" width="6" style="416" customWidth="1"/>
    <col min="55" max="66" width="6" style="416" customWidth="1" outlineLevel="1"/>
    <col min="67" max="67" width="6" style="416" customWidth="1"/>
    <col min="68" max="73" width="6" style="499" customWidth="1" outlineLevel="1"/>
    <col min="74" max="76" width="6" style="416" customWidth="1" outlineLevel="1"/>
    <col min="77" max="84" width="6" style="499" customWidth="1"/>
    <col min="85" max="16384" width="6" style="416"/>
  </cols>
  <sheetData>
    <row r="1" spans="1:84">
      <c r="A1" s="417" t="s">
        <v>502</v>
      </c>
      <c r="BY1" s="416"/>
      <c r="BZ1" s="416"/>
      <c r="CA1" s="416"/>
      <c r="CB1" s="416"/>
      <c r="CC1" s="416"/>
      <c r="CD1" s="416"/>
      <c r="CE1" s="416"/>
      <c r="CF1" s="416"/>
    </row>
    <row r="2" spans="1:84">
      <c r="A2" s="417" t="s">
        <v>503</v>
      </c>
      <c r="BY2" s="416"/>
      <c r="BZ2" s="416"/>
      <c r="CA2" s="416"/>
      <c r="CB2" s="416"/>
      <c r="CC2" s="416"/>
      <c r="CD2" s="416"/>
      <c r="CE2" s="416"/>
      <c r="CF2" s="416"/>
    </row>
    <row r="3" spans="1:84">
      <c r="A3" s="310" t="s">
        <v>312</v>
      </c>
      <c r="BY3" s="416"/>
      <c r="BZ3" s="416"/>
      <c r="CA3" s="416"/>
      <c r="CB3" s="416"/>
      <c r="CC3" s="416"/>
      <c r="CD3" s="416"/>
      <c r="CE3" s="416"/>
      <c r="CF3" s="416"/>
    </row>
    <row r="4" spans="1:84" s="499" customFormat="1" ht="12.75" customHeight="1">
      <c r="A4" s="418"/>
      <c r="B4" s="500">
        <v>40268</v>
      </c>
      <c r="C4" s="500">
        <v>40359</v>
      </c>
      <c r="D4" s="500">
        <v>40451</v>
      </c>
      <c r="E4" s="500">
        <v>40543</v>
      </c>
      <c r="F4" s="500">
        <v>40633</v>
      </c>
      <c r="G4" s="500">
        <v>40724</v>
      </c>
      <c r="H4" s="500">
        <v>40816</v>
      </c>
      <c r="I4" s="500">
        <v>40908</v>
      </c>
      <c r="J4" s="500">
        <v>40999</v>
      </c>
      <c r="K4" s="500">
        <v>41090</v>
      </c>
      <c r="L4" s="500">
        <v>41182</v>
      </c>
      <c r="M4" s="500">
        <v>41274</v>
      </c>
      <c r="N4" s="500">
        <v>41364</v>
      </c>
      <c r="O4" s="500">
        <v>41455</v>
      </c>
      <c r="P4" s="500">
        <v>41547</v>
      </c>
      <c r="Q4" s="500">
        <v>41639</v>
      </c>
      <c r="R4" s="500">
        <v>41729</v>
      </c>
      <c r="S4" s="500">
        <v>41820</v>
      </c>
      <c r="T4" s="500">
        <v>41912</v>
      </c>
      <c r="U4" s="500">
        <v>42004</v>
      </c>
      <c r="V4" s="500">
        <v>42094</v>
      </c>
      <c r="W4" s="500">
        <v>42185</v>
      </c>
      <c r="X4" s="500">
        <v>42277</v>
      </c>
      <c r="Y4" s="500">
        <v>42369</v>
      </c>
      <c r="Z4" s="500">
        <v>42460</v>
      </c>
      <c r="AA4" s="500">
        <v>42551</v>
      </c>
      <c r="AB4" s="500">
        <v>42643</v>
      </c>
      <c r="AC4" s="500">
        <v>42735</v>
      </c>
      <c r="AD4" s="500">
        <v>42825</v>
      </c>
      <c r="AE4" s="500">
        <v>42916</v>
      </c>
      <c r="AF4" s="500">
        <v>43008</v>
      </c>
      <c r="AG4" s="500">
        <v>43100</v>
      </c>
      <c r="AH4" s="500">
        <v>43190</v>
      </c>
      <c r="AI4" s="500">
        <v>43281</v>
      </c>
      <c r="AJ4" s="500">
        <v>43373</v>
      </c>
      <c r="AK4" s="500">
        <v>43465</v>
      </c>
      <c r="AL4" s="500">
        <v>43555</v>
      </c>
      <c r="AM4" s="500">
        <v>43646</v>
      </c>
      <c r="AN4" s="500">
        <v>43738</v>
      </c>
      <c r="AO4" s="500">
        <v>43830</v>
      </c>
      <c r="AP4" s="500">
        <v>43921</v>
      </c>
      <c r="AQ4" s="500">
        <v>44012</v>
      </c>
      <c r="AR4" s="500">
        <v>44104</v>
      </c>
      <c r="AS4" s="500">
        <v>44196</v>
      </c>
      <c r="AT4" s="500">
        <v>44286</v>
      </c>
      <c r="AU4" s="500">
        <v>44368</v>
      </c>
      <c r="AV4" s="500">
        <v>44460</v>
      </c>
      <c r="AW4" s="501" t="s">
        <v>258</v>
      </c>
      <c r="AX4" s="501" t="s">
        <v>259</v>
      </c>
      <c r="AY4" s="501">
        <v>44742</v>
      </c>
      <c r="AZ4" s="501">
        <v>44834</v>
      </c>
      <c r="BA4" s="501">
        <v>44926</v>
      </c>
      <c r="BB4" s="501">
        <v>45016</v>
      </c>
      <c r="BC4" s="501">
        <v>45107</v>
      </c>
      <c r="BD4" s="501">
        <v>45199</v>
      </c>
      <c r="BE4" s="501">
        <v>45291</v>
      </c>
      <c r="BF4" s="501">
        <v>45382</v>
      </c>
      <c r="BG4" s="501">
        <v>45473</v>
      </c>
      <c r="BH4" s="501">
        <v>45565</v>
      </c>
      <c r="BI4" s="501">
        <v>45657</v>
      </c>
      <c r="BJ4" s="501">
        <v>45747</v>
      </c>
      <c r="BK4" s="501">
        <v>45838</v>
      </c>
      <c r="BL4" s="501">
        <v>45930</v>
      </c>
      <c r="BM4" s="501">
        <v>46022</v>
      </c>
      <c r="BN4" s="501">
        <v>46112</v>
      </c>
      <c r="BO4" s="501"/>
      <c r="BP4" s="418">
        <v>2010</v>
      </c>
      <c r="BQ4" s="418">
        <v>2011</v>
      </c>
      <c r="BR4" s="418">
        <v>2012</v>
      </c>
      <c r="BS4" s="418">
        <v>2013</v>
      </c>
      <c r="BT4" s="418">
        <v>2014</v>
      </c>
      <c r="BU4" s="418">
        <v>2015</v>
      </c>
      <c r="BV4" s="418">
        <v>2016</v>
      </c>
      <c r="BW4" s="418">
        <v>2017</v>
      </c>
      <c r="BX4" s="418">
        <v>2018</v>
      </c>
      <c r="BY4" s="502">
        <v>2019</v>
      </c>
      <c r="BZ4" s="502">
        <v>2020</v>
      </c>
      <c r="CA4" s="502">
        <v>2021</v>
      </c>
      <c r="CB4" s="503">
        <v>2022</v>
      </c>
      <c r="CC4" s="503">
        <v>2023</v>
      </c>
      <c r="CD4" s="503">
        <v>2024</v>
      </c>
      <c r="CE4" s="503">
        <v>2025</v>
      </c>
      <c r="CF4" s="503">
        <v>2026</v>
      </c>
    </row>
    <row r="5" spans="1:84" s="504" customFormat="1">
      <c r="B5" s="504" t="s">
        <v>334</v>
      </c>
      <c r="C5" s="504" t="s">
        <v>335</v>
      </c>
      <c r="D5" s="504" t="s">
        <v>336</v>
      </c>
      <c r="E5" s="504" t="s">
        <v>337</v>
      </c>
      <c r="F5" s="504" t="s">
        <v>338</v>
      </c>
      <c r="G5" s="504" t="s">
        <v>339</v>
      </c>
      <c r="H5" s="504" t="s">
        <v>340</v>
      </c>
      <c r="I5" s="504" t="s">
        <v>341</v>
      </c>
      <c r="J5" s="504" t="s">
        <v>342</v>
      </c>
      <c r="K5" s="504" t="s">
        <v>343</v>
      </c>
      <c r="L5" s="504" t="s">
        <v>344</v>
      </c>
      <c r="M5" s="504" t="s">
        <v>345</v>
      </c>
      <c r="N5" s="504" t="s">
        <v>346</v>
      </c>
      <c r="O5" s="504" t="s">
        <v>347</v>
      </c>
      <c r="P5" s="504" t="s">
        <v>348</v>
      </c>
      <c r="Q5" s="504" t="s">
        <v>349</v>
      </c>
      <c r="R5" s="504" t="s">
        <v>350</v>
      </c>
      <c r="S5" s="504" t="s">
        <v>351</v>
      </c>
      <c r="T5" s="504" t="s">
        <v>352</v>
      </c>
      <c r="U5" s="504" t="s">
        <v>353</v>
      </c>
      <c r="V5" s="504" t="s">
        <v>354</v>
      </c>
      <c r="W5" s="504" t="s">
        <v>355</v>
      </c>
      <c r="X5" s="504" t="s">
        <v>356</v>
      </c>
      <c r="Y5" s="504" t="s">
        <v>357</v>
      </c>
      <c r="Z5" s="504" t="s">
        <v>358</v>
      </c>
      <c r="AA5" s="504" t="s">
        <v>359</v>
      </c>
      <c r="AB5" s="504" t="s">
        <v>360</v>
      </c>
      <c r="AC5" s="504" t="s">
        <v>361</v>
      </c>
      <c r="AD5" s="504" t="s">
        <v>362</v>
      </c>
      <c r="AE5" s="504" t="s">
        <v>363</v>
      </c>
      <c r="AF5" s="504" t="s">
        <v>364</v>
      </c>
      <c r="AG5" s="504" t="s">
        <v>365</v>
      </c>
      <c r="AH5" s="504" t="s">
        <v>366</v>
      </c>
      <c r="AI5" s="504" t="s">
        <v>315</v>
      </c>
      <c r="AJ5" s="504" t="s">
        <v>314</v>
      </c>
      <c r="AK5" s="504" t="s">
        <v>235</v>
      </c>
      <c r="AL5" s="504" t="s">
        <v>236</v>
      </c>
      <c r="AM5" s="504" t="s">
        <v>237</v>
      </c>
      <c r="AN5" s="504" t="s">
        <v>238</v>
      </c>
      <c r="AO5" s="504" t="s">
        <v>239</v>
      </c>
      <c r="AP5" s="504" t="s">
        <v>240</v>
      </c>
      <c r="AQ5" s="504" t="s">
        <v>241</v>
      </c>
      <c r="AR5" s="504" t="s">
        <v>242</v>
      </c>
      <c r="AS5" s="504" t="s">
        <v>243</v>
      </c>
      <c r="AT5" s="504" t="s">
        <v>234</v>
      </c>
      <c r="AU5" s="504" t="s">
        <v>244</v>
      </c>
      <c r="AV5" s="504" t="s">
        <v>296</v>
      </c>
      <c r="AW5" s="504" t="s">
        <v>316</v>
      </c>
      <c r="AX5" s="504" t="s">
        <v>317</v>
      </c>
      <c r="AY5" s="504" t="s">
        <v>318</v>
      </c>
      <c r="AZ5" s="504" t="s">
        <v>319</v>
      </c>
      <c r="BA5" s="504" t="s">
        <v>320</v>
      </c>
      <c r="BB5" s="504" t="s">
        <v>321</v>
      </c>
      <c r="BC5" s="504" t="s">
        <v>322</v>
      </c>
      <c r="BD5" s="504" t="s">
        <v>323</v>
      </c>
      <c r="BE5" s="504" t="s">
        <v>324</v>
      </c>
      <c r="BF5" s="504" t="s">
        <v>325</v>
      </c>
      <c r="BG5" s="504" t="s">
        <v>326</v>
      </c>
      <c r="BH5" s="504" t="s">
        <v>327</v>
      </c>
      <c r="BI5" s="504" t="s">
        <v>328</v>
      </c>
      <c r="BJ5" s="504" t="s">
        <v>329</v>
      </c>
      <c r="BK5" s="504" t="s">
        <v>330</v>
      </c>
      <c r="BL5" s="504" t="s">
        <v>331</v>
      </c>
      <c r="BM5" s="504" t="s">
        <v>332</v>
      </c>
      <c r="BN5" s="504" t="s">
        <v>333</v>
      </c>
    </row>
    <row r="6" spans="1:84" outlineLevel="1">
      <c r="A6" s="422"/>
      <c r="B6" s="422"/>
      <c r="C6" s="422"/>
      <c r="D6" s="422"/>
      <c r="E6" s="422"/>
      <c r="F6" s="422"/>
      <c r="G6" s="422"/>
      <c r="H6" s="422"/>
      <c r="I6" s="422"/>
      <c r="J6" s="422"/>
      <c r="K6" s="422"/>
      <c r="L6" s="422"/>
      <c r="M6" s="422"/>
      <c r="N6" s="422"/>
      <c r="O6" s="422"/>
      <c r="P6" s="422"/>
      <c r="Q6" s="422"/>
      <c r="R6" s="422"/>
      <c r="S6" s="422"/>
      <c r="T6" s="422"/>
      <c r="U6" s="422"/>
      <c r="V6" s="422"/>
      <c r="W6" s="422"/>
      <c r="X6" s="422"/>
      <c r="Y6" s="422"/>
      <c r="Z6" s="422"/>
      <c r="AA6" s="422"/>
      <c r="AB6" s="422"/>
      <c r="AC6" s="422"/>
      <c r="AD6" s="422"/>
      <c r="AE6" s="422"/>
      <c r="AF6" s="422"/>
      <c r="AG6" s="422"/>
      <c r="AH6" s="422"/>
      <c r="AI6" s="422"/>
      <c r="AJ6" s="422"/>
      <c r="AK6" s="422"/>
      <c r="AL6" s="422"/>
      <c r="AM6" s="422"/>
      <c r="AN6" s="422"/>
      <c r="AO6" s="422"/>
      <c r="AP6" s="422"/>
      <c r="AQ6" s="422"/>
      <c r="AR6" s="422"/>
      <c r="AS6" s="422"/>
      <c r="AT6" s="422"/>
      <c r="AU6" s="422"/>
      <c r="AV6" s="422"/>
      <c r="AW6" s="422"/>
      <c r="AX6" s="422"/>
      <c r="AY6" s="422"/>
      <c r="AZ6" s="422"/>
      <c r="BA6" s="422"/>
      <c r="BB6" s="422"/>
      <c r="BC6" s="422"/>
      <c r="BD6" s="422"/>
      <c r="BE6" s="422"/>
      <c r="BF6" s="422"/>
      <c r="BG6" s="422"/>
      <c r="BH6" s="422"/>
      <c r="BI6" s="422"/>
      <c r="BJ6" s="422"/>
      <c r="BK6" s="422"/>
      <c r="BL6" s="422"/>
      <c r="BM6" s="422"/>
      <c r="BN6" s="422"/>
      <c r="BO6" s="422"/>
      <c r="BP6" s="505"/>
      <c r="BQ6" s="505"/>
      <c r="BR6" s="505"/>
      <c r="BS6" s="505"/>
      <c r="BT6" s="505"/>
      <c r="BU6" s="505"/>
      <c r="BV6" s="506"/>
      <c r="BW6" s="506"/>
      <c r="BX6" s="506"/>
      <c r="BY6" s="505"/>
      <c r="BZ6" s="505"/>
      <c r="CA6" s="505"/>
      <c r="CB6" s="505"/>
      <c r="CC6" s="505"/>
      <c r="CD6" s="505"/>
      <c r="CE6" s="505"/>
      <c r="CF6" s="505"/>
    </row>
    <row r="7" spans="1:84" s="419" customFormat="1" outlineLevel="1">
      <c r="A7" s="507" t="s">
        <v>38</v>
      </c>
      <c r="B7" s="508" t="s">
        <v>17</v>
      </c>
      <c r="C7" s="509">
        <f>CF!B45</f>
        <v>1273</v>
      </c>
      <c r="D7" s="509">
        <f>CF!C45</f>
        <v>1057</v>
      </c>
      <c r="E7" s="509">
        <f>CF!D45</f>
        <v>1056</v>
      </c>
      <c r="F7" s="509">
        <f>CF!E45</f>
        <v>1353</v>
      </c>
      <c r="G7" s="509">
        <f>CF!F45</f>
        <v>1579</v>
      </c>
      <c r="H7" s="509">
        <f>CF!G45</f>
        <v>1173</v>
      </c>
      <c r="I7" s="509">
        <f>CF!H45</f>
        <v>930</v>
      </c>
      <c r="J7" s="509">
        <f>CF!I45</f>
        <v>1242</v>
      </c>
      <c r="K7" s="509">
        <f>CF!J45</f>
        <v>1293</v>
      </c>
      <c r="L7" s="509">
        <f>CF!K45</f>
        <v>919</v>
      </c>
      <c r="M7" s="509">
        <f>CF!L45</f>
        <v>871</v>
      </c>
      <c r="N7" s="509">
        <f>CF!M45</f>
        <v>1158</v>
      </c>
      <c r="O7" s="509">
        <f>CF!N45</f>
        <v>1292</v>
      </c>
      <c r="P7" s="509">
        <f>CF!O45</f>
        <v>1056</v>
      </c>
      <c r="Q7" s="509">
        <f>CF!P45</f>
        <v>1090</v>
      </c>
      <c r="R7" s="509">
        <f>CF!Q45</f>
        <v>1746</v>
      </c>
      <c r="S7" s="509">
        <f>CF!R45</f>
        <v>1782</v>
      </c>
      <c r="T7" s="509">
        <f>CF!S45</f>
        <v>1554</v>
      </c>
      <c r="U7" s="509">
        <f>CF!T45</f>
        <v>1624</v>
      </c>
      <c r="V7" s="509">
        <f>CF!U45</f>
        <v>2166</v>
      </c>
      <c r="W7" s="509">
        <f>CF!V45</f>
        <v>2068</v>
      </c>
      <c r="X7" s="509">
        <f>CF!W45</f>
        <v>1810</v>
      </c>
      <c r="Y7" s="509">
        <f>CF!X45</f>
        <v>1598</v>
      </c>
      <c r="Z7" s="509">
        <f>CF!Y45</f>
        <v>2263</v>
      </c>
      <c r="AA7" s="509">
        <f>CF!Z45</f>
        <v>2493</v>
      </c>
      <c r="AB7" s="509">
        <f>CF!AA45</f>
        <v>2042</v>
      </c>
      <c r="AC7" s="509">
        <f>CF!AB45</f>
        <v>1746</v>
      </c>
      <c r="AD7" s="509">
        <f>CF!AC45</f>
        <v>2483</v>
      </c>
      <c r="AE7" s="509">
        <f>CF!AD45</f>
        <v>2565</v>
      </c>
      <c r="AF7" s="509">
        <f>CF!AE45</f>
        <v>2248</v>
      </c>
      <c r="AG7" s="509">
        <f>CF!AF45</f>
        <v>2067</v>
      </c>
      <c r="AH7" s="509">
        <f>CF!AG45</f>
        <v>2566</v>
      </c>
      <c r="AI7" s="509">
        <f>CF!AH45</f>
        <v>4258</v>
      </c>
      <c r="AJ7" s="509">
        <f>CF!AI45</f>
        <v>3876</v>
      </c>
      <c r="AK7" s="509">
        <f>CF!AJ45</f>
        <v>2881</v>
      </c>
      <c r="AL7" s="509">
        <f>CF!AK45</f>
        <v>3887</v>
      </c>
      <c r="AM7" s="509">
        <f>CF!AL45</f>
        <v>4708</v>
      </c>
      <c r="AN7" s="509">
        <f>CF!AM45</f>
        <v>3533</v>
      </c>
      <c r="AO7" s="509">
        <f>CF!AN45</f>
        <v>2940</v>
      </c>
      <c r="AP7" s="509">
        <f>CF!AO45</f>
        <v>3603</v>
      </c>
      <c r="AQ7" s="509">
        <f>CF!AP45</f>
        <v>3768</v>
      </c>
      <c r="AR7" s="509">
        <f>CF!AQ45</f>
        <v>4013</v>
      </c>
      <c r="AS7" s="509">
        <f>CF!AR45</f>
        <v>4059</v>
      </c>
      <c r="AT7" s="509">
        <f>CF!AS45</f>
        <v>4772</v>
      </c>
      <c r="AU7" s="509">
        <f>CF!AT45</f>
        <v>5260</v>
      </c>
      <c r="AV7" s="509">
        <f>CF!AU45</f>
        <v>2838</v>
      </c>
      <c r="AW7" s="509">
        <f>CF!AV45</f>
        <v>1630</v>
      </c>
      <c r="AX7" s="509">
        <f>CF!AW45</f>
        <v>2750.1784937746747</v>
      </c>
      <c r="AY7" s="509">
        <f>CF!AX45</f>
        <v>2877.4178895926138</v>
      </c>
      <c r="AZ7" s="509">
        <f>CF!AY45</f>
        <v>2617.7868347343997</v>
      </c>
      <c r="BA7" s="509">
        <f>CF!AZ45</f>
        <v>2230.1313157178229</v>
      </c>
      <c r="BB7" s="509">
        <f>CF!BA45</f>
        <v>3431.6350056097444</v>
      </c>
      <c r="BC7" s="509">
        <f>CF!BB45</f>
        <v>3953.5799705636864</v>
      </c>
      <c r="BD7" s="509">
        <f>CF!BC45</f>
        <v>3965.8515278773916</v>
      </c>
      <c r="BE7" s="509">
        <f>CF!BD45</f>
        <v>3950.7869153586676</v>
      </c>
      <c r="BF7" s="509">
        <f>CF!BE45</f>
        <v>5636.1905629768244</v>
      </c>
      <c r="BG7" s="509">
        <f>CF!BF45</f>
        <v>6138.7861014268447</v>
      </c>
      <c r="BH7" s="509">
        <f>CF!BG45</f>
        <v>6221.8665335408905</v>
      </c>
      <c r="BI7" s="509">
        <f>CF!BH45</f>
        <v>6278.363104487431</v>
      </c>
      <c r="BJ7" s="509">
        <f>CF!BI45</f>
        <v>8104.6993660625076</v>
      </c>
      <c r="BK7" s="509">
        <f>CF!BJ45</f>
        <v>8652.3163990148969</v>
      </c>
      <c r="BL7" s="509">
        <f>CF!BK45</f>
        <v>8758.4508953769982</v>
      </c>
      <c r="BM7" s="509">
        <f>CF!BL45</f>
        <v>8759.4570481210212</v>
      </c>
      <c r="BN7" s="509">
        <f>CF!BM45</f>
        <v>10625.340775848017</v>
      </c>
      <c r="BO7" s="509"/>
      <c r="BP7" s="510">
        <v>1621</v>
      </c>
      <c r="BQ7" s="511">
        <f>BP8</f>
        <v>1273</v>
      </c>
      <c r="BR7" s="511">
        <f t="shared" ref="BR7:CF7" si="0">BQ8</f>
        <v>1579</v>
      </c>
      <c r="BS7" s="511">
        <f t="shared" si="0"/>
        <v>1293</v>
      </c>
      <c r="BT7" s="511">
        <f t="shared" si="0"/>
        <v>1292</v>
      </c>
      <c r="BU7" s="511">
        <f t="shared" si="0"/>
        <v>1782</v>
      </c>
      <c r="BV7" s="512">
        <f t="shared" si="0"/>
        <v>2068</v>
      </c>
      <c r="BW7" s="512">
        <f t="shared" si="0"/>
        <v>2493</v>
      </c>
      <c r="BX7" s="512">
        <f t="shared" si="0"/>
        <v>2565</v>
      </c>
      <c r="BY7" s="511">
        <f t="shared" si="0"/>
        <v>4258</v>
      </c>
      <c r="BZ7" s="511">
        <f t="shared" si="0"/>
        <v>4708</v>
      </c>
      <c r="CA7" s="511">
        <f t="shared" si="0"/>
        <v>3768</v>
      </c>
      <c r="CB7" s="511">
        <f t="shared" si="0"/>
        <v>5260</v>
      </c>
      <c r="CC7" s="511">
        <f t="shared" si="0"/>
        <v>2877.4178895926138</v>
      </c>
      <c r="CD7" s="511">
        <f t="shared" si="0"/>
        <v>3953.5799705636864</v>
      </c>
      <c r="CE7" s="511">
        <f t="shared" si="0"/>
        <v>6138.7861014268447</v>
      </c>
      <c r="CF7" s="511">
        <f t="shared" si="0"/>
        <v>8652.3163990148969</v>
      </c>
    </row>
    <row r="8" spans="1:84" s="419" customFormat="1" outlineLevel="1">
      <c r="A8" s="507" t="s">
        <v>39</v>
      </c>
      <c r="B8" s="509">
        <f>CF!B45</f>
        <v>1273</v>
      </c>
      <c r="C8" s="509">
        <f>CF!C45</f>
        <v>1057</v>
      </c>
      <c r="D8" s="509">
        <f>CF!D45</f>
        <v>1056</v>
      </c>
      <c r="E8" s="509">
        <f>CF!E45</f>
        <v>1353</v>
      </c>
      <c r="F8" s="509">
        <f>CF!F45</f>
        <v>1579</v>
      </c>
      <c r="G8" s="509">
        <f>CF!G45</f>
        <v>1173</v>
      </c>
      <c r="H8" s="509">
        <f>CF!H45</f>
        <v>930</v>
      </c>
      <c r="I8" s="509">
        <f>CF!I45</f>
        <v>1242</v>
      </c>
      <c r="J8" s="509">
        <f>CF!J45</f>
        <v>1293</v>
      </c>
      <c r="K8" s="509">
        <f>CF!K45</f>
        <v>919</v>
      </c>
      <c r="L8" s="509">
        <f>CF!L45</f>
        <v>871</v>
      </c>
      <c r="M8" s="509">
        <f>CF!M45</f>
        <v>1158</v>
      </c>
      <c r="N8" s="509">
        <f>CF!N45</f>
        <v>1292</v>
      </c>
      <c r="O8" s="509">
        <f>CF!O45</f>
        <v>1056</v>
      </c>
      <c r="P8" s="509">
        <f>CF!P45</f>
        <v>1090</v>
      </c>
      <c r="Q8" s="509">
        <f>CF!Q45</f>
        <v>1746</v>
      </c>
      <c r="R8" s="509">
        <f>CF!R45</f>
        <v>1782</v>
      </c>
      <c r="S8" s="509">
        <f>CF!S45</f>
        <v>1554</v>
      </c>
      <c r="T8" s="509">
        <f>CF!T45</f>
        <v>1624</v>
      </c>
      <c r="U8" s="509">
        <f>CF!U45</f>
        <v>2166</v>
      </c>
      <c r="V8" s="509">
        <f>CF!V45</f>
        <v>2068</v>
      </c>
      <c r="W8" s="509">
        <f>CF!W45</f>
        <v>1810</v>
      </c>
      <c r="X8" s="509">
        <f>CF!X45</f>
        <v>1598</v>
      </c>
      <c r="Y8" s="509">
        <f>CF!Y45</f>
        <v>2263</v>
      </c>
      <c r="Z8" s="509">
        <f>CF!Z45</f>
        <v>2493</v>
      </c>
      <c r="AA8" s="509">
        <f>CF!AA45</f>
        <v>2042</v>
      </c>
      <c r="AB8" s="509">
        <f>CF!AB45</f>
        <v>1746</v>
      </c>
      <c r="AC8" s="509">
        <f>CF!AC45</f>
        <v>2483</v>
      </c>
      <c r="AD8" s="509">
        <f>CF!AD45</f>
        <v>2565</v>
      </c>
      <c r="AE8" s="509">
        <f>CF!AE45</f>
        <v>2248</v>
      </c>
      <c r="AF8" s="509">
        <f>CF!AF45</f>
        <v>2067</v>
      </c>
      <c r="AG8" s="509">
        <f>CF!AG45</f>
        <v>2566</v>
      </c>
      <c r="AH8" s="509">
        <f>CF!AH45</f>
        <v>4258</v>
      </c>
      <c r="AI8" s="509">
        <f>CF!AI45</f>
        <v>3876</v>
      </c>
      <c r="AJ8" s="509">
        <f>CF!AJ45</f>
        <v>2881</v>
      </c>
      <c r="AK8" s="509">
        <f>CF!AK45</f>
        <v>3887</v>
      </c>
      <c r="AL8" s="509">
        <f>CF!AL45</f>
        <v>4708</v>
      </c>
      <c r="AM8" s="509">
        <f>CF!AM45</f>
        <v>3533</v>
      </c>
      <c r="AN8" s="509">
        <f>CF!AN45</f>
        <v>2940</v>
      </c>
      <c r="AO8" s="509">
        <f>CF!AO45</f>
        <v>3603</v>
      </c>
      <c r="AP8" s="509">
        <f>CF!AP45</f>
        <v>3768</v>
      </c>
      <c r="AQ8" s="509">
        <f>CF!AQ45</f>
        <v>4013</v>
      </c>
      <c r="AR8" s="509">
        <f>CF!AR45</f>
        <v>4059</v>
      </c>
      <c r="AS8" s="509">
        <f>CF!AS45</f>
        <v>4772</v>
      </c>
      <c r="AT8" s="509">
        <f>CF!AT45</f>
        <v>5260</v>
      </c>
      <c r="AU8" s="509">
        <f>CF!AU45</f>
        <v>2838</v>
      </c>
      <c r="AV8" s="509">
        <f>CF!AV45</f>
        <v>1630</v>
      </c>
      <c r="AW8" s="509">
        <f>CF!AW45</f>
        <v>2750.1784937746747</v>
      </c>
      <c r="AX8" s="509">
        <f>CF!AX45</f>
        <v>2877.4178895926138</v>
      </c>
      <c r="AY8" s="509">
        <f>CF!AY45</f>
        <v>2617.7868347343997</v>
      </c>
      <c r="AZ8" s="509">
        <f>CF!AZ45</f>
        <v>2230.1313157178229</v>
      </c>
      <c r="BA8" s="509">
        <f>CF!BA45</f>
        <v>3431.6350056097444</v>
      </c>
      <c r="BB8" s="509">
        <f>CF!BB45</f>
        <v>3953.5799705636864</v>
      </c>
      <c r="BC8" s="509">
        <f>CF!BC45</f>
        <v>3965.8515278773916</v>
      </c>
      <c r="BD8" s="509">
        <f>CF!BD45</f>
        <v>3950.7869153586676</v>
      </c>
      <c r="BE8" s="509">
        <f>CF!BE45</f>
        <v>5636.1905629768244</v>
      </c>
      <c r="BF8" s="509">
        <f>CF!BF45</f>
        <v>6138.7861014268447</v>
      </c>
      <c r="BG8" s="509">
        <f>CF!BG45</f>
        <v>6221.8665335408905</v>
      </c>
      <c r="BH8" s="509">
        <f>CF!BH45</f>
        <v>6278.363104487431</v>
      </c>
      <c r="BI8" s="509">
        <f>CF!BI45</f>
        <v>8104.6993660625076</v>
      </c>
      <c r="BJ8" s="509">
        <f>CF!BJ45</f>
        <v>8652.3163990148969</v>
      </c>
      <c r="BK8" s="509">
        <f>CF!BK45</f>
        <v>8758.4508953769982</v>
      </c>
      <c r="BL8" s="509">
        <f>CF!BL45</f>
        <v>8759.4570481210212</v>
      </c>
      <c r="BM8" s="509">
        <f>CF!BM45</f>
        <v>10625.340775848017</v>
      </c>
      <c r="BN8" s="509">
        <f>CF!BN45</f>
        <v>11221.946496285762</v>
      </c>
      <c r="BO8" s="509"/>
      <c r="BP8" s="510">
        <v>1273</v>
      </c>
      <c r="BQ8" s="511">
        <f>F8</f>
        <v>1579</v>
      </c>
      <c r="BR8" s="511">
        <f>J8</f>
        <v>1293</v>
      </c>
      <c r="BS8" s="511">
        <f>N8</f>
        <v>1292</v>
      </c>
      <c r="BT8" s="511">
        <f>R8</f>
        <v>1782</v>
      </c>
      <c r="BU8" s="511">
        <f>V8</f>
        <v>2068</v>
      </c>
      <c r="BV8" s="512">
        <f>Z8</f>
        <v>2493</v>
      </c>
      <c r="BW8" s="512">
        <f>AD8</f>
        <v>2565</v>
      </c>
      <c r="BX8" s="512">
        <f>AH8</f>
        <v>4258</v>
      </c>
      <c r="BY8" s="511">
        <f>AL8</f>
        <v>4708</v>
      </c>
      <c r="BZ8" s="511">
        <f>AP8</f>
        <v>3768</v>
      </c>
      <c r="CA8" s="511">
        <f>AT8</f>
        <v>5260</v>
      </c>
      <c r="CB8" s="511">
        <f>AX8</f>
        <v>2877.4178895926138</v>
      </c>
      <c r="CC8" s="511">
        <f>BB8</f>
        <v>3953.5799705636864</v>
      </c>
      <c r="CD8" s="511">
        <f>BF8</f>
        <v>6138.7861014268447</v>
      </c>
      <c r="CE8" s="511">
        <f>BJ8</f>
        <v>8652.3163990148969</v>
      </c>
      <c r="CF8" s="511">
        <f>BN8</f>
        <v>11221.946496285762</v>
      </c>
    </row>
    <row r="9" spans="1:84" s="419" customFormat="1" outlineLevel="1">
      <c r="A9" s="507" t="s">
        <v>40</v>
      </c>
      <c r="B9" s="513">
        <v>0</v>
      </c>
      <c r="C9" s="513">
        <v>0</v>
      </c>
      <c r="D9" s="513">
        <v>0</v>
      </c>
      <c r="E9" s="513">
        <v>0</v>
      </c>
      <c r="F9" s="513">
        <v>0</v>
      </c>
      <c r="G9" s="513">
        <v>0</v>
      </c>
      <c r="H9" s="513">
        <v>0</v>
      </c>
      <c r="I9" s="513">
        <v>0</v>
      </c>
      <c r="J9" s="513">
        <v>0</v>
      </c>
      <c r="K9" s="513">
        <v>0</v>
      </c>
      <c r="L9" s="513">
        <v>0</v>
      </c>
      <c r="M9" s="513">
        <v>0</v>
      </c>
      <c r="N9" s="513">
        <v>0</v>
      </c>
      <c r="O9" s="513">
        <v>0</v>
      </c>
      <c r="P9" s="513">
        <v>0</v>
      </c>
      <c r="Q9" s="513">
        <v>0</v>
      </c>
      <c r="R9" s="513">
        <v>0</v>
      </c>
      <c r="S9" s="513">
        <v>0</v>
      </c>
      <c r="T9" s="513">
        <v>0</v>
      </c>
      <c r="U9" s="513">
        <v>0</v>
      </c>
      <c r="V9" s="513">
        <v>0</v>
      </c>
      <c r="W9" s="513">
        <v>0</v>
      </c>
      <c r="X9" s="513">
        <v>0</v>
      </c>
      <c r="Y9" s="513">
        <v>0</v>
      </c>
      <c r="Z9" s="513">
        <v>0</v>
      </c>
      <c r="AA9" s="513">
        <v>0</v>
      </c>
      <c r="AB9" s="513">
        <v>0</v>
      </c>
      <c r="AC9" s="513">
        <v>0</v>
      </c>
      <c r="AD9" s="513">
        <v>0</v>
      </c>
      <c r="AE9" s="513">
        <v>0</v>
      </c>
      <c r="AF9" s="513">
        <v>0</v>
      </c>
      <c r="AG9" s="513">
        <v>0</v>
      </c>
      <c r="AH9" s="513">
        <v>0</v>
      </c>
      <c r="AI9" s="513">
        <v>0</v>
      </c>
      <c r="AJ9" s="513">
        <v>0</v>
      </c>
      <c r="AK9" s="513">
        <v>0</v>
      </c>
      <c r="AL9" s="513">
        <v>0</v>
      </c>
      <c r="AM9" s="513">
        <v>0</v>
      </c>
      <c r="AN9" s="513">
        <v>0</v>
      </c>
      <c r="AO9" s="513">
        <v>0</v>
      </c>
      <c r="AP9" s="513">
        <v>0</v>
      </c>
      <c r="AQ9" s="513">
        <v>0</v>
      </c>
      <c r="AR9" s="513">
        <v>0</v>
      </c>
      <c r="AS9" s="513">
        <v>0</v>
      </c>
      <c r="AT9" s="513">
        <v>0</v>
      </c>
      <c r="AU9" s="513">
        <v>0</v>
      </c>
      <c r="AV9" s="513">
        <v>0</v>
      </c>
      <c r="AW9" s="513">
        <v>0</v>
      </c>
      <c r="AX9" s="513">
        <v>0</v>
      </c>
      <c r="AY9" s="513">
        <v>0</v>
      </c>
      <c r="AZ9" s="513">
        <v>0</v>
      </c>
      <c r="BA9" s="513">
        <v>0</v>
      </c>
      <c r="BB9" s="513">
        <v>0</v>
      </c>
      <c r="BC9" s="513">
        <v>0</v>
      </c>
      <c r="BD9" s="513">
        <v>0</v>
      </c>
      <c r="BE9" s="513">
        <v>0</v>
      </c>
      <c r="BF9" s="513">
        <v>0</v>
      </c>
      <c r="BG9" s="513">
        <v>0</v>
      </c>
      <c r="BH9" s="513">
        <v>0</v>
      </c>
      <c r="BI9" s="513">
        <v>0</v>
      </c>
      <c r="BJ9" s="513">
        <v>0</v>
      </c>
      <c r="BK9" s="513">
        <v>0</v>
      </c>
      <c r="BL9" s="513">
        <v>0</v>
      </c>
      <c r="BM9" s="513">
        <v>0</v>
      </c>
      <c r="BN9" s="513">
        <v>0</v>
      </c>
      <c r="BO9" s="513"/>
      <c r="BP9" s="511">
        <f>E9</f>
        <v>0</v>
      </c>
      <c r="BQ9" s="511">
        <f>F9</f>
        <v>0</v>
      </c>
      <c r="BR9" s="511">
        <f>J9</f>
        <v>0</v>
      </c>
      <c r="BS9" s="511">
        <f>N9</f>
        <v>0</v>
      </c>
      <c r="BT9" s="511">
        <f>R9</f>
        <v>0</v>
      </c>
      <c r="BU9" s="511">
        <f>V9</f>
        <v>0</v>
      </c>
      <c r="BV9" s="512">
        <f>Z9</f>
        <v>0</v>
      </c>
      <c r="BW9" s="512">
        <f>AD9</f>
        <v>0</v>
      </c>
      <c r="BX9" s="512">
        <f>AH9</f>
        <v>0</v>
      </c>
      <c r="BY9" s="511">
        <f>AL9</f>
        <v>0</v>
      </c>
      <c r="BZ9" s="511">
        <f>AP9</f>
        <v>0</v>
      </c>
      <c r="CA9" s="511">
        <f>AT9</f>
        <v>0</v>
      </c>
      <c r="CB9" s="511">
        <f>AX9</f>
        <v>0</v>
      </c>
      <c r="CC9" s="511">
        <f>BB9</f>
        <v>0</v>
      </c>
      <c r="CD9" s="511">
        <f>BF9</f>
        <v>0</v>
      </c>
      <c r="CE9" s="511">
        <f>BJ9</f>
        <v>0</v>
      </c>
      <c r="CF9" s="511">
        <f>BN9</f>
        <v>0</v>
      </c>
    </row>
    <row r="10" spans="1:84" outlineLevel="1">
      <c r="A10" s="422"/>
      <c r="B10" s="422"/>
      <c r="C10" s="422"/>
      <c r="D10" s="422"/>
      <c r="E10" s="422"/>
      <c r="F10" s="422"/>
      <c r="G10" s="422"/>
      <c r="H10" s="422"/>
      <c r="I10" s="422"/>
      <c r="J10" s="422"/>
      <c r="K10" s="422"/>
      <c r="L10" s="422"/>
      <c r="M10" s="422"/>
      <c r="N10" s="422"/>
      <c r="O10" s="422"/>
      <c r="P10" s="422"/>
      <c r="Q10" s="422"/>
      <c r="R10" s="422"/>
      <c r="S10" s="422"/>
      <c r="T10" s="422"/>
      <c r="U10" s="422"/>
      <c r="V10" s="422"/>
      <c r="W10" s="422"/>
      <c r="X10" s="422"/>
      <c r="Y10" s="422"/>
      <c r="Z10" s="422"/>
      <c r="AA10" s="422"/>
      <c r="AB10" s="422"/>
      <c r="AC10" s="422"/>
      <c r="AD10" s="422"/>
      <c r="AE10" s="422"/>
      <c r="AF10" s="422"/>
      <c r="AG10" s="422"/>
      <c r="AH10" s="422"/>
      <c r="AI10" s="422"/>
      <c r="AJ10" s="422"/>
      <c r="AK10" s="422"/>
      <c r="AL10" s="422"/>
      <c r="AM10" s="422"/>
      <c r="AN10" s="422"/>
      <c r="AO10" s="422"/>
      <c r="AP10" s="422"/>
      <c r="AQ10" s="422"/>
      <c r="AR10" s="422"/>
      <c r="AS10" s="422"/>
      <c r="AT10" s="422"/>
      <c r="AU10" s="422"/>
      <c r="AV10" s="422"/>
      <c r="AW10" s="422"/>
      <c r="AX10" s="422"/>
      <c r="AY10" s="422"/>
      <c r="AZ10" s="422"/>
      <c r="BA10" s="422"/>
      <c r="BB10" s="422"/>
      <c r="BC10" s="422"/>
      <c r="BD10" s="422"/>
      <c r="BE10" s="422"/>
      <c r="BF10" s="422"/>
      <c r="BG10" s="422"/>
      <c r="BH10" s="422"/>
      <c r="BI10" s="422"/>
      <c r="BJ10" s="422"/>
      <c r="BK10" s="422"/>
      <c r="BL10" s="422"/>
      <c r="BM10" s="422"/>
      <c r="BN10" s="422"/>
      <c r="BO10" s="422"/>
      <c r="BP10" s="505"/>
      <c r="BQ10" s="505"/>
      <c r="BR10" s="505"/>
      <c r="BS10" s="505"/>
      <c r="BT10" s="505"/>
      <c r="BU10" s="505"/>
      <c r="BV10" s="506"/>
      <c r="BW10" s="506"/>
      <c r="BX10" s="506"/>
      <c r="BY10" s="505"/>
      <c r="BZ10" s="505"/>
      <c r="CA10" s="505"/>
      <c r="CB10" s="505"/>
      <c r="CC10" s="505"/>
      <c r="CD10" s="505"/>
      <c r="CE10" s="505"/>
      <c r="CF10" s="505"/>
    </row>
    <row r="11" spans="1:84" s="419" customFormat="1" outlineLevel="1">
      <c r="A11" s="507" t="s">
        <v>41</v>
      </c>
      <c r="B11" s="509">
        <f t="shared" ref="B11:L11" si="1">B8-B9</f>
        <v>1273</v>
      </c>
      <c r="C11" s="509">
        <f t="shared" si="1"/>
        <v>1057</v>
      </c>
      <c r="D11" s="509">
        <f t="shared" si="1"/>
        <v>1056</v>
      </c>
      <c r="E11" s="509">
        <f t="shared" si="1"/>
        <v>1353</v>
      </c>
      <c r="F11" s="509">
        <f t="shared" si="1"/>
        <v>1579</v>
      </c>
      <c r="G11" s="509">
        <f t="shared" si="1"/>
        <v>1173</v>
      </c>
      <c r="H11" s="509">
        <f t="shared" si="1"/>
        <v>930</v>
      </c>
      <c r="I11" s="509">
        <f t="shared" si="1"/>
        <v>1242</v>
      </c>
      <c r="J11" s="509">
        <f t="shared" si="1"/>
        <v>1293</v>
      </c>
      <c r="K11" s="509">
        <f t="shared" si="1"/>
        <v>919</v>
      </c>
      <c r="L11" s="509">
        <f t="shared" si="1"/>
        <v>871</v>
      </c>
      <c r="M11" s="509">
        <f t="shared" ref="M11:R11" si="2">M8-M9</f>
        <v>1158</v>
      </c>
      <c r="N11" s="509">
        <f t="shared" si="2"/>
        <v>1292</v>
      </c>
      <c r="O11" s="509">
        <f t="shared" si="2"/>
        <v>1056</v>
      </c>
      <c r="P11" s="509">
        <f t="shared" si="2"/>
        <v>1090</v>
      </c>
      <c r="Q11" s="509">
        <f t="shared" si="2"/>
        <v>1746</v>
      </c>
      <c r="R11" s="509">
        <f t="shared" si="2"/>
        <v>1782</v>
      </c>
      <c r="S11" s="509">
        <f>S8-S9</f>
        <v>1554</v>
      </c>
      <c r="T11" s="509">
        <f>T8-T9</f>
        <v>1624</v>
      </c>
      <c r="U11" s="509">
        <f>U8-U9</f>
        <v>2166</v>
      </c>
      <c r="V11" s="509">
        <f>V8-V9</f>
        <v>2068</v>
      </c>
      <c r="W11" s="509">
        <f>W8-W9</f>
        <v>1810</v>
      </c>
      <c r="X11" s="509">
        <f t="shared" ref="X11:AC11" si="3">X8-X9</f>
        <v>1598</v>
      </c>
      <c r="Y11" s="509">
        <f t="shared" si="3"/>
        <v>2263</v>
      </c>
      <c r="Z11" s="509">
        <f t="shared" si="3"/>
        <v>2493</v>
      </c>
      <c r="AA11" s="509">
        <f t="shared" si="3"/>
        <v>2042</v>
      </c>
      <c r="AB11" s="509">
        <f t="shared" si="3"/>
        <v>1746</v>
      </c>
      <c r="AC11" s="509">
        <f t="shared" si="3"/>
        <v>2483</v>
      </c>
      <c r="AD11" s="509">
        <f t="shared" ref="AD11:AI11" si="4">AD8-AD9</f>
        <v>2565</v>
      </c>
      <c r="AE11" s="509">
        <f t="shared" si="4"/>
        <v>2248</v>
      </c>
      <c r="AF11" s="509">
        <f t="shared" si="4"/>
        <v>2067</v>
      </c>
      <c r="AG11" s="509">
        <f t="shared" si="4"/>
        <v>2566</v>
      </c>
      <c r="AH11" s="509">
        <f t="shared" si="4"/>
        <v>4258</v>
      </c>
      <c r="AI11" s="509">
        <f t="shared" si="4"/>
        <v>3876</v>
      </c>
      <c r="AJ11" s="509">
        <f t="shared" ref="AJ11:AP11" si="5">AJ8-AJ9</f>
        <v>2881</v>
      </c>
      <c r="AK11" s="509">
        <f t="shared" si="5"/>
        <v>3887</v>
      </c>
      <c r="AL11" s="509">
        <f t="shared" si="5"/>
        <v>4708</v>
      </c>
      <c r="AM11" s="509">
        <f t="shared" si="5"/>
        <v>3533</v>
      </c>
      <c r="AN11" s="509">
        <f t="shared" si="5"/>
        <v>2940</v>
      </c>
      <c r="AO11" s="509">
        <f t="shared" si="5"/>
        <v>3603</v>
      </c>
      <c r="AP11" s="509">
        <f t="shared" si="5"/>
        <v>3768</v>
      </c>
      <c r="AQ11" s="509">
        <f>AQ8-AQ9</f>
        <v>4013</v>
      </c>
      <c r="AR11" s="509">
        <f>AR8-AR9</f>
        <v>4059</v>
      </c>
      <c r="AS11" s="509">
        <f t="shared" ref="AS11:AX11" si="6">AS8-AS9</f>
        <v>4772</v>
      </c>
      <c r="AT11" s="509">
        <f t="shared" si="6"/>
        <v>5260</v>
      </c>
      <c r="AU11" s="509">
        <f t="shared" si="6"/>
        <v>2838</v>
      </c>
      <c r="AV11" s="509">
        <f t="shared" si="6"/>
        <v>1630</v>
      </c>
      <c r="AW11" s="509">
        <f t="shared" si="6"/>
        <v>2750.1784937746747</v>
      </c>
      <c r="AX11" s="509">
        <f t="shared" si="6"/>
        <v>2877.4178895926138</v>
      </c>
      <c r="AY11" s="509">
        <f t="shared" ref="AY11:BF11" si="7">AY8-AY9</f>
        <v>2617.7868347343997</v>
      </c>
      <c r="AZ11" s="509">
        <f t="shared" si="7"/>
        <v>2230.1313157178229</v>
      </c>
      <c r="BA11" s="509">
        <f t="shared" si="7"/>
        <v>3431.6350056097444</v>
      </c>
      <c r="BB11" s="509">
        <f t="shared" si="7"/>
        <v>3953.5799705636864</v>
      </c>
      <c r="BC11" s="509">
        <f t="shared" si="7"/>
        <v>3965.8515278773916</v>
      </c>
      <c r="BD11" s="509">
        <f t="shared" si="7"/>
        <v>3950.7869153586676</v>
      </c>
      <c r="BE11" s="509">
        <f t="shared" si="7"/>
        <v>5636.1905629768244</v>
      </c>
      <c r="BF11" s="509">
        <f t="shared" si="7"/>
        <v>6138.7861014268447</v>
      </c>
      <c r="BG11" s="509">
        <f t="shared" ref="BG11:BN11" si="8">BG8-BG9</f>
        <v>6221.8665335408905</v>
      </c>
      <c r="BH11" s="509">
        <f t="shared" si="8"/>
        <v>6278.363104487431</v>
      </c>
      <c r="BI11" s="509">
        <f t="shared" si="8"/>
        <v>8104.6993660625076</v>
      </c>
      <c r="BJ11" s="509">
        <f t="shared" si="8"/>
        <v>8652.3163990148969</v>
      </c>
      <c r="BK11" s="509">
        <f t="shared" si="8"/>
        <v>8758.4508953769982</v>
      </c>
      <c r="BL11" s="509">
        <f t="shared" si="8"/>
        <v>8759.4570481210212</v>
      </c>
      <c r="BM11" s="509">
        <f t="shared" si="8"/>
        <v>10625.340775848017</v>
      </c>
      <c r="BN11" s="509">
        <f t="shared" si="8"/>
        <v>11221.946496285762</v>
      </c>
      <c r="BO11" s="509"/>
      <c r="BP11" s="510">
        <v>1273</v>
      </c>
      <c r="BQ11" s="511">
        <f>F11</f>
        <v>1579</v>
      </c>
      <c r="BR11" s="511">
        <f>J11</f>
        <v>1293</v>
      </c>
      <c r="BS11" s="511">
        <f>N11</f>
        <v>1292</v>
      </c>
      <c r="BT11" s="511">
        <f>R11</f>
        <v>1782</v>
      </c>
      <c r="BU11" s="511">
        <f>V11</f>
        <v>2068</v>
      </c>
      <c r="BV11" s="512">
        <f>Z11</f>
        <v>2493</v>
      </c>
      <c r="BW11" s="512">
        <f>AD11</f>
        <v>2565</v>
      </c>
      <c r="BX11" s="512">
        <f>AH11</f>
        <v>4258</v>
      </c>
      <c r="BY11" s="511">
        <f>AL11</f>
        <v>4708</v>
      </c>
      <c r="BZ11" s="511">
        <f>AP11</f>
        <v>3768</v>
      </c>
      <c r="CA11" s="511">
        <f>AT11</f>
        <v>5260</v>
      </c>
      <c r="CB11" s="511">
        <f>AX11</f>
        <v>2877.4178895926138</v>
      </c>
      <c r="CC11" s="511">
        <f>BB11</f>
        <v>3953.5799705636864</v>
      </c>
      <c r="CD11" s="511">
        <f>BF11</f>
        <v>6138.7861014268447</v>
      </c>
      <c r="CE11" s="511">
        <f>BJ11</f>
        <v>8652.3163990148969</v>
      </c>
      <c r="CF11" s="511">
        <f>BN11</f>
        <v>11221.946496285762</v>
      </c>
    </row>
    <row r="12" spans="1:84">
      <c r="A12" s="422"/>
      <c r="B12" s="422"/>
      <c r="C12" s="422"/>
      <c r="D12" s="422"/>
      <c r="E12" s="422"/>
      <c r="F12" s="422"/>
      <c r="G12" s="422"/>
      <c r="H12" s="422"/>
      <c r="I12" s="422"/>
      <c r="J12" s="422"/>
      <c r="K12" s="422"/>
      <c r="L12" s="422"/>
      <c r="M12" s="422"/>
      <c r="N12" s="422"/>
      <c r="O12" s="422"/>
      <c r="P12" s="422"/>
      <c r="Q12" s="422"/>
      <c r="R12" s="422"/>
      <c r="S12" s="422"/>
      <c r="T12" s="422"/>
      <c r="U12" s="422"/>
      <c r="V12" s="422"/>
      <c r="W12" s="422"/>
      <c r="X12" s="422"/>
      <c r="Y12" s="422"/>
      <c r="Z12" s="422"/>
      <c r="AA12" s="422"/>
      <c r="AB12" s="422"/>
      <c r="AC12" s="422"/>
      <c r="AD12" s="422"/>
      <c r="AE12" s="422"/>
      <c r="AF12" s="422"/>
      <c r="AG12" s="422"/>
      <c r="AH12" s="422"/>
      <c r="AI12" s="422"/>
      <c r="AJ12" s="422"/>
      <c r="AK12" s="422"/>
      <c r="AL12" s="422"/>
      <c r="AM12" s="422"/>
      <c r="AN12" s="422"/>
      <c r="AO12" s="422"/>
      <c r="AP12" s="422"/>
      <c r="AQ12" s="422"/>
      <c r="AR12" s="422"/>
      <c r="AS12" s="422"/>
      <c r="AT12" s="422"/>
      <c r="AU12" s="422"/>
      <c r="AV12" s="422"/>
      <c r="AW12" s="422"/>
      <c r="AX12" s="422"/>
      <c r="AY12" s="422"/>
      <c r="AZ12" s="422"/>
      <c r="BA12" s="422"/>
      <c r="BB12" s="422"/>
      <c r="BC12" s="422"/>
      <c r="BD12" s="422"/>
      <c r="BE12" s="422"/>
      <c r="BF12" s="422"/>
      <c r="BG12" s="422"/>
      <c r="BH12" s="422"/>
      <c r="BI12" s="422"/>
      <c r="BJ12" s="422"/>
      <c r="BK12" s="422"/>
      <c r="BL12" s="422"/>
      <c r="BM12" s="422"/>
      <c r="BN12" s="422"/>
      <c r="BO12" s="422"/>
      <c r="BP12" s="505"/>
      <c r="BQ12" s="505"/>
      <c r="BR12" s="505"/>
      <c r="BS12" s="505"/>
      <c r="BT12" s="505"/>
      <c r="BU12" s="505"/>
      <c r="BV12" s="506"/>
      <c r="BW12" s="506"/>
      <c r="BX12" s="506"/>
      <c r="BY12" s="505"/>
      <c r="BZ12" s="505"/>
      <c r="CA12" s="505"/>
      <c r="CB12" s="505"/>
      <c r="CC12" s="505"/>
      <c r="CD12" s="505"/>
      <c r="CE12" s="505"/>
      <c r="CF12" s="505"/>
    </row>
    <row r="13" spans="1:84" s="419" customFormat="1">
      <c r="A13" s="507" t="s">
        <v>179</v>
      </c>
      <c r="B13" s="508"/>
      <c r="C13" s="507"/>
      <c r="D13" s="507"/>
      <c r="E13" s="507"/>
      <c r="F13" s="507"/>
      <c r="G13" s="507"/>
      <c r="H13" s="507"/>
      <c r="I13" s="507"/>
      <c r="J13" s="507"/>
      <c r="K13" s="507"/>
      <c r="L13" s="507"/>
      <c r="M13" s="507"/>
      <c r="N13" s="507"/>
      <c r="O13" s="507"/>
      <c r="P13" s="507"/>
      <c r="Q13" s="507"/>
      <c r="R13" s="507"/>
      <c r="S13" s="507"/>
      <c r="T13" s="507"/>
      <c r="U13" s="507"/>
      <c r="V13" s="507"/>
      <c r="W13" s="507"/>
      <c r="X13" s="507"/>
      <c r="Y13" s="507"/>
      <c r="Z13" s="507"/>
      <c r="AA13" s="507"/>
      <c r="AB13" s="507"/>
      <c r="AC13" s="507"/>
      <c r="AD13" s="507"/>
      <c r="AE13" s="507"/>
      <c r="AF13" s="507"/>
      <c r="AG13" s="507"/>
      <c r="AH13" s="507"/>
      <c r="AI13" s="507"/>
      <c r="AJ13" s="507"/>
      <c r="AK13" s="507"/>
      <c r="AL13" s="507"/>
      <c r="AM13" s="507"/>
      <c r="AN13" s="507"/>
      <c r="AO13" s="507"/>
      <c r="AP13" s="507"/>
      <c r="AQ13" s="507"/>
      <c r="AR13" s="507"/>
      <c r="AS13" s="507"/>
      <c r="AT13" s="507"/>
      <c r="AU13" s="507"/>
      <c r="AV13" s="507"/>
      <c r="AW13" s="507"/>
      <c r="AX13" s="507"/>
      <c r="AY13" s="507"/>
      <c r="AZ13" s="507"/>
      <c r="BA13" s="507"/>
      <c r="BB13" s="507"/>
      <c r="BC13" s="507"/>
      <c r="BD13" s="507"/>
      <c r="BE13" s="507"/>
      <c r="BF13" s="507"/>
      <c r="BG13" s="507"/>
      <c r="BH13" s="507"/>
      <c r="BI13" s="507"/>
      <c r="BJ13" s="507"/>
      <c r="BK13" s="507"/>
      <c r="BL13" s="507"/>
      <c r="BM13" s="507"/>
      <c r="BN13" s="507"/>
      <c r="BO13" s="507"/>
      <c r="BP13" s="514"/>
      <c r="BQ13" s="514"/>
      <c r="BR13" s="514"/>
      <c r="BS13" s="514"/>
      <c r="BT13" s="514"/>
      <c r="BU13" s="514"/>
      <c r="BV13" s="515"/>
      <c r="BW13" s="515"/>
      <c r="BX13" s="515"/>
      <c r="BY13" s="514"/>
      <c r="BZ13" s="514"/>
      <c r="CA13" s="514"/>
      <c r="CB13" s="514"/>
      <c r="CC13" s="514"/>
      <c r="CD13" s="514"/>
      <c r="CE13" s="514"/>
      <c r="CF13" s="514"/>
    </row>
    <row r="14" spans="1:84" s="419" customFormat="1">
      <c r="A14" s="516" t="s">
        <v>42</v>
      </c>
      <c r="B14" s="508" t="s">
        <v>17</v>
      </c>
      <c r="C14" s="509">
        <f>B16</f>
        <v>0</v>
      </c>
      <c r="D14" s="509">
        <f t="shared" ref="D14:K14" si="9">C16</f>
        <v>0</v>
      </c>
      <c r="E14" s="509">
        <f t="shared" si="9"/>
        <v>0</v>
      </c>
      <c r="F14" s="509">
        <f t="shared" si="9"/>
        <v>0</v>
      </c>
      <c r="G14" s="509">
        <f t="shared" si="9"/>
        <v>0</v>
      </c>
      <c r="H14" s="509">
        <f t="shared" si="9"/>
        <v>0</v>
      </c>
      <c r="I14" s="509">
        <f t="shared" si="9"/>
        <v>529</v>
      </c>
      <c r="J14" s="509">
        <f t="shared" si="9"/>
        <v>534</v>
      </c>
      <c r="K14" s="509">
        <f t="shared" si="9"/>
        <v>539</v>
      </c>
      <c r="L14" s="509">
        <f t="shared" ref="L14:T14" si="10">K16</f>
        <v>544</v>
      </c>
      <c r="M14" s="509">
        <f t="shared" si="10"/>
        <v>549</v>
      </c>
      <c r="N14" s="509">
        <f t="shared" si="10"/>
        <v>554</v>
      </c>
      <c r="O14" s="509">
        <f t="shared" si="10"/>
        <v>559</v>
      </c>
      <c r="P14" s="509">
        <f t="shared" si="10"/>
        <v>564</v>
      </c>
      <c r="Q14" s="509">
        <f t="shared" si="10"/>
        <v>570</v>
      </c>
      <c r="R14" s="509">
        <f t="shared" si="10"/>
        <v>575</v>
      </c>
      <c r="S14" s="509">
        <f t="shared" si="10"/>
        <v>580</v>
      </c>
      <c r="T14" s="509">
        <f t="shared" si="10"/>
        <v>586</v>
      </c>
      <c r="U14" s="509">
        <f>T16</f>
        <v>591</v>
      </c>
      <c r="V14" s="509">
        <f>U16</f>
        <v>596</v>
      </c>
      <c r="W14" s="509">
        <f>V16</f>
        <v>601.57866249999995</v>
      </c>
      <c r="X14" s="509">
        <f t="shared" ref="X14:AU14" si="11">W16</f>
        <v>607.22064281937492</v>
      </c>
      <c r="Y14" s="509">
        <f t="shared" si="11"/>
        <v>420.22064281937492</v>
      </c>
      <c r="Z14" s="509">
        <f t="shared" si="11"/>
        <v>330.22064281937492</v>
      </c>
      <c r="AA14" s="509">
        <f t="shared" si="11"/>
        <v>158.22064281937492</v>
      </c>
      <c r="AB14" s="509">
        <f t="shared" si="11"/>
        <v>133.22064281937492</v>
      </c>
      <c r="AC14" s="509">
        <f t="shared" si="11"/>
        <v>0</v>
      </c>
      <c r="AD14" s="509">
        <f t="shared" si="11"/>
        <v>0</v>
      </c>
      <c r="AE14" s="509">
        <f t="shared" si="11"/>
        <v>0</v>
      </c>
      <c r="AF14" s="509">
        <f t="shared" si="11"/>
        <v>0</v>
      </c>
      <c r="AG14" s="509">
        <f t="shared" si="11"/>
        <v>0</v>
      </c>
      <c r="AH14" s="509">
        <f t="shared" si="11"/>
        <v>0</v>
      </c>
      <c r="AI14" s="509">
        <f t="shared" si="11"/>
        <v>0</v>
      </c>
      <c r="AJ14" s="509">
        <f t="shared" si="11"/>
        <v>0</v>
      </c>
      <c r="AK14" s="509">
        <f t="shared" si="11"/>
        <v>0</v>
      </c>
      <c r="AL14" s="509">
        <f t="shared" si="11"/>
        <v>0</v>
      </c>
      <c r="AM14" s="509">
        <f t="shared" si="11"/>
        <v>0</v>
      </c>
      <c r="AN14" s="509">
        <f t="shared" si="11"/>
        <v>0</v>
      </c>
      <c r="AO14" s="509">
        <f t="shared" si="11"/>
        <v>0</v>
      </c>
      <c r="AP14" s="509">
        <f t="shared" si="11"/>
        <v>0</v>
      </c>
      <c r="AQ14" s="509">
        <f t="shared" si="11"/>
        <v>599</v>
      </c>
      <c r="AR14" s="509">
        <f t="shared" si="11"/>
        <v>599</v>
      </c>
      <c r="AS14" s="509">
        <f t="shared" si="11"/>
        <v>599</v>
      </c>
      <c r="AT14" s="509">
        <f t="shared" si="11"/>
        <v>599</v>
      </c>
      <c r="AU14" s="509">
        <f t="shared" si="11"/>
        <v>0</v>
      </c>
      <c r="AV14" s="509">
        <f>AU16</f>
        <v>0</v>
      </c>
      <c r="AW14" s="509">
        <f>AV16</f>
        <v>0</v>
      </c>
      <c r="AX14" s="509">
        <f>AW16</f>
        <v>0</v>
      </c>
      <c r="AY14" s="509">
        <f t="shared" ref="AY14:BF14" si="12">AX16</f>
        <v>0</v>
      </c>
      <c r="AZ14" s="509">
        <f t="shared" si="12"/>
        <v>0</v>
      </c>
      <c r="BA14" s="509">
        <f t="shared" si="12"/>
        <v>0</v>
      </c>
      <c r="BB14" s="509">
        <f t="shared" si="12"/>
        <v>0</v>
      </c>
      <c r="BC14" s="509">
        <f t="shared" si="12"/>
        <v>0</v>
      </c>
      <c r="BD14" s="509">
        <f t="shared" si="12"/>
        <v>0</v>
      </c>
      <c r="BE14" s="509">
        <f t="shared" si="12"/>
        <v>0</v>
      </c>
      <c r="BF14" s="509">
        <f t="shared" si="12"/>
        <v>0</v>
      </c>
      <c r="BG14" s="509">
        <f t="shared" ref="BG14:BN14" si="13">BF16</f>
        <v>0</v>
      </c>
      <c r="BH14" s="509">
        <f t="shared" si="13"/>
        <v>0</v>
      </c>
      <c r="BI14" s="509">
        <f t="shared" si="13"/>
        <v>0</v>
      </c>
      <c r="BJ14" s="509">
        <f t="shared" si="13"/>
        <v>0</v>
      </c>
      <c r="BK14" s="509">
        <f t="shared" si="13"/>
        <v>0</v>
      </c>
      <c r="BL14" s="509">
        <f t="shared" si="13"/>
        <v>0</v>
      </c>
      <c r="BM14" s="509">
        <f t="shared" si="13"/>
        <v>0</v>
      </c>
      <c r="BN14" s="509">
        <f t="shared" si="13"/>
        <v>0</v>
      </c>
      <c r="BO14" s="509"/>
      <c r="BP14" s="510">
        <v>0</v>
      </c>
      <c r="BQ14" s="510">
        <v>0</v>
      </c>
      <c r="BR14" s="510">
        <v>0</v>
      </c>
      <c r="BS14" s="511">
        <f>K14</f>
        <v>539</v>
      </c>
      <c r="BT14" s="511">
        <f>O14</f>
        <v>559</v>
      </c>
      <c r="BU14" s="511">
        <f>S14</f>
        <v>580</v>
      </c>
      <c r="BV14" s="512">
        <f>W14</f>
        <v>601.57866249999995</v>
      </c>
      <c r="BW14" s="512">
        <f>AA14</f>
        <v>158.22064281937492</v>
      </c>
      <c r="BX14" s="512">
        <f>AE14</f>
        <v>0</v>
      </c>
      <c r="BY14" s="511">
        <f>AI14</f>
        <v>0</v>
      </c>
      <c r="BZ14" s="511">
        <f>AM14</f>
        <v>0</v>
      </c>
      <c r="CA14" s="511">
        <f>AQ14</f>
        <v>599</v>
      </c>
      <c r="CB14" s="511">
        <f>AU14</f>
        <v>0</v>
      </c>
      <c r="CC14" s="511">
        <f>AY14</f>
        <v>0</v>
      </c>
      <c r="CD14" s="511">
        <f>BC14</f>
        <v>0</v>
      </c>
      <c r="CE14" s="511">
        <f>BG14</f>
        <v>0</v>
      </c>
      <c r="CF14" s="511">
        <f>BK14</f>
        <v>0</v>
      </c>
    </row>
    <row r="15" spans="1:84" s="419" customFormat="1">
      <c r="A15" s="517" t="s">
        <v>155</v>
      </c>
      <c r="B15" s="508" t="s">
        <v>17</v>
      </c>
      <c r="C15" s="509">
        <f>C16-C14</f>
        <v>0</v>
      </c>
      <c r="D15" s="509">
        <f t="shared" ref="D15:N15" si="14">D16-D14</f>
        <v>0</v>
      </c>
      <c r="E15" s="509">
        <f t="shared" si="14"/>
        <v>0</v>
      </c>
      <c r="F15" s="509">
        <f t="shared" si="14"/>
        <v>0</v>
      </c>
      <c r="G15" s="509">
        <f t="shared" si="14"/>
        <v>0</v>
      </c>
      <c r="H15" s="509">
        <f t="shared" si="14"/>
        <v>529</v>
      </c>
      <c r="I15" s="509">
        <f t="shared" si="14"/>
        <v>5</v>
      </c>
      <c r="J15" s="509">
        <f t="shared" si="14"/>
        <v>5</v>
      </c>
      <c r="K15" s="509">
        <f t="shared" si="14"/>
        <v>5</v>
      </c>
      <c r="L15" s="509">
        <f t="shared" si="14"/>
        <v>5</v>
      </c>
      <c r="M15" s="509">
        <f t="shared" si="14"/>
        <v>5</v>
      </c>
      <c r="N15" s="509">
        <f t="shared" si="14"/>
        <v>5</v>
      </c>
      <c r="O15" s="509">
        <f t="shared" ref="O15:T15" si="15">O16-O14</f>
        <v>5</v>
      </c>
      <c r="P15" s="509">
        <f t="shared" si="15"/>
        <v>6</v>
      </c>
      <c r="Q15" s="509">
        <f t="shared" si="15"/>
        <v>5</v>
      </c>
      <c r="R15" s="509">
        <f t="shared" si="15"/>
        <v>5</v>
      </c>
      <c r="S15" s="509">
        <f t="shared" si="15"/>
        <v>6</v>
      </c>
      <c r="T15" s="509">
        <f t="shared" si="15"/>
        <v>5</v>
      </c>
      <c r="U15" s="509">
        <f>-U20+CF!U32</f>
        <v>5</v>
      </c>
      <c r="V15" s="509">
        <f>-V20+CF!V32</f>
        <v>5.578662500000001</v>
      </c>
      <c r="W15" s="509">
        <f>-W20+CF!W32</f>
        <v>5.6419803193750004</v>
      </c>
      <c r="X15" s="509">
        <f>-X20+CF!X32</f>
        <v>-187</v>
      </c>
      <c r="Y15" s="509">
        <f>-Y20+CF!Y32</f>
        <v>-90</v>
      </c>
      <c r="Z15" s="509">
        <f>-Z20+CF!Z32</f>
        <v>-172</v>
      </c>
      <c r="AA15" s="509">
        <f>-AA20+CF!AA32</f>
        <v>-25</v>
      </c>
      <c r="AB15" s="509">
        <f>-AB20+CF!AB32</f>
        <v>-136</v>
      </c>
      <c r="AC15" s="509">
        <f>-AC20+CF!AC32</f>
        <v>0</v>
      </c>
      <c r="AD15" s="509">
        <f>-AD20+CF!AD32</f>
        <v>0</v>
      </c>
      <c r="AE15" s="509">
        <f>-AE20+CF!AE32</f>
        <v>0</v>
      </c>
      <c r="AF15" s="509">
        <f>-AF20+CF!AF32</f>
        <v>0</v>
      </c>
      <c r="AG15" s="509">
        <f>-AG20+CF!AG32</f>
        <v>0</v>
      </c>
      <c r="AH15" s="509">
        <f>-AH20+CF!AH32</f>
        <v>0</v>
      </c>
      <c r="AI15" s="509">
        <f>-AI20+CF!AI32</f>
        <v>0</v>
      </c>
      <c r="AJ15" s="509">
        <f>-AJ20+CF!AJ32</f>
        <v>0</v>
      </c>
      <c r="AK15" s="509">
        <f>-AK20+CF!AK32</f>
        <v>0</v>
      </c>
      <c r="AL15" s="509">
        <f>-AL20+CF!AL32</f>
        <v>0</v>
      </c>
      <c r="AM15" s="509">
        <f>-AM20+CF!AM32</f>
        <v>0</v>
      </c>
      <c r="AN15" s="509">
        <f>-AN20+CF!AN32</f>
        <v>0</v>
      </c>
      <c r="AO15" s="509">
        <f>-AO20+CF!AO32</f>
        <v>0</v>
      </c>
      <c r="AP15" s="509">
        <f>-AP20+CF!AP32</f>
        <v>0</v>
      </c>
      <c r="AQ15" s="509">
        <f>-AQ20+CF!AQ32</f>
        <v>0</v>
      </c>
      <c r="AR15" s="509">
        <f>-AR20+CF!AR32</f>
        <v>0</v>
      </c>
      <c r="AS15" s="509">
        <f>-AS20+CF!AS32</f>
        <v>0</v>
      </c>
      <c r="AT15" s="509">
        <f>-AT20+CF!AT32</f>
        <v>-599</v>
      </c>
      <c r="AU15" s="509">
        <f>-AU20+CF!AU32</f>
        <v>0</v>
      </c>
      <c r="AV15" s="509">
        <f>-AV20+CF!AV32</f>
        <v>0</v>
      </c>
      <c r="AW15" s="509">
        <f>-AW20+CF!AW32</f>
        <v>0</v>
      </c>
      <c r="AX15" s="509">
        <f>-AX20+CF!AX32</f>
        <v>0</v>
      </c>
      <c r="AY15" s="509">
        <f>-AY20+CF!AY32</f>
        <v>0</v>
      </c>
      <c r="AZ15" s="509">
        <f>-AZ20+CF!AZ32</f>
        <v>0</v>
      </c>
      <c r="BA15" s="509">
        <f>-BA20+CF!BA32</f>
        <v>0</v>
      </c>
      <c r="BB15" s="509">
        <f>-BB20+CF!BB32</f>
        <v>0</v>
      </c>
      <c r="BC15" s="509">
        <f>-BC20+CF!BC32</f>
        <v>0</v>
      </c>
      <c r="BD15" s="509">
        <f>-BD20+CF!BD32</f>
        <v>0</v>
      </c>
      <c r="BE15" s="509">
        <f>-BE20+CF!BE32</f>
        <v>0</v>
      </c>
      <c r="BF15" s="509">
        <f>-BF20+CF!BF32</f>
        <v>0</v>
      </c>
      <c r="BG15" s="509">
        <f>-BG20+CF!BG32</f>
        <v>0</v>
      </c>
      <c r="BH15" s="509">
        <f>-BH20+CF!BH32</f>
        <v>0</v>
      </c>
      <c r="BI15" s="509">
        <f>-BI20+CF!BI32</f>
        <v>0</v>
      </c>
      <c r="BJ15" s="509">
        <f>-BJ20+CF!BJ32</f>
        <v>0</v>
      </c>
      <c r="BK15" s="509">
        <f>-BK20+CF!BK32</f>
        <v>0</v>
      </c>
      <c r="BL15" s="509">
        <f>-BL20+CF!BL32</f>
        <v>0</v>
      </c>
      <c r="BM15" s="509">
        <f>-BM20+CF!BM32</f>
        <v>0</v>
      </c>
      <c r="BN15" s="509">
        <f>-BN20+CF!BN32</f>
        <v>0</v>
      </c>
      <c r="BO15" s="509"/>
      <c r="BP15" s="518">
        <v>0</v>
      </c>
      <c r="BQ15" s="518">
        <v>0</v>
      </c>
      <c r="BR15" s="514">
        <f>SUM(G15:J15)</f>
        <v>539</v>
      </c>
      <c r="BS15" s="514">
        <f>SUM(K15:N15)</f>
        <v>20</v>
      </c>
      <c r="BT15" s="514">
        <f>SUM(O15:R15)</f>
        <v>21</v>
      </c>
      <c r="BU15" s="514">
        <f>SUM(S15:V15)</f>
        <v>21.5786625</v>
      </c>
      <c r="BV15" s="515">
        <f>SUM(W15:Z15)</f>
        <v>-443.35801968062503</v>
      </c>
      <c r="BW15" s="515">
        <f>SUM(AA15:AD15)</f>
        <v>-161</v>
      </c>
      <c r="BX15" s="515">
        <f>SUM(AE15:AH15)</f>
        <v>0</v>
      </c>
      <c r="BY15" s="514">
        <f>SUM(AI15:AL15)</f>
        <v>0</v>
      </c>
      <c r="BZ15" s="514">
        <f>SUM(AM15:AP15)</f>
        <v>0</v>
      </c>
      <c r="CA15" s="514">
        <f>SUM(AQ15:AT15)</f>
        <v>-599</v>
      </c>
      <c r="CB15" s="514">
        <f>SUM(AU15:AX15)</f>
        <v>0</v>
      </c>
      <c r="CC15" s="514">
        <f>SUM(AY15:BB15)</f>
        <v>0</v>
      </c>
      <c r="CD15" s="514">
        <f>SUM(BC15:BF15)</f>
        <v>0</v>
      </c>
      <c r="CE15" s="514">
        <f>SUM(BG15:BJ15)</f>
        <v>0</v>
      </c>
      <c r="CF15" s="514">
        <f>SUM(BK15:BN15)</f>
        <v>0</v>
      </c>
    </row>
    <row r="16" spans="1:84" s="419" customFormat="1">
      <c r="A16" s="516" t="s">
        <v>43</v>
      </c>
      <c r="B16" s="509">
        <f>BS!B29</f>
        <v>0</v>
      </c>
      <c r="C16" s="509">
        <f>BS!C29</f>
        <v>0</v>
      </c>
      <c r="D16" s="509">
        <f>BS!D29</f>
        <v>0</v>
      </c>
      <c r="E16" s="509">
        <f>BS!E29</f>
        <v>0</v>
      </c>
      <c r="F16" s="509">
        <f>BS!F29</f>
        <v>0</v>
      </c>
      <c r="G16" s="509">
        <f>BS!G29</f>
        <v>0</v>
      </c>
      <c r="H16" s="509">
        <f>BS!H29</f>
        <v>529</v>
      </c>
      <c r="I16" s="509">
        <f>BS!I29</f>
        <v>534</v>
      </c>
      <c r="J16" s="509">
        <f>BS!J29</f>
        <v>539</v>
      </c>
      <c r="K16" s="509">
        <f>BS!K29</f>
        <v>544</v>
      </c>
      <c r="L16" s="509">
        <f>BS!L29</f>
        <v>549</v>
      </c>
      <c r="M16" s="509">
        <f>BS!M29</f>
        <v>554</v>
      </c>
      <c r="N16" s="509">
        <f>BS!N29</f>
        <v>559</v>
      </c>
      <c r="O16" s="509">
        <f>BS!O29</f>
        <v>564</v>
      </c>
      <c r="P16" s="509">
        <f>BS!P29</f>
        <v>570</v>
      </c>
      <c r="Q16" s="509">
        <f>BS!Q29</f>
        <v>575</v>
      </c>
      <c r="R16" s="509">
        <f>BS!R29</f>
        <v>580</v>
      </c>
      <c r="S16" s="509">
        <f>BS!S29</f>
        <v>586</v>
      </c>
      <c r="T16" s="509">
        <f>BS!T29</f>
        <v>591</v>
      </c>
      <c r="U16" s="509">
        <f>U14+U15</f>
        <v>596</v>
      </c>
      <c r="V16" s="509">
        <f t="shared" ref="V16:AA16" si="16">V14+V15</f>
        <v>601.57866249999995</v>
      </c>
      <c r="W16" s="509">
        <f t="shared" si="16"/>
        <v>607.22064281937492</v>
      </c>
      <c r="X16" s="509">
        <f t="shared" si="16"/>
        <v>420.22064281937492</v>
      </c>
      <c r="Y16" s="509">
        <f t="shared" si="16"/>
        <v>330.22064281937492</v>
      </c>
      <c r="Z16" s="509">
        <f t="shared" si="16"/>
        <v>158.22064281937492</v>
      </c>
      <c r="AA16" s="509">
        <f t="shared" si="16"/>
        <v>133.22064281937492</v>
      </c>
      <c r="AB16" s="519">
        <v>0</v>
      </c>
      <c r="AC16" s="509">
        <f t="shared" ref="AC16:AH16" si="17">AC14+AC15</f>
        <v>0</v>
      </c>
      <c r="AD16" s="509">
        <f t="shared" si="17"/>
        <v>0</v>
      </c>
      <c r="AE16" s="509">
        <f t="shared" si="17"/>
        <v>0</v>
      </c>
      <c r="AF16" s="509">
        <f t="shared" si="17"/>
        <v>0</v>
      </c>
      <c r="AG16" s="509">
        <f t="shared" si="17"/>
        <v>0</v>
      </c>
      <c r="AH16" s="509">
        <f t="shared" si="17"/>
        <v>0</v>
      </c>
      <c r="AI16" s="509">
        <f t="shared" ref="AI16:AO16" si="18">AI14+AI15</f>
        <v>0</v>
      </c>
      <c r="AJ16" s="509">
        <f t="shared" si="18"/>
        <v>0</v>
      </c>
      <c r="AK16" s="509">
        <f t="shared" si="18"/>
        <v>0</v>
      </c>
      <c r="AL16" s="509">
        <f t="shared" si="18"/>
        <v>0</v>
      </c>
      <c r="AM16" s="509">
        <f t="shared" si="18"/>
        <v>0</v>
      </c>
      <c r="AN16" s="509">
        <f t="shared" si="18"/>
        <v>0</v>
      </c>
      <c r="AO16" s="509">
        <f t="shared" si="18"/>
        <v>0</v>
      </c>
      <c r="AP16" s="509">
        <f>BS!AP26</f>
        <v>599</v>
      </c>
      <c r="AQ16" s="509">
        <f t="shared" ref="AQ16:AX16" si="19">AQ14+AQ15</f>
        <v>599</v>
      </c>
      <c r="AR16" s="509">
        <f t="shared" si="19"/>
        <v>599</v>
      </c>
      <c r="AS16" s="509">
        <f t="shared" si="19"/>
        <v>599</v>
      </c>
      <c r="AT16" s="509">
        <f>AT14+AT15</f>
        <v>0</v>
      </c>
      <c r="AU16" s="509">
        <f>AU14+AU15</f>
        <v>0</v>
      </c>
      <c r="AV16" s="509">
        <f t="shared" si="19"/>
        <v>0</v>
      </c>
      <c r="AW16" s="509">
        <f t="shared" si="19"/>
        <v>0</v>
      </c>
      <c r="AX16" s="509">
        <f t="shared" si="19"/>
        <v>0</v>
      </c>
      <c r="AY16" s="509">
        <f t="shared" ref="AY16:BF16" si="20">AY14+AY15</f>
        <v>0</v>
      </c>
      <c r="AZ16" s="509">
        <f t="shared" si="20"/>
        <v>0</v>
      </c>
      <c r="BA16" s="509">
        <f t="shared" si="20"/>
        <v>0</v>
      </c>
      <c r="BB16" s="509">
        <f t="shared" si="20"/>
        <v>0</v>
      </c>
      <c r="BC16" s="509">
        <f t="shared" si="20"/>
        <v>0</v>
      </c>
      <c r="BD16" s="509">
        <f t="shared" si="20"/>
        <v>0</v>
      </c>
      <c r="BE16" s="509">
        <f t="shared" si="20"/>
        <v>0</v>
      </c>
      <c r="BF16" s="509">
        <f t="shared" si="20"/>
        <v>0</v>
      </c>
      <c r="BG16" s="509">
        <f t="shared" ref="BG16:BN16" si="21">BG14+BG15</f>
        <v>0</v>
      </c>
      <c r="BH16" s="509">
        <f t="shared" si="21"/>
        <v>0</v>
      </c>
      <c r="BI16" s="509">
        <f t="shared" si="21"/>
        <v>0</v>
      </c>
      <c r="BJ16" s="509">
        <f t="shared" si="21"/>
        <v>0</v>
      </c>
      <c r="BK16" s="509">
        <f t="shared" si="21"/>
        <v>0</v>
      </c>
      <c r="BL16" s="509">
        <f t="shared" si="21"/>
        <v>0</v>
      </c>
      <c r="BM16" s="509">
        <f t="shared" si="21"/>
        <v>0</v>
      </c>
      <c r="BN16" s="509">
        <f t="shared" si="21"/>
        <v>0</v>
      </c>
      <c r="BO16" s="509"/>
      <c r="BP16" s="510">
        <v>0</v>
      </c>
      <c r="BQ16" s="510">
        <v>0</v>
      </c>
      <c r="BR16" s="511">
        <f>J16</f>
        <v>539</v>
      </c>
      <c r="BS16" s="511">
        <f>N16</f>
        <v>559</v>
      </c>
      <c r="BT16" s="511">
        <f>R16</f>
        <v>580</v>
      </c>
      <c r="BU16" s="511">
        <f>V16</f>
        <v>601.57866249999995</v>
      </c>
      <c r="BV16" s="512">
        <f>Z16</f>
        <v>158.22064281937492</v>
      </c>
      <c r="BW16" s="512">
        <f>AD16</f>
        <v>0</v>
      </c>
      <c r="BX16" s="512">
        <f>AH16</f>
        <v>0</v>
      </c>
      <c r="BY16" s="511">
        <f>AL16</f>
        <v>0</v>
      </c>
      <c r="BZ16" s="511">
        <f>AP16</f>
        <v>599</v>
      </c>
      <c r="CA16" s="511">
        <f>AT16</f>
        <v>0</v>
      </c>
      <c r="CB16" s="511">
        <f>AX16</f>
        <v>0</v>
      </c>
      <c r="CC16" s="511">
        <f>BB16</f>
        <v>0</v>
      </c>
      <c r="CD16" s="511">
        <f>BF16</f>
        <v>0</v>
      </c>
      <c r="CE16" s="511">
        <f>BJ16</f>
        <v>0</v>
      </c>
      <c r="CF16" s="511">
        <f>BN16</f>
        <v>0</v>
      </c>
    </row>
    <row r="17" spans="1:84" s="419" customFormat="1">
      <c r="A17" s="516" t="s">
        <v>44</v>
      </c>
      <c r="B17" s="508" t="s">
        <v>17</v>
      </c>
      <c r="C17" s="507">
        <f t="shared" ref="C17:N17" si="22">AVERAGE(C14,C16)</f>
        <v>0</v>
      </c>
      <c r="D17" s="507">
        <f t="shared" si="22"/>
        <v>0</v>
      </c>
      <c r="E17" s="507">
        <f t="shared" si="22"/>
        <v>0</v>
      </c>
      <c r="F17" s="507">
        <f t="shared" si="22"/>
        <v>0</v>
      </c>
      <c r="G17" s="507">
        <f t="shared" si="22"/>
        <v>0</v>
      </c>
      <c r="H17" s="507">
        <f t="shared" si="22"/>
        <v>264.5</v>
      </c>
      <c r="I17" s="507">
        <f t="shared" si="22"/>
        <v>531.5</v>
      </c>
      <c r="J17" s="507">
        <f t="shared" si="22"/>
        <v>536.5</v>
      </c>
      <c r="K17" s="507">
        <f t="shared" si="22"/>
        <v>541.5</v>
      </c>
      <c r="L17" s="507">
        <f t="shared" si="22"/>
        <v>546.5</v>
      </c>
      <c r="M17" s="507">
        <f t="shared" si="22"/>
        <v>551.5</v>
      </c>
      <c r="N17" s="507">
        <f t="shared" si="22"/>
        <v>556.5</v>
      </c>
      <c r="O17" s="507">
        <f t="shared" ref="O17:T17" si="23">AVERAGE(O14,O16)</f>
        <v>561.5</v>
      </c>
      <c r="P17" s="507">
        <f t="shared" si="23"/>
        <v>567</v>
      </c>
      <c r="Q17" s="507">
        <f t="shared" si="23"/>
        <v>572.5</v>
      </c>
      <c r="R17" s="507">
        <f t="shared" si="23"/>
        <v>577.5</v>
      </c>
      <c r="S17" s="507">
        <f t="shared" si="23"/>
        <v>583</v>
      </c>
      <c r="T17" s="507">
        <f t="shared" si="23"/>
        <v>588.5</v>
      </c>
      <c r="U17" s="507">
        <f>AVERAGE(U14,U16)</f>
        <v>593.5</v>
      </c>
      <c r="V17" s="507">
        <f t="shared" ref="V17:AA17" si="24">AVERAGE(V14,V16)</f>
        <v>598.78933125000003</v>
      </c>
      <c r="W17" s="507">
        <f t="shared" si="24"/>
        <v>604.39965265968749</v>
      </c>
      <c r="X17" s="507">
        <f t="shared" si="24"/>
        <v>513.72064281937492</v>
      </c>
      <c r="Y17" s="507">
        <f t="shared" si="24"/>
        <v>375.22064281937492</v>
      </c>
      <c r="Z17" s="507">
        <f t="shared" si="24"/>
        <v>244.22064281937492</v>
      </c>
      <c r="AA17" s="507">
        <f t="shared" si="24"/>
        <v>145.72064281937492</v>
      </c>
      <c r="AB17" s="507">
        <f t="shared" ref="AB17:AH17" si="25">AVERAGE(AB14,AB16)</f>
        <v>66.610321409687458</v>
      </c>
      <c r="AC17" s="507">
        <f t="shared" si="25"/>
        <v>0</v>
      </c>
      <c r="AD17" s="507">
        <f t="shared" si="25"/>
        <v>0</v>
      </c>
      <c r="AE17" s="507">
        <f t="shared" si="25"/>
        <v>0</v>
      </c>
      <c r="AF17" s="507">
        <f t="shared" si="25"/>
        <v>0</v>
      </c>
      <c r="AG17" s="507">
        <f t="shared" si="25"/>
        <v>0</v>
      </c>
      <c r="AH17" s="507">
        <f t="shared" si="25"/>
        <v>0</v>
      </c>
      <c r="AI17" s="507">
        <f t="shared" ref="AI17:AP17" si="26">AVERAGE(AI14,AI16)</f>
        <v>0</v>
      </c>
      <c r="AJ17" s="507">
        <f t="shared" si="26"/>
        <v>0</v>
      </c>
      <c r="AK17" s="507">
        <f t="shared" si="26"/>
        <v>0</v>
      </c>
      <c r="AL17" s="507">
        <f t="shared" si="26"/>
        <v>0</v>
      </c>
      <c r="AM17" s="507">
        <f t="shared" si="26"/>
        <v>0</v>
      </c>
      <c r="AN17" s="507">
        <f t="shared" si="26"/>
        <v>0</v>
      </c>
      <c r="AO17" s="507">
        <f t="shared" si="26"/>
        <v>0</v>
      </c>
      <c r="AP17" s="507">
        <f t="shared" si="26"/>
        <v>299.5</v>
      </c>
      <c r="AQ17" s="507">
        <f t="shared" ref="AQ17:AX17" si="27">AVERAGE(AQ14,AQ16)</f>
        <v>599</v>
      </c>
      <c r="AR17" s="507">
        <f t="shared" si="27"/>
        <v>599</v>
      </c>
      <c r="AS17" s="507">
        <f t="shared" si="27"/>
        <v>599</v>
      </c>
      <c r="AT17" s="507">
        <f>AVERAGE(AT14,AT16)</f>
        <v>299.5</v>
      </c>
      <c r="AU17" s="507">
        <f>AVERAGE(AU14,AU16)</f>
        <v>0</v>
      </c>
      <c r="AV17" s="507">
        <f t="shared" si="27"/>
        <v>0</v>
      </c>
      <c r="AW17" s="507">
        <f t="shared" si="27"/>
        <v>0</v>
      </c>
      <c r="AX17" s="507">
        <f t="shared" si="27"/>
        <v>0</v>
      </c>
      <c r="AY17" s="507">
        <f t="shared" ref="AY17:BF17" si="28">AVERAGE(AY14,AY16)</f>
        <v>0</v>
      </c>
      <c r="AZ17" s="507">
        <f t="shared" si="28"/>
        <v>0</v>
      </c>
      <c r="BA17" s="507">
        <f t="shared" si="28"/>
        <v>0</v>
      </c>
      <c r="BB17" s="507">
        <f t="shared" si="28"/>
        <v>0</v>
      </c>
      <c r="BC17" s="507">
        <f t="shared" si="28"/>
        <v>0</v>
      </c>
      <c r="BD17" s="507">
        <f t="shared" si="28"/>
        <v>0</v>
      </c>
      <c r="BE17" s="507">
        <f t="shared" si="28"/>
        <v>0</v>
      </c>
      <c r="BF17" s="507">
        <f t="shared" si="28"/>
        <v>0</v>
      </c>
      <c r="BG17" s="507">
        <f t="shared" ref="BG17:BN17" si="29">AVERAGE(BG14,BG16)</f>
        <v>0</v>
      </c>
      <c r="BH17" s="507">
        <f t="shared" si="29"/>
        <v>0</v>
      </c>
      <c r="BI17" s="507">
        <f t="shared" si="29"/>
        <v>0</v>
      </c>
      <c r="BJ17" s="507">
        <f t="shared" si="29"/>
        <v>0</v>
      </c>
      <c r="BK17" s="507">
        <f t="shared" si="29"/>
        <v>0</v>
      </c>
      <c r="BL17" s="507">
        <f t="shared" si="29"/>
        <v>0</v>
      </c>
      <c r="BM17" s="507">
        <f t="shared" si="29"/>
        <v>0</v>
      </c>
      <c r="BN17" s="507">
        <f t="shared" si="29"/>
        <v>0</v>
      </c>
      <c r="BO17" s="507"/>
      <c r="BP17" s="510">
        <v>0</v>
      </c>
      <c r="BQ17" s="510">
        <v>0</v>
      </c>
      <c r="BR17" s="511">
        <f t="shared" ref="BR17:BX17" si="30">AVERAGE(BR16,BR14)</f>
        <v>269.5</v>
      </c>
      <c r="BS17" s="511">
        <f t="shared" si="30"/>
        <v>549</v>
      </c>
      <c r="BT17" s="511">
        <f t="shared" si="30"/>
        <v>569.5</v>
      </c>
      <c r="BU17" s="511">
        <f t="shared" si="30"/>
        <v>590.78933125000003</v>
      </c>
      <c r="BV17" s="512">
        <f t="shared" si="30"/>
        <v>379.89965265968743</v>
      </c>
      <c r="BW17" s="512">
        <f t="shared" si="30"/>
        <v>79.110321409687458</v>
      </c>
      <c r="BX17" s="512">
        <f t="shared" si="30"/>
        <v>0</v>
      </c>
      <c r="BY17" s="511">
        <f t="shared" ref="BY17:CD17" si="31">AVERAGE(BY16,BY14)</f>
        <v>0</v>
      </c>
      <c r="BZ17" s="511">
        <f t="shared" si="31"/>
        <v>299.5</v>
      </c>
      <c r="CA17" s="511">
        <f t="shared" si="31"/>
        <v>299.5</v>
      </c>
      <c r="CB17" s="511">
        <f t="shared" si="31"/>
        <v>0</v>
      </c>
      <c r="CC17" s="511">
        <f t="shared" si="31"/>
        <v>0</v>
      </c>
      <c r="CD17" s="511">
        <f t="shared" si="31"/>
        <v>0</v>
      </c>
      <c r="CE17" s="511">
        <f>AVERAGE(CE16,CE14)</f>
        <v>0</v>
      </c>
      <c r="CF17" s="511">
        <f>AVERAGE(CF16,CF14)</f>
        <v>0</v>
      </c>
    </row>
    <row r="18" spans="1:84">
      <c r="A18" s="520" t="s">
        <v>51</v>
      </c>
      <c r="B18" s="418" t="s">
        <v>17</v>
      </c>
      <c r="C18" s="521">
        <v>0</v>
      </c>
      <c r="D18" s="521">
        <v>0</v>
      </c>
      <c r="E18" s="521">
        <v>0</v>
      </c>
      <c r="F18" s="521">
        <v>0</v>
      </c>
      <c r="G18" s="521">
        <v>0</v>
      </c>
      <c r="H18" s="521">
        <f t="shared" ref="H18:BN18" si="32">0.75%/4</f>
        <v>1.8749999999999999E-3</v>
      </c>
      <c r="I18" s="521">
        <f t="shared" si="32"/>
        <v>1.8749999999999999E-3</v>
      </c>
      <c r="J18" s="521">
        <f t="shared" si="32"/>
        <v>1.8749999999999999E-3</v>
      </c>
      <c r="K18" s="521">
        <f t="shared" si="32"/>
        <v>1.8749999999999999E-3</v>
      </c>
      <c r="L18" s="521">
        <f t="shared" si="32"/>
        <v>1.8749999999999999E-3</v>
      </c>
      <c r="M18" s="521">
        <f t="shared" si="32"/>
        <v>1.8749999999999999E-3</v>
      </c>
      <c r="N18" s="521">
        <f t="shared" si="32"/>
        <v>1.8749999999999999E-3</v>
      </c>
      <c r="O18" s="521">
        <f t="shared" si="32"/>
        <v>1.8749999999999999E-3</v>
      </c>
      <c r="P18" s="521">
        <f t="shared" si="32"/>
        <v>1.8749999999999999E-3</v>
      </c>
      <c r="Q18" s="521">
        <f t="shared" si="32"/>
        <v>1.8749999999999999E-3</v>
      </c>
      <c r="R18" s="521">
        <f t="shared" si="32"/>
        <v>1.8749999999999999E-3</v>
      </c>
      <c r="S18" s="521">
        <f t="shared" si="32"/>
        <v>1.8749999999999999E-3</v>
      </c>
      <c r="T18" s="521">
        <f t="shared" si="32"/>
        <v>1.8749999999999999E-3</v>
      </c>
      <c r="U18" s="521">
        <f t="shared" si="32"/>
        <v>1.8749999999999999E-3</v>
      </c>
      <c r="V18" s="521">
        <f t="shared" si="32"/>
        <v>1.8749999999999999E-3</v>
      </c>
      <c r="W18" s="521">
        <f t="shared" si="32"/>
        <v>1.8749999999999999E-3</v>
      </c>
      <c r="X18" s="521">
        <f t="shared" si="32"/>
        <v>1.8749999999999999E-3</v>
      </c>
      <c r="Y18" s="521">
        <f t="shared" si="32"/>
        <v>1.8749999999999999E-3</v>
      </c>
      <c r="Z18" s="521">
        <f t="shared" si="32"/>
        <v>1.8749999999999999E-3</v>
      </c>
      <c r="AA18" s="521">
        <v>1.8749999999999999E-3</v>
      </c>
      <c r="AB18" s="521">
        <v>1.8749999999999999E-3</v>
      </c>
      <c r="AC18" s="521">
        <v>1.8749999999999999E-3</v>
      </c>
      <c r="AD18" s="521">
        <v>1.8749999999999999E-3</v>
      </c>
      <c r="AE18" s="521">
        <f t="shared" si="32"/>
        <v>1.8749999999999999E-3</v>
      </c>
      <c r="AF18" s="521">
        <v>1.8749999999999999E-3</v>
      </c>
      <c r="AG18" s="521">
        <v>1.8749999999999999E-3</v>
      </c>
      <c r="AH18" s="521">
        <v>1.8749999999999999E-3</v>
      </c>
      <c r="AI18" s="521">
        <v>1.8749999999999999E-3</v>
      </c>
      <c r="AJ18" s="521">
        <v>1.8749999999999999E-3</v>
      </c>
      <c r="AK18" s="521">
        <v>1.8749999999999999E-3</v>
      </c>
      <c r="AL18" s="521">
        <v>1.8749999999999999E-3</v>
      </c>
      <c r="AM18" s="521">
        <v>1.8749999999999999E-3</v>
      </c>
      <c r="AN18" s="521">
        <v>1.8749999999999999E-3</v>
      </c>
      <c r="AO18" s="521">
        <v>1.8749999999999999E-3</v>
      </c>
      <c r="AP18" s="521">
        <v>1.8749999999999999E-3</v>
      </c>
      <c r="AQ18" s="521">
        <v>1.8749999999999999E-3</v>
      </c>
      <c r="AR18" s="521">
        <v>3.0000000000000001E-3</v>
      </c>
      <c r="AS18" s="521">
        <v>3.0000000000000001E-3</v>
      </c>
      <c r="AT18" s="521">
        <v>3.0000000000000001E-3</v>
      </c>
      <c r="AU18" s="521">
        <v>1.8749999999999999E-3</v>
      </c>
      <c r="AV18" s="521">
        <v>1.8749999999999999E-3</v>
      </c>
      <c r="AW18" s="522">
        <f t="shared" si="32"/>
        <v>1.8749999999999999E-3</v>
      </c>
      <c r="AX18" s="522">
        <f t="shared" si="32"/>
        <v>1.8749999999999999E-3</v>
      </c>
      <c r="AY18" s="522">
        <f t="shared" si="32"/>
        <v>1.8749999999999999E-3</v>
      </c>
      <c r="AZ18" s="522">
        <f t="shared" si="32"/>
        <v>1.8749999999999999E-3</v>
      </c>
      <c r="BA18" s="522">
        <f t="shared" si="32"/>
        <v>1.8749999999999999E-3</v>
      </c>
      <c r="BB18" s="522">
        <f t="shared" si="32"/>
        <v>1.8749999999999999E-3</v>
      </c>
      <c r="BC18" s="522">
        <f t="shared" si="32"/>
        <v>1.8749999999999999E-3</v>
      </c>
      <c r="BD18" s="522">
        <f t="shared" si="32"/>
        <v>1.8749999999999999E-3</v>
      </c>
      <c r="BE18" s="522">
        <f t="shared" si="32"/>
        <v>1.8749999999999999E-3</v>
      </c>
      <c r="BF18" s="522">
        <f t="shared" si="32"/>
        <v>1.8749999999999999E-3</v>
      </c>
      <c r="BG18" s="522">
        <f t="shared" si="32"/>
        <v>1.8749999999999999E-3</v>
      </c>
      <c r="BH18" s="522">
        <f t="shared" si="32"/>
        <v>1.8749999999999999E-3</v>
      </c>
      <c r="BI18" s="522">
        <f t="shared" si="32"/>
        <v>1.8749999999999999E-3</v>
      </c>
      <c r="BJ18" s="522">
        <f t="shared" si="32"/>
        <v>1.8749999999999999E-3</v>
      </c>
      <c r="BK18" s="522">
        <f t="shared" si="32"/>
        <v>1.8749999999999999E-3</v>
      </c>
      <c r="BL18" s="522">
        <f t="shared" si="32"/>
        <v>1.8749999999999999E-3</v>
      </c>
      <c r="BM18" s="522">
        <f t="shared" si="32"/>
        <v>1.8749999999999999E-3</v>
      </c>
      <c r="BN18" s="522">
        <f t="shared" si="32"/>
        <v>1.8749999999999999E-3</v>
      </c>
      <c r="BO18" s="522"/>
      <c r="BP18" s="523" t="s">
        <v>17</v>
      </c>
      <c r="BQ18" s="523" t="s">
        <v>17</v>
      </c>
      <c r="BR18" s="523" t="s">
        <v>17</v>
      </c>
      <c r="BS18" s="524">
        <f t="shared" ref="BS18:BZ18" si="33">IF(BS14&gt;0,-BS19/BS14,"n/a")</f>
        <v>7.6391465677179962E-3</v>
      </c>
      <c r="BT18" s="524">
        <f t="shared" si="33"/>
        <v>7.6425536672629704E-3</v>
      </c>
      <c r="BU18" s="524">
        <f t="shared" si="33"/>
        <v>7.6415603380926714E-3</v>
      </c>
      <c r="BV18" s="524">
        <f t="shared" si="33"/>
        <v>5.4156308520930925E-3</v>
      </c>
      <c r="BW18" s="524">
        <f t="shared" si="33"/>
        <v>2.5162365089363681E-3</v>
      </c>
      <c r="BX18" s="524" t="str">
        <f t="shared" si="33"/>
        <v>n/a</v>
      </c>
      <c r="BY18" s="524" t="str">
        <f t="shared" si="33"/>
        <v>n/a</v>
      </c>
      <c r="BZ18" s="524" t="str">
        <f t="shared" si="33"/>
        <v>n/a</v>
      </c>
      <c r="CA18" s="524">
        <f t="shared" ref="CA18:CF18" si="34">IF(CA14&gt;0,-CA19/CA14,"n/a")</f>
        <v>9.3749999999999997E-3</v>
      </c>
      <c r="CB18" s="524" t="str">
        <f t="shared" si="34"/>
        <v>n/a</v>
      </c>
      <c r="CC18" s="524" t="str">
        <f t="shared" si="34"/>
        <v>n/a</v>
      </c>
      <c r="CD18" s="524" t="str">
        <f t="shared" si="34"/>
        <v>n/a</v>
      </c>
      <c r="CE18" s="524" t="str">
        <f t="shared" si="34"/>
        <v>n/a</v>
      </c>
      <c r="CF18" s="524" t="str">
        <f t="shared" si="34"/>
        <v>n/a</v>
      </c>
    </row>
    <row r="19" spans="1:84" s="419" customFormat="1">
      <c r="A19" s="516" t="s">
        <v>101</v>
      </c>
      <c r="B19" s="519">
        <v>0</v>
      </c>
      <c r="C19" s="507">
        <f t="shared" ref="C19:N19" si="35">C17*C18*-1</f>
        <v>0</v>
      </c>
      <c r="D19" s="507">
        <f t="shared" si="35"/>
        <v>0</v>
      </c>
      <c r="E19" s="507">
        <f t="shared" si="35"/>
        <v>0</v>
      </c>
      <c r="F19" s="507">
        <f t="shared" si="35"/>
        <v>0</v>
      </c>
      <c r="G19" s="507">
        <f t="shared" si="35"/>
        <v>0</v>
      </c>
      <c r="H19" s="507">
        <f t="shared" si="35"/>
        <v>-0.49593749999999998</v>
      </c>
      <c r="I19" s="507">
        <f t="shared" si="35"/>
        <v>-0.99656250000000002</v>
      </c>
      <c r="J19" s="507">
        <f t="shared" si="35"/>
        <v>-1.0059374999999999</v>
      </c>
      <c r="K19" s="507">
        <f t="shared" si="35"/>
        <v>-1.0153125000000001</v>
      </c>
      <c r="L19" s="507">
        <f t="shared" si="35"/>
        <v>-1.0246875</v>
      </c>
      <c r="M19" s="507">
        <f t="shared" si="35"/>
        <v>-1.0340624999999999</v>
      </c>
      <c r="N19" s="507">
        <f t="shared" si="35"/>
        <v>-1.0434375</v>
      </c>
      <c r="O19" s="507">
        <f t="shared" ref="O19:U19" si="36">O17*O18*-1</f>
        <v>-1.0528124999999999</v>
      </c>
      <c r="P19" s="507">
        <f t="shared" si="36"/>
        <v>-1.0631249999999999</v>
      </c>
      <c r="Q19" s="507">
        <f t="shared" si="36"/>
        <v>-1.0734375</v>
      </c>
      <c r="R19" s="507">
        <f t="shared" si="36"/>
        <v>-1.0828125</v>
      </c>
      <c r="S19" s="507">
        <f t="shared" si="36"/>
        <v>-1.0931249999999999</v>
      </c>
      <c r="T19" s="507">
        <f t="shared" si="36"/>
        <v>-1.1034374999999998</v>
      </c>
      <c r="U19" s="507">
        <f t="shared" si="36"/>
        <v>-1.1128125</v>
      </c>
      <c r="V19" s="507">
        <f t="shared" ref="V19:AA19" si="37">V17*V18*-1</f>
        <v>-1.12272999609375</v>
      </c>
      <c r="W19" s="507">
        <f t="shared" si="37"/>
        <v>-1.133249348736914</v>
      </c>
      <c r="X19" s="507">
        <f t="shared" si="37"/>
        <v>-0.96322620528632796</v>
      </c>
      <c r="Y19" s="507">
        <f t="shared" si="37"/>
        <v>-0.70353870528632789</v>
      </c>
      <c r="Z19" s="507">
        <f t="shared" si="37"/>
        <v>-0.45791370528632797</v>
      </c>
      <c r="AA19" s="507">
        <f t="shared" si="37"/>
        <v>-0.27322620528632796</v>
      </c>
      <c r="AB19" s="507">
        <f t="shared" ref="AB19:AH19" si="38">AB17*AB18*-1</f>
        <v>-0.12489435264316398</v>
      </c>
      <c r="AC19" s="507">
        <f t="shared" si="38"/>
        <v>0</v>
      </c>
      <c r="AD19" s="507">
        <f t="shared" si="38"/>
        <v>0</v>
      </c>
      <c r="AE19" s="507">
        <f t="shared" si="38"/>
        <v>0</v>
      </c>
      <c r="AF19" s="507">
        <f t="shared" si="38"/>
        <v>0</v>
      </c>
      <c r="AG19" s="507">
        <f t="shared" si="38"/>
        <v>0</v>
      </c>
      <c r="AH19" s="507">
        <f t="shared" si="38"/>
        <v>0</v>
      </c>
      <c r="AI19" s="507">
        <f t="shared" ref="AI19:AP19" si="39">AI17*AI18*-1</f>
        <v>0</v>
      </c>
      <c r="AJ19" s="507">
        <f t="shared" si="39"/>
        <v>0</v>
      </c>
      <c r="AK19" s="507">
        <f t="shared" si="39"/>
        <v>0</v>
      </c>
      <c r="AL19" s="507">
        <f t="shared" si="39"/>
        <v>0</v>
      </c>
      <c r="AM19" s="507">
        <f t="shared" si="39"/>
        <v>0</v>
      </c>
      <c r="AN19" s="507">
        <f t="shared" si="39"/>
        <v>0</v>
      </c>
      <c r="AO19" s="507">
        <f t="shared" si="39"/>
        <v>0</v>
      </c>
      <c r="AP19" s="507">
        <f t="shared" si="39"/>
        <v>-0.56156249999999996</v>
      </c>
      <c r="AQ19" s="507">
        <f t="shared" ref="AQ19:AX19" si="40">AQ17*AQ18*-1</f>
        <v>-1.1231249999999999</v>
      </c>
      <c r="AR19" s="507">
        <f t="shared" si="40"/>
        <v>-1.7969999999999999</v>
      </c>
      <c r="AS19" s="507">
        <f t="shared" si="40"/>
        <v>-1.7969999999999999</v>
      </c>
      <c r="AT19" s="507">
        <f>AT17*AT18*-1</f>
        <v>-0.89849999999999997</v>
      </c>
      <c r="AU19" s="507">
        <f>AU17*AU18*-1</f>
        <v>0</v>
      </c>
      <c r="AV19" s="507">
        <f>AV17*AV18*-1</f>
        <v>0</v>
      </c>
      <c r="AW19" s="507">
        <f t="shared" si="40"/>
        <v>0</v>
      </c>
      <c r="AX19" s="507">
        <f t="shared" si="40"/>
        <v>0</v>
      </c>
      <c r="AY19" s="507">
        <f t="shared" ref="AY19:BF19" si="41">AY17*AY18*-1</f>
        <v>0</v>
      </c>
      <c r="AZ19" s="507">
        <f t="shared" si="41"/>
        <v>0</v>
      </c>
      <c r="BA19" s="507">
        <f t="shared" si="41"/>
        <v>0</v>
      </c>
      <c r="BB19" s="507">
        <f t="shared" si="41"/>
        <v>0</v>
      </c>
      <c r="BC19" s="507">
        <f t="shared" si="41"/>
        <v>0</v>
      </c>
      <c r="BD19" s="507">
        <f t="shared" si="41"/>
        <v>0</v>
      </c>
      <c r="BE19" s="507">
        <f t="shared" si="41"/>
        <v>0</v>
      </c>
      <c r="BF19" s="507">
        <f t="shared" si="41"/>
        <v>0</v>
      </c>
      <c r="BG19" s="507">
        <f t="shared" ref="BG19:BN19" si="42">BG17*BG18*-1</f>
        <v>0</v>
      </c>
      <c r="BH19" s="507">
        <f t="shared" si="42"/>
        <v>0</v>
      </c>
      <c r="BI19" s="507">
        <f t="shared" si="42"/>
        <v>0</v>
      </c>
      <c r="BJ19" s="507">
        <f t="shared" si="42"/>
        <v>0</v>
      </c>
      <c r="BK19" s="507">
        <f t="shared" si="42"/>
        <v>0</v>
      </c>
      <c r="BL19" s="507">
        <f t="shared" si="42"/>
        <v>0</v>
      </c>
      <c r="BM19" s="507">
        <f t="shared" si="42"/>
        <v>0</v>
      </c>
      <c r="BN19" s="507">
        <f t="shared" si="42"/>
        <v>0</v>
      </c>
      <c r="BO19" s="507"/>
      <c r="BP19" s="518">
        <v>0</v>
      </c>
      <c r="BQ19" s="518">
        <v>0</v>
      </c>
      <c r="BR19" s="514">
        <f>SUM(G19:J19)</f>
        <v>-2.4984374999999996</v>
      </c>
      <c r="BS19" s="514">
        <f>SUM(K19:N19)</f>
        <v>-4.1174999999999997</v>
      </c>
      <c r="BT19" s="514">
        <f>SUM(O19:R19)</f>
        <v>-4.2721875000000002</v>
      </c>
      <c r="BU19" s="514">
        <f>SUM(S19:V19)</f>
        <v>-4.4321049960937495</v>
      </c>
      <c r="BV19" s="515">
        <f>SUM(W19:Z19)</f>
        <v>-3.2579279645958978</v>
      </c>
      <c r="BW19" s="515">
        <f>SUM(AA19:AD19)</f>
        <v>-0.39812055792949197</v>
      </c>
      <c r="BX19" s="515">
        <f>SUM(AE19:AH19)</f>
        <v>0</v>
      </c>
      <c r="BY19" s="514">
        <f>SUM(AI19:AL19)</f>
        <v>0</v>
      </c>
      <c r="BZ19" s="514">
        <f>SUM(AM19:AP19)</f>
        <v>-0.56156249999999996</v>
      </c>
      <c r="CA19" s="514">
        <f>SUM(AQ19:AT19)</f>
        <v>-5.6156249999999996</v>
      </c>
      <c r="CB19" s="514">
        <f>SUM(AU19:AX19)</f>
        <v>0</v>
      </c>
      <c r="CC19" s="514">
        <f>SUM(AY19:BB19)</f>
        <v>0</v>
      </c>
      <c r="CD19" s="514">
        <f>SUM(BC19:BF19)</f>
        <v>0</v>
      </c>
      <c r="CE19" s="514">
        <f>SUM(BG19:BJ19)</f>
        <v>0</v>
      </c>
      <c r="CF19" s="514">
        <f>SUM(BK19:BN19)</f>
        <v>0</v>
      </c>
    </row>
    <row r="20" spans="1:84" s="419" customFormat="1">
      <c r="A20" s="517" t="s">
        <v>120</v>
      </c>
      <c r="B20" s="509">
        <f>-Drivers!B$288</f>
        <v>0</v>
      </c>
      <c r="C20" s="509">
        <f>-Drivers!C$288</f>
        <v>0</v>
      </c>
      <c r="D20" s="509">
        <f>-Drivers!D$288</f>
        <v>0</v>
      </c>
      <c r="E20" s="509">
        <f>-Drivers!E$288</f>
        <v>0</v>
      </c>
      <c r="F20" s="509">
        <f>-Drivers!F$288</f>
        <v>0</v>
      </c>
      <c r="G20" s="509">
        <f>-Drivers!G$288</f>
        <v>0</v>
      </c>
      <c r="H20" s="509">
        <f>-Drivers!H$288</f>
        <v>-4</v>
      </c>
      <c r="I20" s="509">
        <f>-Drivers!I$288</f>
        <v>-5</v>
      </c>
      <c r="J20" s="509">
        <f>-Drivers!J$288</f>
        <v>-5</v>
      </c>
      <c r="K20" s="509">
        <f>-Drivers!K$288</f>
        <v>-5</v>
      </c>
      <c r="L20" s="509">
        <f>-Drivers!L$288</f>
        <v>-5</v>
      </c>
      <c r="M20" s="509">
        <f>-Drivers!M$288</f>
        <v>-5</v>
      </c>
      <c r="N20" s="509">
        <f>-Drivers!N$288</f>
        <v>-5</v>
      </c>
      <c r="O20" s="509">
        <f>-Drivers!O$288</f>
        <v>-5</v>
      </c>
      <c r="P20" s="509">
        <f>-Drivers!P$288</f>
        <v>-5</v>
      </c>
      <c r="Q20" s="509">
        <f>-Drivers!Q$288</f>
        <v>-6</v>
      </c>
      <c r="R20" s="509">
        <f>-Drivers!R$288</f>
        <v>-5</v>
      </c>
      <c r="S20" s="509">
        <f>-Drivers!S$288</f>
        <v>-5</v>
      </c>
      <c r="T20" s="509">
        <f>-Drivers!T$288</f>
        <v>-6</v>
      </c>
      <c r="U20" s="509">
        <f>-Drivers!U$288</f>
        <v>-5</v>
      </c>
      <c r="V20" s="509">
        <f>-Drivers!V$288</f>
        <v>-5.578662500000001</v>
      </c>
      <c r="W20" s="509">
        <f>-Drivers!W$288</f>
        <v>-5.6419803193750004</v>
      </c>
      <c r="X20" s="509">
        <f>-Drivers!X$288</f>
        <v>-11</v>
      </c>
      <c r="Y20" s="509">
        <f>-Drivers!Y$288</f>
        <v>-5</v>
      </c>
      <c r="Z20" s="509">
        <f>-Drivers!Z$288</f>
        <v>-5</v>
      </c>
      <c r="AA20" s="509">
        <f>-Drivers!AA$288</f>
        <v>-2</v>
      </c>
      <c r="AB20" s="509">
        <f>-Drivers!AB$288</f>
        <v>0</v>
      </c>
      <c r="AC20" s="509">
        <f>-Drivers!AC$288</f>
        <v>0</v>
      </c>
      <c r="AD20" s="509">
        <f>-Drivers!AD$288</f>
        <v>0</v>
      </c>
      <c r="AE20" s="509">
        <f>-Drivers!AE$288</f>
        <v>0</v>
      </c>
      <c r="AF20" s="509">
        <f>-Drivers!AF$288</f>
        <v>0</v>
      </c>
      <c r="AG20" s="509">
        <f>-Drivers!AG$288</f>
        <v>0</v>
      </c>
      <c r="AH20" s="509">
        <f>-Drivers!AH$288</f>
        <v>0</v>
      </c>
      <c r="AI20" s="509">
        <f>-Drivers!AI$288</f>
        <v>0</v>
      </c>
      <c r="AJ20" s="509">
        <f>-Drivers!AJ$288</f>
        <v>0</v>
      </c>
      <c r="AK20" s="509">
        <f>-Drivers!AK$288</f>
        <v>0</v>
      </c>
      <c r="AL20" s="509">
        <f>-Drivers!AL$288</f>
        <v>0</v>
      </c>
      <c r="AM20" s="509">
        <f>-Drivers!AM$288</f>
        <v>0</v>
      </c>
      <c r="AN20" s="509">
        <f>-Drivers!AN$288</f>
        <v>0</v>
      </c>
      <c r="AO20" s="509">
        <f>-Drivers!AO$288</f>
        <v>0</v>
      </c>
      <c r="AP20" s="509">
        <f>-Drivers!AP$288</f>
        <v>0</v>
      </c>
      <c r="AQ20" s="509">
        <f>-Drivers!AQ$288</f>
        <v>0</v>
      </c>
      <c r="AR20" s="509">
        <f>-Drivers!AR$288</f>
        <v>0</v>
      </c>
      <c r="AS20" s="509">
        <f>-Drivers!AS$288</f>
        <v>0</v>
      </c>
      <c r="AT20" s="509">
        <v>-1</v>
      </c>
      <c r="AU20" s="509">
        <v>0</v>
      </c>
      <c r="AV20" s="509">
        <v>0</v>
      </c>
      <c r="AW20" s="513">
        <v>0</v>
      </c>
      <c r="AX20" s="513">
        <v>0</v>
      </c>
      <c r="AY20" s="513">
        <v>0</v>
      </c>
      <c r="AZ20" s="513">
        <v>0</v>
      </c>
      <c r="BA20" s="513">
        <v>0</v>
      </c>
      <c r="BB20" s="513">
        <v>0</v>
      </c>
      <c r="BC20" s="513">
        <v>0</v>
      </c>
      <c r="BD20" s="513">
        <v>0</v>
      </c>
      <c r="BE20" s="513">
        <v>0</v>
      </c>
      <c r="BF20" s="513">
        <v>0</v>
      </c>
      <c r="BG20" s="513">
        <v>0</v>
      </c>
      <c r="BH20" s="513">
        <v>0</v>
      </c>
      <c r="BI20" s="513">
        <v>0</v>
      </c>
      <c r="BJ20" s="513">
        <v>0</v>
      </c>
      <c r="BK20" s="513">
        <v>0</v>
      </c>
      <c r="BL20" s="513">
        <v>0</v>
      </c>
      <c r="BM20" s="513">
        <v>0</v>
      </c>
      <c r="BN20" s="513">
        <v>0</v>
      </c>
      <c r="BO20" s="513"/>
      <c r="BP20" s="518">
        <v>0</v>
      </c>
      <c r="BQ20" s="518">
        <v>0</v>
      </c>
      <c r="BR20" s="514">
        <f>SUM(G20:J20)</f>
        <v>-14</v>
      </c>
      <c r="BS20" s="514">
        <f>SUM(K20:N20)</f>
        <v>-20</v>
      </c>
      <c r="BT20" s="514">
        <f>SUM(O20:R20)</f>
        <v>-21</v>
      </c>
      <c r="BU20" s="514">
        <f>SUM(S20:V20)</f>
        <v>-21.5786625</v>
      </c>
      <c r="BV20" s="515">
        <f>SUM(W20:Z20)</f>
        <v>-26.641980319375001</v>
      </c>
      <c r="BW20" s="515">
        <f>SUM(AA20:AD20)</f>
        <v>-2</v>
      </c>
      <c r="BX20" s="515">
        <f>SUM(AE20:AH20)</f>
        <v>0</v>
      </c>
      <c r="BY20" s="514">
        <f>SUM(AI20:AL20)</f>
        <v>0</v>
      </c>
      <c r="BZ20" s="514">
        <f>SUM(AM20:AP20)</f>
        <v>0</v>
      </c>
      <c r="CA20" s="514">
        <f>SUM(AQ20:AT20)</f>
        <v>-1</v>
      </c>
      <c r="CB20" s="514">
        <f>SUM(AU20:AX20)</f>
        <v>0</v>
      </c>
      <c r="CC20" s="514">
        <f>SUM(AY20:BB20)</f>
        <v>0</v>
      </c>
      <c r="CD20" s="514">
        <f>SUM(BC20:BF20)</f>
        <v>0</v>
      </c>
      <c r="CE20" s="514">
        <f>SUM(BG20:BJ20)</f>
        <v>0</v>
      </c>
      <c r="CF20" s="514">
        <f>SUM(BK20:BN20)</f>
        <v>0</v>
      </c>
    </row>
    <row r="21" spans="1:84" s="419" customFormat="1">
      <c r="A21" s="517" t="s">
        <v>144</v>
      </c>
      <c r="B21" s="509">
        <f>CF!B$31</f>
        <v>0</v>
      </c>
      <c r="C21" s="509">
        <f>CF!C$31</f>
        <v>0</v>
      </c>
      <c r="D21" s="509">
        <f>CF!D$31</f>
        <v>0</v>
      </c>
      <c r="E21" s="509">
        <f>CF!E$31</f>
        <v>0</v>
      </c>
      <c r="F21" s="509">
        <f>CF!F$31</f>
        <v>0</v>
      </c>
      <c r="G21" s="509">
        <f>CF!G$31</f>
        <v>0</v>
      </c>
      <c r="H21" s="509">
        <f>CF!H$31</f>
        <v>0</v>
      </c>
      <c r="I21" s="509">
        <f>CF!I$31</f>
        <v>0</v>
      </c>
      <c r="J21" s="509">
        <f>CF!J$31</f>
        <v>0</v>
      </c>
      <c r="K21" s="509">
        <f>CF!K$31</f>
        <v>0</v>
      </c>
      <c r="L21" s="509">
        <f>CF!L$31</f>
        <v>-2</v>
      </c>
      <c r="M21" s="509">
        <f>CF!M$31</f>
        <v>0</v>
      </c>
      <c r="N21" s="509">
        <f>CF!N$31</f>
        <v>0</v>
      </c>
      <c r="O21" s="509">
        <f>CF!O$31</f>
        <v>0</v>
      </c>
      <c r="P21" s="509">
        <f>CF!P$31</f>
        <v>0</v>
      </c>
      <c r="Q21" s="509">
        <f>CF!Q$31</f>
        <v>0</v>
      </c>
      <c r="R21" s="509">
        <f>CF!R$31</f>
        <v>0</v>
      </c>
      <c r="S21" s="509">
        <f>CF!S$31</f>
        <v>0</v>
      </c>
      <c r="T21" s="509">
        <f>CF!T$31</f>
        <v>0</v>
      </c>
      <c r="U21" s="509">
        <f>CF!U$31</f>
        <v>0</v>
      </c>
      <c r="V21" s="509">
        <f>CF!V$31</f>
        <v>0</v>
      </c>
      <c r="W21" s="509">
        <f>CF!W$31</f>
        <v>0</v>
      </c>
      <c r="X21" s="509">
        <f>CF!X$31</f>
        <v>0</v>
      </c>
      <c r="Y21" s="509">
        <f>CF!Y$31</f>
        <v>0</v>
      </c>
      <c r="Z21" s="509">
        <f>CF!Z$31</f>
        <v>0</v>
      </c>
      <c r="AA21" s="509">
        <f>CF!AA$31</f>
        <v>0</v>
      </c>
      <c r="AB21" s="509">
        <f>CF!AB$31</f>
        <v>0</v>
      </c>
      <c r="AC21" s="509">
        <f>CF!AC$31</f>
        <v>0</v>
      </c>
      <c r="AD21" s="509">
        <f>CF!AD$31</f>
        <v>0</v>
      </c>
      <c r="AE21" s="509">
        <f>CF!AE$31</f>
        <v>0</v>
      </c>
      <c r="AF21" s="509">
        <f>CF!AF$31</f>
        <v>0</v>
      </c>
      <c r="AG21" s="509">
        <f>CF!AG$31</f>
        <v>0</v>
      </c>
      <c r="AH21" s="509">
        <f>CF!AH$31</f>
        <v>0</v>
      </c>
      <c r="AI21" s="509">
        <f>CF!AI$31</f>
        <v>0</v>
      </c>
      <c r="AJ21" s="509">
        <f>CF!AJ$31</f>
        <v>0</v>
      </c>
      <c r="AK21" s="509">
        <f>CF!AK$31</f>
        <v>0</v>
      </c>
      <c r="AL21" s="509">
        <f>CF!AL$31</f>
        <v>0</v>
      </c>
      <c r="AM21" s="509">
        <f>CF!AM$31</f>
        <v>0</v>
      </c>
      <c r="AN21" s="509">
        <f>CF!AN$31</f>
        <v>0</v>
      </c>
      <c r="AO21" s="509">
        <f>CF!AO$31</f>
        <v>0</v>
      </c>
      <c r="AP21" s="509">
        <f>CF!AP$31</f>
        <v>0</v>
      </c>
      <c r="AQ21" s="509">
        <f>CF!AQ$31</f>
        <v>0</v>
      </c>
      <c r="AR21" s="509">
        <f>CF!AR$31</f>
        <v>0</v>
      </c>
      <c r="AS21" s="509">
        <f>CF!AS$31</f>
        <v>0</v>
      </c>
      <c r="AT21" s="509">
        <f>CF!AT$31</f>
        <v>0</v>
      </c>
      <c r="AU21" s="509">
        <f>CF!AU$31</f>
        <v>0</v>
      </c>
      <c r="AV21" s="509">
        <f>CF!AV$31</f>
        <v>0</v>
      </c>
      <c r="AW21" s="513">
        <v>0</v>
      </c>
      <c r="AX21" s="513">
        <v>0</v>
      </c>
      <c r="AY21" s="513">
        <v>0</v>
      </c>
      <c r="AZ21" s="513">
        <v>0</v>
      </c>
      <c r="BA21" s="513">
        <v>0</v>
      </c>
      <c r="BB21" s="513">
        <v>0</v>
      </c>
      <c r="BC21" s="513">
        <v>0</v>
      </c>
      <c r="BD21" s="513">
        <v>0</v>
      </c>
      <c r="BE21" s="513">
        <v>0</v>
      </c>
      <c r="BF21" s="513">
        <v>0</v>
      </c>
      <c r="BG21" s="513">
        <v>0</v>
      </c>
      <c r="BH21" s="513">
        <v>0</v>
      </c>
      <c r="BI21" s="513">
        <v>0</v>
      </c>
      <c r="BJ21" s="513">
        <v>0</v>
      </c>
      <c r="BK21" s="513">
        <v>0</v>
      </c>
      <c r="BL21" s="513">
        <v>0</v>
      </c>
      <c r="BM21" s="513">
        <v>0</v>
      </c>
      <c r="BN21" s="513">
        <v>0</v>
      </c>
      <c r="BO21" s="513"/>
      <c r="BP21" s="518">
        <v>0</v>
      </c>
      <c r="BQ21" s="518">
        <v>0</v>
      </c>
      <c r="BR21" s="514">
        <f>SUM(G21:J21)</f>
        <v>0</v>
      </c>
      <c r="BS21" s="514">
        <f>SUM(K21:N21)</f>
        <v>-2</v>
      </c>
      <c r="BT21" s="514">
        <f>SUM(O21:R21)</f>
        <v>0</v>
      </c>
      <c r="BU21" s="514">
        <f>SUM(S21:V21)</f>
        <v>0</v>
      </c>
      <c r="BV21" s="515">
        <f>SUM(W21:Z21)</f>
        <v>0</v>
      </c>
      <c r="BW21" s="515">
        <f>SUM(AA21:AD21)</f>
        <v>0</v>
      </c>
      <c r="BX21" s="515">
        <f>SUM(AE21:AH21)</f>
        <v>0</v>
      </c>
      <c r="BY21" s="514">
        <f>SUM(AI21:AL21)</f>
        <v>0</v>
      </c>
      <c r="BZ21" s="514">
        <f>SUM(AM21:AP21)</f>
        <v>0</v>
      </c>
      <c r="CA21" s="514">
        <f>SUM(AQ21:AT21)</f>
        <v>0</v>
      </c>
      <c r="CB21" s="514">
        <f>SUM(AU21:AX21)</f>
        <v>0</v>
      </c>
      <c r="CC21" s="514">
        <f>SUM(AY21:BB21)</f>
        <v>0</v>
      </c>
      <c r="CD21" s="514">
        <f>SUM(BC21:BF21)</f>
        <v>0</v>
      </c>
      <c r="CE21" s="514">
        <f>SUM(BG21:BJ21)</f>
        <v>0</v>
      </c>
      <c r="CF21" s="514">
        <f>SUM(BK21:BN21)</f>
        <v>0</v>
      </c>
    </row>
    <row r="22" spans="1:84" s="419" customFormat="1">
      <c r="A22" s="516" t="s">
        <v>186</v>
      </c>
      <c r="B22" s="519">
        <v>0</v>
      </c>
      <c r="C22" s="507">
        <f t="shared" ref="C22:H22" si="43">SUM(C19:C21)</f>
        <v>0</v>
      </c>
      <c r="D22" s="507">
        <f t="shared" si="43"/>
        <v>0</v>
      </c>
      <c r="E22" s="507">
        <f t="shared" si="43"/>
        <v>0</v>
      </c>
      <c r="F22" s="507">
        <f t="shared" si="43"/>
        <v>0</v>
      </c>
      <c r="G22" s="507">
        <f t="shared" si="43"/>
        <v>0</v>
      </c>
      <c r="H22" s="507">
        <f t="shared" si="43"/>
        <v>-4.4959375000000001</v>
      </c>
      <c r="I22" s="507">
        <f t="shared" ref="I22:N22" si="44">SUM(I19:I21)</f>
        <v>-5.9965624999999996</v>
      </c>
      <c r="J22" s="507">
        <f t="shared" si="44"/>
        <v>-6.0059374999999999</v>
      </c>
      <c r="K22" s="507">
        <f t="shared" si="44"/>
        <v>-6.0153125000000003</v>
      </c>
      <c r="L22" s="507">
        <f t="shared" si="44"/>
        <v>-8.0246874999999989</v>
      </c>
      <c r="M22" s="507">
        <f t="shared" si="44"/>
        <v>-6.0340625000000001</v>
      </c>
      <c r="N22" s="507">
        <f t="shared" si="44"/>
        <v>-6.0434374999999996</v>
      </c>
      <c r="O22" s="507">
        <f t="shared" ref="O22:T22" si="45">SUM(O19:O21)</f>
        <v>-6.0528124999999999</v>
      </c>
      <c r="P22" s="507">
        <f t="shared" si="45"/>
        <v>-6.0631249999999994</v>
      </c>
      <c r="Q22" s="507">
        <f t="shared" si="45"/>
        <v>-7.0734374999999998</v>
      </c>
      <c r="R22" s="507">
        <f t="shared" si="45"/>
        <v>-6.0828125000000002</v>
      </c>
      <c r="S22" s="507">
        <f t="shared" si="45"/>
        <v>-6.0931249999999997</v>
      </c>
      <c r="T22" s="507">
        <f t="shared" si="45"/>
        <v>-7.1034375000000001</v>
      </c>
      <c r="U22" s="507">
        <f>SUM(U19:U21)</f>
        <v>-6.1128125000000004</v>
      </c>
      <c r="V22" s="507">
        <f t="shared" ref="V22:AA22" si="46">SUM(V19:V21)</f>
        <v>-6.7013924960937512</v>
      </c>
      <c r="W22" s="507">
        <f t="shared" si="46"/>
        <v>-6.7752296681119146</v>
      </c>
      <c r="X22" s="507">
        <f t="shared" si="46"/>
        <v>-11.963226205286327</v>
      </c>
      <c r="Y22" s="507">
        <f t="shared" si="46"/>
        <v>-5.703538705286328</v>
      </c>
      <c r="Z22" s="507">
        <f t="shared" si="46"/>
        <v>-5.4579137052863276</v>
      </c>
      <c r="AA22" s="507">
        <f t="shared" si="46"/>
        <v>-2.2732262052863281</v>
      </c>
      <c r="AB22" s="507">
        <f t="shared" ref="AB22:AH22" si="47">SUM(AB19:AB21)</f>
        <v>-0.12489435264316398</v>
      </c>
      <c r="AC22" s="507">
        <f t="shared" si="47"/>
        <v>0</v>
      </c>
      <c r="AD22" s="507">
        <f t="shared" si="47"/>
        <v>0</v>
      </c>
      <c r="AE22" s="507">
        <f t="shared" si="47"/>
        <v>0</v>
      </c>
      <c r="AF22" s="507">
        <f t="shared" si="47"/>
        <v>0</v>
      </c>
      <c r="AG22" s="507">
        <f t="shared" si="47"/>
        <v>0</v>
      </c>
      <c r="AH22" s="507">
        <f t="shared" si="47"/>
        <v>0</v>
      </c>
      <c r="AI22" s="507">
        <f t="shared" ref="AI22:AP22" si="48">SUM(AI19:AI21)</f>
        <v>0</v>
      </c>
      <c r="AJ22" s="507">
        <f t="shared" si="48"/>
        <v>0</v>
      </c>
      <c r="AK22" s="507">
        <f t="shared" si="48"/>
        <v>0</v>
      </c>
      <c r="AL22" s="507">
        <f t="shared" si="48"/>
        <v>0</v>
      </c>
      <c r="AM22" s="507">
        <f t="shared" si="48"/>
        <v>0</v>
      </c>
      <c r="AN22" s="507">
        <f t="shared" si="48"/>
        <v>0</v>
      </c>
      <c r="AO22" s="507">
        <f t="shared" si="48"/>
        <v>0</v>
      </c>
      <c r="AP22" s="507">
        <f t="shared" si="48"/>
        <v>-0.56156249999999996</v>
      </c>
      <c r="AQ22" s="507">
        <f t="shared" ref="AQ22:AX22" si="49">SUM(AQ19:AQ21)</f>
        <v>-1.1231249999999999</v>
      </c>
      <c r="AR22" s="507">
        <f t="shared" si="49"/>
        <v>-1.7969999999999999</v>
      </c>
      <c r="AS22" s="507">
        <f t="shared" si="49"/>
        <v>-1.7969999999999999</v>
      </c>
      <c r="AT22" s="507">
        <f>SUM(AT19:AT21)</f>
        <v>-1.8984999999999999</v>
      </c>
      <c r="AU22" s="507">
        <f>SUM(AU19:AU21)</f>
        <v>0</v>
      </c>
      <c r="AV22" s="507">
        <f>SUM(AV19:AV21)</f>
        <v>0</v>
      </c>
      <c r="AW22" s="507">
        <f t="shared" si="49"/>
        <v>0</v>
      </c>
      <c r="AX22" s="507">
        <f t="shared" si="49"/>
        <v>0</v>
      </c>
      <c r="AY22" s="507">
        <f t="shared" ref="AY22:BF22" si="50">SUM(AY19:AY21)</f>
        <v>0</v>
      </c>
      <c r="AZ22" s="507">
        <f t="shared" si="50"/>
        <v>0</v>
      </c>
      <c r="BA22" s="507">
        <f t="shared" si="50"/>
        <v>0</v>
      </c>
      <c r="BB22" s="507">
        <f t="shared" si="50"/>
        <v>0</v>
      </c>
      <c r="BC22" s="507">
        <f t="shared" si="50"/>
        <v>0</v>
      </c>
      <c r="BD22" s="507">
        <f t="shared" si="50"/>
        <v>0</v>
      </c>
      <c r="BE22" s="507">
        <f t="shared" si="50"/>
        <v>0</v>
      </c>
      <c r="BF22" s="507">
        <f t="shared" si="50"/>
        <v>0</v>
      </c>
      <c r="BG22" s="507">
        <f t="shared" ref="BG22:BN22" si="51">SUM(BG19:BG21)</f>
        <v>0</v>
      </c>
      <c r="BH22" s="507">
        <f t="shared" si="51"/>
        <v>0</v>
      </c>
      <c r="BI22" s="507">
        <f t="shared" si="51"/>
        <v>0</v>
      </c>
      <c r="BJ22" s="507">
        <f t="shared" si="51"/>
        <v>0</v>
      </c>
      <c r="BK22" s="507">
        <f t="shared" si="51"/>
        <v>0</v>
      </c>
      <c r="BL22" s="507">
        <f t="shared" si="51"/>
        <v>0</v>
      </c>
      <c r="BM22" s="507">
        <f t="shared" si="51"/>
        <v>0</v>
      </c>
      <c r="BN22" s="507">
        <f t="shared" si="51"/>
        <v>0</v>
      </c>
      <c r="BO22" s="507"/>
      <c r="BP22" s="518">
        <v>0</v>
      </c>
      <c r="BQ22" s="518">
        <v>0</v>
      </c>
      <c r="BR22" s="514">
        <f>SUM(G22:J22)</f>
        <v>-16.498437500000001</v>
      </c>
      <c r="BS22" s="514">
        <f>SUM(K22:N22)</f>
        <v>-26.1175</v>
      </c>
      <c r="BT22" s="514">
        <f>SUM(O22:R22)</f>
        <v>-25.272187499999998</v>
      </c>
      <c r="BU22" s="514">
        <f>SUM(S22:V22)</f>
        <v>-26.010767496093749</v>
      </c>
      <c r="BV22" s="515">
        <f>SUM(W22:Z22)</f>
        <v>-29.899908283970895</v>
      </c>
      <c r="BW22" s="515">
        <f>SUM(AA22:AD22)</f>
        <v>-2.398120557929492</v>
      </c>
      <c r="BX22" s="515">
        <f>SUM(AE22:AH22)</f>
        <v>0</v>
      </c>
      <c r="BY22" s="514">
        <f>SUM(AI22:AL22)</f>
        <v>0</v>
      </c>
      <c r="BZ22" s="514">
        <f>SUM(AM22:AP22)</f>
        <v>-0.56156249999999996</v>
      </c>
      <c r="CA22" s="514">
        <f>SUM(AQ22:AT22)</f>
        <v>-6.6156249999999996</v>
      </c>
      <c r="CB22" s="514">
        <f>SUM(AU22:AX22)</f>
        <v>0</v>
      </c>
      <c r="CC22" s="514">
        <f>SUM(AY22:BB22)</f>
        <v>0</v>
      </c>
      <c r="CD22" s="514">
        <f>SUM(BC22:BF22)</f>
        <v>0</v>
      </c>
      <c r="CE22" s="514">
        <f>SUM(BG22:BJ22)</f>
        <v>0</v>
      </c>
      <c r="CF22" s="514">
        <f>SUM(BK22:BN22)</f>
        <v>0</v>
      </c>
    </row>
    <row r="23" spans="1:84" s="419" customFormat="1">
      <c r="A23" s="507" t="s">
        <v>184</v>
      </c>
      <c r="B23" s="519"/>
      <c r="C23" s="507"/>
      <c r="D23" s="507"/>
      <c r="E23" s="507"/>
      <c r="F23" s="507"/>
      <c r="G23" s="507"/>
      <c r="H23" s="507"/>
      <c r="I23" s="507"/>
      <c r="J23" s="507"/>
      <c r="K23" s="507"/>
      <c r="L23" s="507"/>
      <c r="M23" s="507"/>
      <c r="N23" s="507"/>
      <c r="O23" s="507"/>
      <c r="P23" s="507"/>
      <c r="Q23" s="507"/>
      <c r="R23" s="507"/>
      <c r="S23" s="507"/>
      <c r="T23" s="507"/>
      <c r="U23" s="507"/>
      <c r="V23" s="507"/>
      <c r="W23" s="507"/>
      <c r="X23" s="507"/>
      <c r="Y23" s="507"/>
      <c r="Z23" s="507"/>
      <c r="AA23" s="507"/>
      <c r="AB23" s="507"/>
      <c r="AC23" s="507"/>
      <c r="AD23" s="507"/>
      <c r="AE23" s="507"/>
      <c r="AF23" s="507"/>
      <c r="AG23" s="507"/>
      <c r="AH23" s="507"/>
      <c r="AI23" s="507"/>
      <c r="AJ23" s="507"/>
      <c r="AK23" s="507"/>
      <c r="AL23" s="507"/>
      <c r="AM23" s="507"/>
      <c r="AN23" s="507"/>
      <c r="AO23" s="507"/>
      <c r="AP23" s="507"/>
      <c r="AQ23" s="507"/>
      <c r="AR23" s="507"/>
      <c r="AS23" s="507"/>
      <c r="AT23" s="507"/>
      <c r="AU23" s="507"/>
      <c r="AV23" s="507"/>
      <c r="AW23" s="507"/>
      <c r="AX23" s="507"/>
      <c r="AY23" s="507"/>
      <c r="AZ23" s="507"/>
      <c r="BA23" s="507"/>
      <c r="BB23" s="507"/>
      <c r="BC23" s="507"/>
      <c r="BD23" s="507"/>
      <c r="BE23" s="507"/>
      <c r="BF23" s="507"/>
      <c r="BG23" s="507"/>
      <c r="BH23" s="507"/>
      <c r="BI23" s="507"/>
      <c r="BJ23" s="507"/>
      <c r="BK23" s="507"/>
      <c r="BL23" s="507"/>
      <c r="BM23" s="507"/>
      <c r="BN23" s="507"/>
      <c r="BO23" s="507"/>
      <c r="BP23" s="518"/>
      <c r="BQ23" s="518"/>
      <c r="BR23" s="514"/>
      <c r="BS23" s="514"/>
      <c r="BT23" s="514"/>
      <c r="BU23" s="514"/>
      <c r="BV23" s="515"/>
      <c r="BW23" s="515"/>
      <c r="BX23" s="515"/>
      <c r="BY23" s="514"/>
      <c r="BZ23" s="514"/>
      <c r="CA23" s="514"/>
      <c r="CB23" s="514"/>
      <c r="CC23" s="514"/>
      <c r="CD23" s="514"/>
      <c r="CE23" s="514"/>
      <c r="CF23" s="514"/>
    </row>
    <row r="24" spans="1:84" s="419" customFormat="1">
      <c r="A24" s="516" t="s">
        <v>42</v>
      </c>
      <c r="B24" s="519">
        <v>0</v>
      </c>
      <c r="C24" s="420">
        <f>B26</f>
        <v>0</v>
      </c>
      <c r="D24" s="420">
        <f t="shared" ref="D24:AU24" si="52">C26</f>
        <v>0</v>
      </c>
      <c r="E24" s="420">
        <f t="shared" si="52"/>
        <v>0</v>
      </c>
      <c r="F24" s="420">
        <f t="shared" si="52"/>
        <v>0</v>
      </c>
      <c r="G24" s="420">
        <f t="shared" si="52"/>
        <v>0</v>
      </c>
      <c r="H24" s="420">
        <f t="shared" si="52"/>
        <v>0</v>
      </c>
      <c r="I24" s="420">
        <f t="shared" si="52"/>
        <v>0</v>
      </c>
      <c r="J24" s="420">
        <f t="shared" si="52"/>
        <v>0</v>
      </c>
      <c r="K24" s="420">
        <f t="shared" si="52"/>
        <v>0</v>
      </c>
      <c r="L24" s="420">
        <f t="shared" si="52"/>
        <v>0</v>
      </c>
      <c r="M24" s="420">
        <f t="shared" si="52"/>
        <v>0</v>
      </c>
      <c r="N24" s="420">
        <f t="shared" si="52"/>
        <v>0</v>
      </c>
      <c r="O24" s="420">
        <f t="shared" si="52"/>
        <v>0</v>
      </c>
      <c r="P24" s="420">
        <f t="shared" si="52"/>
        <v>0</v>
      </c>
      <c r="Q24" s="420">
        <f t="shared" si="52"/>
        <v>0</v>
      </c>
      <c r="R24" s="420">
        <f t="shared" si="52"/>
        <v>0</v>
      </c>
      <c r="S24" s="420">
        <f t="shared" si="52"/>
        <v>0</v>
      </c>
      <c r="T24" s="420">
        <f t="shared" si="52"/>
        <v>0</v>
      </c>
      <c r="U24" s="420">
        <f t="shared" si="52"/>
        <v>0</v>
      </c>
      <c r="V24" s="420">
        <f t="shared" si="52"/>
        <v>0</v>
      </c>
      <c r="W24" s="420">
        <f t="shared" si="52"/>
        <v>0</v>
      </c>
      <c r="X24" s="420">
        <f t="shared" si="52"/>
        <v>0</v>
      </c>
      <c r="Y24" s="420">
        <f t="shared" si="52"/>
        <v>0</v>
      </c>
      <c r="Z24" s="420">
        <f t="shared" si="52"/>
        <v>0</v>
      </c>
      <c r="AA24" s="420">
        <f t="shared" si="52"/>
        <v>989</v>
      </c>
      <c r="AB24" s="420">
        <f t="shared" si="52"/>
        <v>989</v>
      </c>
      <c r="AC24" s="420">
        <f t="shared" si="52"/>
        <v>990</v>
      </c>
      <c r="AD24" s="420">
        <f t="shared" si="52"/>
        <v>990</v>
      </c>
      <c r="AE24" s="420">
        <f t="shared" si="52"/>
        <v>990</v>
      </c>
      <c r="AF24" s="420">
        <f t="shared" si="52"/>
        <v>991</v>
      </c>
      <c r="AG24" s="420">
        <f t="shared" si="52"/>
        <v>991</v>
      </c>
      <c r="AH24" s="420">
        <f t="shared" si="52"/>
        <v>992</v>
      </c>
      <c r="AI24" s="420">
        <f t="shared" si="52"/>
        <v>992</v>
      </c>
      <c r="AJ24" s="420">
        <f t="shared" si="52"/>
        <v>993</v>
      </c>
      <c r="AK24" s="420">
        <f t="shared" si="52"/>
        <v>993</v>
      </c>
      <c r="AL24" s="420">
        <f t="shared" si="52"/>
        <v>994</v>
      </c>
      <c r="AM24" s="420">
        <f t="shared" si="52"/>
        <v>994</v>
      </c>
      <c r="AN24" s="420">
        <f t="shared" si="52"/>
        <v>995</v>
      </c>
      <c r="AO24" s="420">
        <f t="shared" si="52"/>
        <v>995</v>
      </c>
      <c r="AP24" s="420">
        <f t="shared" si="52"/>
        <v>995</v>
      </c>
      <c r="AQ24" s="420">
        <f t="shared" si="52"/>
        <v>397</v>
      </c>
      <c r="AR24" s="420">
        <f t="shared" si="52"/>
        <v>397</v>
      </c>
      <c r="AS24" s="420">
        <f t="shared" si="52"/>
        <v>397</v>
      </c>
      <c r="AT24" s="420">
        <f t="shared" si="52"/>
        <v>397</v>
      </c>
      <c r="AU24" s="420">
        <f t="shared" si="52"/>
        <v>1876</v>
      </c>
      <c r="AV24" s="420">
        <f>AU26</f>
        <v>1877</v>
      </c>
      <c r="AW24" s="420">
        <f>AV26</f>
        <v>1877</v>
      </c>
      <c r="AX24" s="420">
        <f>AW26</f>
        <v>1877</v>
      </c>
      <c r="AY24" s="420">
        <f t="shared" ref="AY24:BF24" si="53">AX26</f>
        <v>1877</v>
      </c>
      <c r="AZ24" s="420">
        <f t="shared" si="53"/>
        <v>1877</v>
      </c>
      <c r="BA24" s="420">
        <f t="shared" si="53"/>
        <v>1877</v>
      </c>
      <c r="BB24" s="420">
        <f t="shared" si="53"/>
        <v>1877</v>
      </c>
      <c r="BC24" s="420">
        <f t="shared" si="53"/>
        <v>1877</v>
      </c>
      <c r="BD24" s="420">
        <f t="shared" si="53"/>
        <v>1877</v>
      </c>
      <c r="BE24" s="420">
        <f t="shared" si="53"/>
        <v>1877</v>
      </c>
      <c r="BF24" s="420">
        <f t="shared" si="53"/>
        <v>1877</v>
      </c>
      <c r="BG24" s="420">
        <f t="shared" ref="BG24:BN24" si="54">BF26</f>
        <v>1877</v>
      </c>
      <c r="BH24" s="420">
        <f t="shared" si="54"/>
        <v>1877</v>
      </c>
      <c r="BI24" s="420">
        <f t="shared" si="54"/>
        <v>1877</v>
      </c>
      <c r="BJ24" s="420">
        <f t="shared" si="54"/>
        <v>1877</v>
      </c>
      <c r="BK24" s="420">
        <f t="shared" si="54"/>
        <v>1877</v>
      </c>
      <c r="BL24" s="420">
        <f t="shared" si="54"/>
        <v>1877</v>
      </c>
      <c r="BM24" s="420">
        <f t="shared" si="54"/>
        <v>1877</v>
      </c>
      <c r="BN24" s="420">
        <f t="shared" si="54"/>
        <v>1877</v>
      </c>
      <c r="BO24" s="420"/>
      <c r="BP24" s="510">
        <v>0</v>
      </c>
      <c r="BQ24" s="511">
        <f>C24</f>
        <v>0</v>
      </c>
      <c r="BR24" s="511">
        <f>G24</f>
        <v>0</v>
      </c>
      <c r="BS24" s="511">
        <f>K24</f>
        <v>0</v>
      </c>
      <c r="BT24" s="511">
        <f>O24</f>
        <v>0</v>
      </c>
      <c r="BU24" s="511">
        <f>S24</f>
        <v>0</v>
      </c>
      <c r="BV24" s="512">
        <f>W24</f>
        <v>0</v>
      </c>
      <c r="BW24" s="512">
        <f>AA24</f>
        <v>989</v>
      </c>
      <c r="BX24" s="512">
        <f>AE24</f>
        <v>990</v>
      </c>
      <c r="BY24" s="511">
        <f>AI24</f>
        <v>992</v>
      </c>
      <c r="BZ24" s="511">
        <f>AM24</f>
        <v>994</v>
      </c>
      <c r="CA24" s="511">
        <f>AQ24</f>
        <v>397</v>
      </c>
      <c r="CB24" s="511">
        <f>AU24</f>
        <v>1876</v>
      </c>
      <c r="CC24" s="511">
        <f>AY24</f>
        <v>1877</v>
      </c>
      <c r="CD24" s="511">
        <f>BC24</f>
        <v>1877</v>
      </c>
      <c r="CE24" s="511">
        <f>BG24</f>
        <v>1877</v>
      </c>
      <c r="CF24" s="511">
        <f>BK24</f>
        <v>1877</v>
      </c>
    </row>
    <row r="25" spans="1:84" s="419" customFormat="1">
      <c r="A25" s="517" t="s">
        <v>155</v>
      </c>
      <c r="B25" s="420">
        <f>B26-B24</f>
        <v>0</v>
      </c>
      <c r="C25" s="420">
        <f t="shared" ref="C25:Y25" si="55">C26-C24</f>
        <v>0</v>
      </c>
      <c r="D25" s="420">
        <f t="shared" si="55"/>
        <v>0</v>
      </c>
      <c r="E25" s="420">
        <f t="shared" si="55"/>
        <v>0</v>
      </c>
      <c r="F25" s="420">
        <f t="shared" si="55"/>
        <v>0</v>
      </c>
      <c r="G25" s="420">
        <f t="shared" si="55"/>
        <v>0</v>
      </c>
      <c r="H25" s="420">
        <f t="shared" si="55"/>
        <v>0</v>
      </c>
      <c r="I25" s="420">
        <f t="shared" si="55"/>
        <v>0</v>
      </c>
      <c r="J25" s="420">
        <f t="shared" si="55"/>
        <v>0</v>
      </c>
      <c r="K25" s="420">
        <f t="shared" si="55"/>
        <v>0</v>
      </c>
      <c r="L25" s="420">
        <f t="shared" si="55"/>
        <v>0</v>
      </c>
      <c r="M25" s="420">
        <f t="shared" si="55"/>
        <v>0</v>
      </c>
      <c r="N25" s="420">
        <f t="shared" si="55"/>
        <v>0</v>
      </c>
      <c r="O25" s="420">
        <f t="shared" si="55"/>
        <v>0</v>
      </c>
      <c r="P25" s="420">
        <f t="shared" si="55"/>
        <v>0</v>
      </c>
      <c r="Q25" s="420">
        <f t="shared" si="55"/>
        <v>0</v>
      </c>
      <c r="R25" s="420">
        <f t="shared" si="55"/>
        <v>0</v>
      </c>
      <c r="S25" s="420">
        <f t="shared" si="55"/>
        <v>0</v>
      </c>
      <c r="T25" s="420">
        <f t="shared" si="55"/>
        <v>0</v>
      </c>
      <c r="U25" s="420">
        <f t="shared" si="55"/>
        <v>0</v>
      </c>
      <c r="V25" s="420">
        <f t="shared" si="55"/>
        <v>0</v>
      </c>
      <c r="W25" s="420">
        <f t="shared" si="55"/>
        <v>0</v>
      </c>
      <c r="X25" s="420">
        <f t="shared" si="55"/>
        <v>0</v>
      </c>
      <c r="Y25" s="420">
        <f t="shared" si="55"/>
        <v>0</v>
      </c>
      <c r="Z25" s="420">
        <f t="shared" ref="Z25:AE25" si="56">Z26-Z24</f>
        <v>989</v>
      </c>
      <c r="AA25" s="420">
        <f t="shared" si="56"/>
        <v>0</v>
      </c>
      <c r="AB25" s="420">
        <f t="shared" si="56"/>
        <v>1</v>
      </c>
      <c r="AC25" s="420">
        <f t="shared" si="56"/>
        <v>0</v>
      </c>
      <c r="AD25" s="420">
        <f t="shared" si="56"/>
        <v>0</v>
      </c>
      <c r="AE25" s="420">
        <f t="shared" si="56"/>
        <v>1</v>
      </c>
      <c r="AF25" s="420">
        <f t="shared" ref="AF25:AK25" si="57">AF26-AF24</f>
        <v>0</v>
      </c>
      <c r="AG25" s="420">
        <f t="shared" si="57"/>
        <v>1</v>
      </c>
      <c r="AH25" s="420">
        <f t="shared" si="57"/>
        <v>0</v>
      </c>
      <c r="AI25" s="420">
        <f t="shared" si="57"/>
        <v>1</v>
      </c>
      <c r="AJ25" s="420">
        <f t="shared" si="57"/>
        <v>0</v>
      </c>
      <c r="AK25" s="420">
        <f t="shared" si="57"/>
        <v>1</v>
      </c>
      <c r="AL25" s="420">
        <f t="shared" ref="AL25:AQ25" si="58">AL26-AL24</f>
        <v>0</v>
      </c>
      <c r="AM25" s="420">
        <f t="shared" si="58"/>
        <v>1</v>
      </c>
      <c r="AN25" s="420">
        <f t="shared" si="58"/>
        <v>0</v>
      </c>
      <c r="AO25" s="420">
        <f t="shared" si="58"/>
        <v>0</v>
      </c>
      <c r="AP25" s="420">
        <f t="shared" si="58"/>
        <v>-598</v>
      </c>
      <c r="AQ25" s="420">
        <f t="shared" si="58"/>
        <v>0</v>
      </c>
      <c r="AR25" s="420">
        <f>AR26-AR24</f>
        <v>0</v>
      </c>
      <c r="AS25" s="420">
        <f>AS26-AS24</f>
        <v>0</v>
      </c>
      <c r="AT25" s="420">
        <f>AT26-AT24</f>
        <v>1479</v>
      </c>
      <c r="AU25" s="420">
        <f>AU26-AU24</f>
        <v>1</v>
      </c>
      <c r="AV25" s="420">
        <f>CF!AV33</f>
        <v>0</v>
      </c>
      <c r="AW25" s="420">
        <f>CF!AW33</f>
        <v>0</v>
      </c>
      <c r="AX25" s="420">
        <f>CF!AX33</f>
        <v>0</v>
      </c>
      <c r="AY25" s="420">
        <f>CF!AY33</f>
        <v>0</v>
      </c>
      <c r="AZ25" s="420">
        <f>CF!AZ33</f>
        <v>0</v>
      </c>
      <c r="BA25" s="420">
        <f>CF!BA33</f>
        <v>0</v>
      </c>
      <c r="BB25" s="420">
        <f>CF!BB33</f>
        <v>0</v>
      </c>
      <c r="BC25" s="420">
        <f>CF!BC33</f>
        <v>0</v>
      </c>
      <c r="BD25" s="420">
        <f>CF!BD33</f>
        <v>0</v>
      </c>
      <c r="BE25" s="420">
        <f>CF!BE33</f>
        <v>0</v>
      </c>
      <c r="BF25" s="420">
        <f>CF!BF33</f>
        <v>0</v>
      </c>
      <c r="BG25" s="420">
        <f>CF!BG33</f>
        <v>0</v>
      </c>
      <c r="BH25" s="420">
        <f>CF!BH33</f>
        <v>0</v>
      </c>
      <c r="BI25" s="420">
        <f>CF!BI33</f>
        <v>0</v>
      </c>
      <c r="BJ25" s="420">
        <f>CF!BJ33</f>
        <v>0</v>
      </c>
      <c r="BK25" s="420">
        <f>CF!BK33</f>
        <v>0</v>
      </c>
      <c r="BL25" s="420">
        <f>CF!BL33</f>
        <v>0</v>
      </c>
      <c r="BM25" s="420">
        <f>CF!BM33</f>
        <v>0</v>
      </c>
      <c r="BN25" s="420">
        <f>CF!BN33</f>
        <v>0</v>
      </c>
      <c r="BO25" s="420"/>
      <c r="BP25" s="511">
        <f>BP26-BP24</f>
        <v>0</v>
      </c>
      <c r="BQ25" s="511">
        <f t="shared" ref="BQ25:BZ25" si="59">BQ26-BQ24</f>
        <v>0</v>
      </c>
      <c r="BR25" s="511">
        <f t="shared" si="59"/>
        <v>0</v>
      </c>
      <c r="BS25" s="511">
        <f t="shared" si="59"/>
        <v>0</v>
      </c>
      <c r="BT25" s="511">
        <f t="shared" si="59"/>
        <v>0</v>
      </c>
      <c r="BU25" s="511">
        <f t="shared" si="59"/>
        <v>0</v>
      </c>
      <c r="BV25" s="512">
        <f t="shared" si="59"/>
        <v>989</v>
      </c>
      <c r="BW25" s="512">
        <f t="shared" si="59"/>
        <v>1</v>
      </c>
      <c r="BX25" s="512">
        <f t="shared" si="59"/>
        <v>2</v>
      </c>
      <c r="BY25" s="511">
        <f t="shared" si="59"/>
        <v>2</v>
      </c>
      <c r="BZ25" s="511">
        <f t="shared" si="59"/>
        <v>-597</v>
      </c>
      <c r="CA25" s="511">
        <f t="shared" ref="CA25:CF25" si="60">CA26-CA24</f>
        <v>1479</v>
      </c>
      <c r="CB25" s="511">
        <f t="shared" si="60"/>
        <v>1</v>
      </c>
      <c r="CC25" s="511">
        <f t="shared" si="60"/>
        <v>0</v>
      </c>
      <c r="CD25" s="511">
        <f t="shared" si="60"/>
        <v>0</v>
      </c>
      <c r="CE25" s="511">
        <f t="shared" si="60"/>
        <v>0</v>
      </c>
      <c r="CF25" s="511">
        <f t="shared" si="60"/>
        <v>0</v>
      </c>
    </row>
    <row r="26" spans="1:84" s="419" customFormat="1">
      <c r="A26" s="516" t="s">
        <v>43</v>
      </c>
      <c r="B26" s="420">
        <f>BS!B30</f>
        <v>0</v>
      </c>
      <c r="C26" s="420">
        <f>BS!C30</f>
        <v>0</v>
      </c>
      <c r="D26" s="420">
        <f>BS!D30</f>
        <v>0</v>
      </c>
      <c r="E26" s="420">
        <f>BS!E30</f>
        <v>0</v>
      </c>
      <c r="F26" s="420">
        <f>BS!F30</f>
        <v>0</v>
      </c>
      <c r="G26" s="420">
        <f>BS!G30</f>
        <v>0</v>
      </c>
      <c r="H26" s="420">
        <f>BS!H30</f>
        <v>0</v>
      </c>
      <c r="I26" s="420">
        <f>BS!I30</f>
        <v>0</v>
      </c>
      <c r="J26" s="420">
        <f>BS!J30</f>
        <v>0</v>
      </c>
      <c r="K26" s="420">
        <f>BS!K30</f>
        <v>0</v>
      </c>
      <c r="L26" s="420">
        <f>BS!L30</f>
        <v>0</v>
      </c>
      <c r="M26" s="420">
        <f>BS!M30</f>
        <v>0</v>
      </c>
      <c r="N26" s="420">
        <f>BS!N30</f>
        <v>0</v>
      </c>
      <c r="O26" s="420">
        <f>BS!O30</f>
        <v>0</v>
      </c>
      <c r="P26" s="420">
        <f>BS!P30</f>
        <v>0</v>
      </c>
      <c r="Q26" s="420">
        <f>BS!Q30</f>
        <v>0</v>
      </c>
      <c r="R26" s="420">
        <f>BS!R30</f>
        <v>0</v>
      </c>
      <c r="S26" s="420">
        <f>BS!S30</f>
        <v>0</v>
      </c>
      <c r="T26" s="420">
        <f>BS!T30</f>
        <v>0</v>
      </c>
      <c r="U26" s="420">
        <f>BS!U30</f>
        <v>0</v>
      </c>
      <c r="V26" s="420">
        <f>BS!V30</f>
        <v>0</v>
      </c>
      <c r="W26" s="420">
        <f>BS!W30</f>
        <v>0</v>
      </c>
      <c r="X26" s="420">
        <f>BS!X30</f>
        <v>0</v>
      </c>
      <c r="Y26" s="420">
        <f>BS!Y30</f>
        <v>0</v>
      </c>
      <c r="Z26" s="420">
        <f>BS!Z30</f>
        <v>989</v>
      </c>
      <c r="AA26" s="420">
        <f>BS!AA30</f>
        <v>989</v>
      </c>
      <c r="AB26" s="420">
        <f>BS!AB30</f>
        <v>990</v>
      </c>
      <c r="AC26" s="420">
        <f>BS!AC30</f>
        <v>990</v>
      </c>
      <c r="AD26" s="420">
        <f>BS!AD30</f>
        <v>990</v>
      </c>
      <c r="AE26" s="420">
        <f>BS!AE30</f>
        <v>991</v>
      </c>
      <c r="AF26" s="420">
        <f>BS!AF30</f>
        <v>991</v>
      </c>
      <c r="AG26" s="420">
        <f>BS!AG30</f>
        <v>992</v>
      </c>
      <c r="AH26" s="420">
        <f>BS!AH30</f>
        <v>992</v>
      </c>
      <c r="AI26" s="420">
        <f>BS!AI30</f>
        <v>993</v>
      </c>
      <c r="AJ26" s="420">
        <f>BS!AJ30</f>
        <v>993</v>
      </c>
      <c r="AK26" s="420">
        <f>BS!AK30</f>
        <v>994</v>
      </c>
      <c r="AL26" s="420">
        <f>BS!AL30</f>
        <v>994</v>
      </c>
      <c r="AM26" s="420">
        <f>BS!AM30</f>
        <v>995</v>
      </c>
      <c r="AN26" s="420">
        <f>BS!AN30</f>
        <v>995</v>
      </c>
      <c r="AO26" s="420">
        <f>BS!AO30</f>
        <v>995</v>
      </c>
      <c r="AP26" s="420">
        <f>BS!AP30</f>
        <v>397</v>
      </c>
      <c r="AQ26" s="420">
        <f>BS!AQ30</f>
        <v>397</v>
      </c>
      <c r="AR26" s="420">
        <f>BS!AR30</f>
        <v>397</v>
      </c>
      <c r="AS26" s="420">
        <f>BS!AS30</f>
        <v>397</v>
      </c>
      <c r="AT26" s="420">
        <f>BS!AT30</f>
        <v>1876</v>
      </c>
      <c r="AU26" s="420">
        <f>BS!AU30</f>
        <v>1877</v>
      </c>
      <c r="AV26" s="420">
        <f>AV24+AV25</f>
        <v>1877</v>
      </c>
      <c r="AW26" s="420">
        <f>AW24+AW25</f>
        <v>1877</v>
      </c>
      <c r="AX26" s="420">
        <f>AX24+AX25</f>
        <v>1877</v>
      </c>
      <c r="AY26" s="420">
        <f t="shared" ref="AY26:BF26" si="61">AY24+AY25</f>
        <v>1877</v>
      </c>
      <c r="AZ26" s="420">
        <f t="shared" si="61"/>
        <v>1877</v>
      </c>
      <c r="BA26" s="420">
        <f t="shared" si="61"/>
        <v>1877</v>
      </c>
      <c r="BB26" s="420">
        <f t="shared" si="61"/>
        <v>1877</v>
      </c>
      <c r="BC26" s="420">
        <f t="shared" si="61"/>
        <v>1877</v>
      </c>
      <c r="BD26" s="420">
        <f t="shared" si="61"/>
        <v>1877</v>
      </c>
      <c r="BE26" s="420">
        <f t="shared" si="61"/>
        <v>1877</v>
      </c>
      <c r="BF26" s="420">
        <f t="shared" si="61"/>
        <v>1877</v>
      </c>
      <c r="BG26" s="420">
        <f t="shared" ref="BG26:BN26" si="62">BG24+BG25</f>
        <v>1877</v>
      </c>
      <c r="BH26" s="420">
        <f t="shared" si="62"/>
        <v>1877</v>
      </c>
      <c r="BI26" s="420">
        <f t="shared" si="62"/>
        <v>1877</v>
      </c>
      <c r="BJ26" s="420">
        <f t="shared" si="62"/>
        <v>1877</v>
      </c>
      <c r="BK26" s="420">
        <f t="shared" si="62"/>
        <v>1877</v>
      </c>
      <c r="BL26" s="420">
        <f t="shared" si="62"/>
        <v>1877</v>
      </c>
      <c r="BM26" s="420">
        <f t="shared" si="62"/>
        <v>1877</v>
      </c>
      <c r="BN26" s="420">
        <f t="shared" si="62"/>
        <v>1877</v>
      </c>
      <c r="BO26" s="420"/>
      <c r="BP26" s="510">
        <v>0</v>
      </c>
      <c r="BQ26" s="511">
        <f>F26</f>
        <v>0</v>
      </c>
      <c r="BR26" s="511">
        <f>J26</f>
        <v>0</v>
      </c>
      <c r="BS26" s="511">
        <f>N26</f>
        <v>0</v>
      </c>
      <c r="BT26" s="511">
        <f>R26</f>
        <v>0</v>
      </c>
      <c r="BU26" s="511">
        <f>V26</f>
        <v>0</v>
      </c>
      <c r="BV26" s="512">
        <f>Z26</f>
        <v>989</v>
      </c>
      <c r="BW26" s="512">
        <f>AD26</f>
        <v>990</v>
      </c>
      <c r="BX26" s="512">
        <f>AH26</f>
        <v>992</v>
      </c>
      <c r="BY26" s="511">
        <f>AL26</f>
        <v>994</v>
      </c>
      <c r="BZ26" s="511">
        <f>AP26</f>
        <v>397</v>
      </c>
      <c r="CA26" s="511">
        <f>AT26</f>
        <v>1876</v>
      </c>
      <c r="CB26" s="511">
        <f>AX26</f>
        <v>1877</v>
      </c>
      <c r="CC26" s="511">
        <f>BB26</f>
        <v>1877</v>
      </c>
      <c r="CD26" s="511">
        <f>BF26</f>
        <v>1877</v>
      </c>
      <c r="CE26" s="511">
        <f>BJ26</f>
        <v>1877</v>
      </c>
      <c r="CF26" s="511">
        <f>BN26</f>
        <v>1877</v>
      </c>
    </row>
    <row r="27" spans="1:84" s="419" customFormat="1">
      <c r="A27" s="516" t="s">
        <v>44</v>
      </c>
      <c r="B27" s="507">
        <f t="shared" ref="B27:Y27" si="63">AVERAGE(B24,B26)</f>
        <v>0</v>
      </c>
      <c r="C27" s="507">
        <f t="shared" si="63"/>
        <v>0</v>
      </c>
      <c r="D27" s="507">
        <f t="shared" si="63"/>
        <v>0</v>
      </c>
      <c r="E27" s="507">
        <f t="shared" si="63"/>
        <v>0</v>
      </c>
      <c r="F27" s="507">
        <f t="shared" si="63"/>
        <v>0</v>
      </c>
      <c r="G27" s="507">
        <f t="shared" si="63"/>
        <v>0</v>
      </c>
      <c r="H27" s="507">
        <f t="shared" si="63"/>
        <v>0</v>
      </c>
      <c r="I27" s="507">
        <f t="shared" si="63"/>
        <v>0</v>
      </c>
      <c r="J27" s="507">
        <f t="shared" si="63"/>
        <v>0</v>
      </c>
      <c r="K27" s="507">
        <f t="shared" si="63"/>
        <v>0</v>
      </c>
      <c r="L27" s="507">
        <f t="shared" si="63"/>
        <v>0</v>
      </c>
      <c r="M27" s="507">
        <f t="shared" si="63"/>
        <v>0</v>
      </c>
      <c r="N27" s="507">
        <f t="shared" si="63"/>
        <v>0</v>
      </c>
      <c r="O27" s="507">
        <f t="shared" si="63"/>
        <v>0</v>
      </c>
      <c r="P27" s="507">
        <f t="shared" si="63"/>
        <v>0</v>
      </c>
      <c r="Q27" s="507">
        <f t="shared" si="63"/>
        <v>0</v>
      </c>
      <c r="R27" s="507">
        <f t="shared" si="63"/>
        <v>0</v>
      </c>
      <c r="S27" s="507">
        <f t="shared" si="63"/>
        <v>0</v>
      </c>
      <c r="T27" s="507">
        <f t="shared" si="63"/>
        <v>0</v>
      </c>
      <c r="U27" s="507">
        <f t="shared" si="63"/>
        <v>0</v>
      </c>
      <c r="V27" s="507">
        <f t="shared" si="63"/>
        <v>0</v>
      </c>
      <c r="W27" s="507">
        <f t="shared" si="63"/>
        <v>0</v>
      </c>
      <c r="X27" s="507">
        <f t="shared" si="63"/>
        <v>0</v>
      </c>
      <c r="Y27" s="507">
        <f t="shared" si="63"/>
        <v>0</v>
      </c>
      <c r="Z27" s="507">
        <f t="shared" ref="Z27:AE27" si="64">AVERAGE(Z24,Z26)</f>
        <v>494.5</v>
      </c>
      <c r="AA27" s="507">
        <f t="shared" si="64"/>
        <v>989</v>
      </c>
      <c r="AB27" s="507">
        <f t="shared" si="64"/>
        <v>989.5</v>
      </c>
      <c r="AC27" s="507">
        <f t="shared" si="64"/>
        <v>990</v>
      </c>
      <c r="AD27" s="507">
        <f t="shared" si="64"/>
        <v>990</v>
      </c>
      <c r="AE27" s="507">
        <f t="shared" si="64"/>
        <v>990.5</v>
      </c>
      <c r="AF27" s="507">
        <f t="shared" ref="AF27:AK27" si="65">AVERAGE(AF24,AF26)</f>
        <v>991</v>
      </c>
      <c r="AG27" s="507">
        <f t="shared" si="65"/>
        <v>991.5</v>
      </c>
      <c r="AH27" s="507">
        <f t="shared" si="65"/>
        <v>992</v>
      </c>
      <c r="AI27" s="507">
        <f t="shared" si="65"/>
        <v>992.5</v>
      </c>
      <c r="AJ27" s="507">
        <f t="shared" si="65"/>
        <v>993</v>
      </c>
      <c r="AK27" s="507">
        <f t="shared" si="65"/>
        <v>993.5</v>
      </c>
      <c r="AL27" s="507">
        <f t="shared" ref="AL27:AQ27" si="66">AVERAGE(AL24,AL26)</f>
        <v>994</v>
      </c>
      <c r="AM27" s="507">
        <f t="shared" si="66"/>
        <v>994.5</v>
      </c>
      <c r="AN27" s="507">
        <f t="shared" si="66"/>
        <v>995</v>
      </c>
      <c r="AO27" s="507">
        <f t="shared" si="66"/>
        <v>995</v>
      </c>
      <c r="AP27" s="507">
        <f t="shared" si="66"/>
        <v>696</v>
      </c>
      <c r="AQ27" s="507">
        <f t="shared" si="66"/>
        <v>397</v>
      </c>
      <c r="AR27" s="507">
        <f t="shared" ref="AR27:AX27" si="67">AVERAGE(AR24,AR26)</f>
        <v>397</v>
      </c>
      <c r="AS27" s="507">
        <f t="shared" si="67"/>
        <v>397</v>
      </c>
      <c r="AT27" s="507">
        <f>AVERAGE(AT24,AT26)</f>
        <v>1136.5</v>
      </c>
      <c r="AU27" s="507">
        <f>AVERAGE(AU24,AU26)</f>
        <v>1876.5</v>
      </c>
      <c r="AV27" s="507">
        <f t="shared" si="67"/>
        <v>1877</v>
      </c>
      <c r="AW27" s="507">
        <f t="shared" si="67"/>
        <v>1877</v>
      </c>
      <c r="AX27" s="507">
        <f t="shared" si="67"/>
        <v>1877</v>
      </c>
      <c r="AY27" s="507">
        <f t="shared" ref="AY27:BF27" si="68">AVERAGE(AY24,AY26)</f>
        <v>1877</v>
      </c>
      <c r="AZ27" s="507">
        <f t="shared" si="68"/>
        <v>1877</v>
      </c>
      <c r="BA27" s="507">
        <f t="shared" si="68"/>
        <v>1877</v>
      </c>
      <c r="BB27" s="507">
        <f t="shared" si="68"/>
        <v>1877</v>
      </c>
      <c r="BC27" s="507">
        <f t="shared" si="68"/>
        <v>1877</v>
      </c>
      <c r="BD27" s="507">
        <f t="shared" si="68"/>
        <v>1877</v>
      </c>
      <c r="BE27" s="507">
        <f t="shared" si="68"/>
        <v>1877</v>
      </c>
      <c r="BF27" s="507">
        <f t="shared" si="68"/>
        <v>1877</v>
      </c>
      <c r="BG27" s="507">
        <f t="shared" ref="BG27:BN27" si="69">AVERAGE(BG24,BG26)</f>
        <v>1877</v>
      </c>
      <c r="BH27" s="507">
        <f t="shared" si="69"/>
        <v>1877</v>
      </c>
      <c r="BI27" s="507">
        <f t="shared" si="69"/>
        <v>1877</v>
      </c>
      <c r="BJ27" s="507">
        <f t="shared" si="69"/>
        <v>1877</v>
      </c>
      <c r="BK27" s="507">
        <f t="shared" si="69"/>
        <v>1877</v>
      </c>
      <c r="BL27" s="507">
        <f t="shared" si="69"/>
        <v>1877</v>
      </c>
      <c r="BM27" s="507">
        <f t="shared" si="69"/>
        <v>1877</v>
      </c>
      <c r="BN27" s="507">
        <f t="shared" si="69"/>
        <v>1877</v>
      </c>
      <c r="BO27" s="507"/>
      <c r="BP27" s="511">
        <f t="shared" ref="BP27:BZ27" si="70">AVERAGE(BP26,BP24)</f>
        <v>0</v>
      </c>
      <c r="BQ27" s="511">
        <f t="shared" si="70"/>
        <v>0</v>
      </c>
      <c r="BR27" s="511">
        <f t="shared" si="70"/>
        <v>0</v>
      </c>
      <c r="BS27" s="511">
        <f t="shared" si="70"/>
        <v>0</v>
      </c>
      <c r="BT27" s="511">
        <f t="shared" si="70"/>
        <v>0</v>
      </c>
      <c r="BU27" s="511">
        <f t="shared" si="70"/>
        <v>0</v>
      </c>
      <c r="BV27" s="512">
        <f t="shared" si="70"/>
        <v>494.5</v>
      </c>
      <c r="BW27" s="512">
        <f t="shared" si="70"/>
        <v>989.5</v>
      </c>
      <c r="BX27" s="512">
        <f t="shared" si="70"/>
        <v>991</v>
      </c>
      <c r="BY27" s="511">
        <f t="shared" si="70"/>
        <v>993</v>
      </c>
      <c r="BZ27" s="511">
        <f t="shared" si="70"/>
        <v>695.5</v>
      </c>
      <c r="CA27" s="511">
        <f t="shared" ref="CA27:CF27" si="71">AVERAGE(CA26,CA24)</f>
        <v>1136.5</v>
      </c>
      <c r="CB27" s="511">
        <f t="shared" si="71"/>
        <v>1876.5</v>
      </c>
      <c r="CC27" s="511">
        <f t="shared" si="71"/>
        <v>1877</v>
      </c>
      <c r="CD27" s="511">
        <f t="shared" si="71"/>
        <v>1877</v>
      </c>
      <c r="CE27" s="511">
        <f t="shared" si="71"/>
        <v>1877</v>
      </c>
      <c r="CF27" s="511">
        <f t="shared" si="71"/>
        <v>1877</v>
      </c>
    </row>
    <row r="28" spans="1:84">
      <c r="A28" s="520" t="s">
        <v>51</v>
      </c>
      <c r="B28" s="521">
        <v>0</v>
      </c>
      <c r="C28" s="521">
        <v>0</v>
      </c>
      <c r="D28" s="521">
        <v>0</v>
      </c>
      <c r="E28" s="521">
        <v>0</v>
      </c>
      <c r="F28" s="521">
        <v>0</v>
      </c>
      <c r="G28" s="521">
        <v>0</v>
      </c>
      <c r="H28" s="521">
        <v>0</v>
      </c>
      <c r="I28" s="521">
        <v>0</v>
      </c>
      <c r="J28" s="521">
        <v>0</v>
      </c>
      <c r="K28" s="521">
        <v>0</v>
      </c>
      <c r="L28" s="521">
        <v>0</v>
      </c>
      <c r="M28" s="521">
        <v>0</v>
      </c>
      <c r="N28" s="521">
        <v>0</v>
      </c>
      <c r="O28" s="521">
        <v>0</v>
      </c>
      <c r="P28" s="521">
        <v>0</v>
      </c>
      <c r="Q28" s="521">
        <v>0</v>
      </c>
      <c r="R28" s="521">
        <v>0</v>
      </c>
      <c r="S28" s="521">
        <v>0</v>
      </c>
      <c r="T28" s="521">
        <v>0</v>
      </c>
      <c r="U28" s="521">
        <v>0</v>
      </c>
      <c r="V28" s="521">
        <v>0</v>
      </c>
      <c r="W28" s="521">
        <v>0</v>
      </c>
      <c r="X28" s="521">
        <v>0</v>
      </c>
      <c r="Y28" s="521">
        <v>0</v>
      </c>
      <c r="Z28" s="521">
        <v>4.0945054945054939E-3</v>
      </c>
      <c r="AA28" s="521">
        <v>1.035E-2</v>
      </c>
      <c r="AB28" s="521">
        <v>1.035E-2</v>
      </c>
      <c r="AC28" s="521">
        <v>1.035E-2</v>
      </c>
      <c r="AD28" s="521">
        <v>1.035E-2</v>
      </c>
      <c r="AE28" s="521">
        <v>1.035E-2</v>
      </c>
      <c r="AF28" s="521">
        <v>1.035E-2</v>
      </c>
      <c r="AG28" s="521">
        <v>1.035E-2</v>
      </c>
      <c r="AH28" s="521">
        <v>1.035E-2</v>
      </c>
      <c r="AI28" s="521">
        <v>1.035E-2</v>
      </c>
      <c r="AJ28" s="521">
        <v>1.035E-2</v>
      </c>
      <c r="AK28" s="521">
        <v>1.035E-2</v>
      </c>
      <c r="AL28" s="521">
        <v>1.035E-2</v>
      </c>
      <c r="AM28" s="521">
        <v>1.035E-2</v>
      </c>
      <c r="AN28" s="521">
        <v>1.035E-2</v>
      </c>
      <c r="AO28" s="521">
        <v>1.035E-2</v>
      </c>
      <c r="AP28" s="521">
        <v>1.035E-2</v>
      </c>
      <c r="AQ28" s="521">
        <v>1.035E-2</v>
      </c>
      <c r="AR28" s="521">
        <v>1.035E-2</v>
      </c>
      <c r="AS28" s="521">
        <v>1.035E-2</v>
      </c>
      <c r="AT28" s="521">
        <v>1.035E-2</v>
      </c>
      <c r="AU28" s="521">
        <v>1.035E-2</v>
      </c>
      <c r="AV28" s="521">
        <v>1.035E-2</v>
      </c>
      <c r="AW28" s="522">
        <f t="shared" ref="AW28:BN28" si="72">(($B$46*$D$46+$B$47*$D$47)/($B$46+$B$47))/4</f>
        <v>1.035E-2</v>
      </c>
      <c r="AX28" s="522">
        <f t="shared" si="72"/>
        <v>1.035E-2</v>
      </c>
      <c r="AY28" s="522">
        <f t="shared" si="72"/>
        <v>1.035E-2</v>
      </c>
      <c r="AZ28" s="522">
        <f t="shared" si="72"/>
        <v>1.035E-2</v>
      </c>
      <c r="BA28" s="522">
        <f t="shared" si="72"/>
        <v>1.035E-2</v>
      </c>
      <c r="BB28" s="522">
        <f t="shared" si="72"/>
        <v>1.035E-2</v>
      </c>
      <c r="BC28" s="522">
        <f t="shared" si="72"/>
        <v>1.035E-2</v>
      </c>
      <c r="BD28" s="522">
        <f t="shared" si="72"/>
        <v>1.035E-2</v>
      </c>
      <c r="BE28" s="522">
        <f t="shared" si="72"/>
        <v>1.035E-2</v>
      </c>
      <c r="BF28" s="522">
        <f t="shared" si="72"/>
        <v>1.035E-2</v>
      </c>
      <c r="BG28" s="522">
        <f t="shared" si="72"/>
        <v>1.035E-2</v>
      </c>
      <c r="BH28" s="522">
        <f t="shared" si="72"/>
        <v>1.035E-2</v>
      </c>
      <c r="BI28" s="522">
        <f t="shared" si="72"/>
        <v>1.035E-2</v>
      </c>
      <c r="BJ28" s="522">
        <f t="shared" si="72"/>
        <v>1.035E-2</v>
      </c>
      <c r="BK28" s="522">
        <f t="shared" si="72"/>
        <v>1.035E-2</v>
      </c>
      <c r="BL28" s="522">
        <f t="shared" si="72"/>
        <v>1.035E-2</v>
      </c>
      <c r="BM28" s="522">
        <f t="shared" si="72"/>
        <v>1.035E-2</v>
      </c>
      <c r="BN28" s="522">
        <f t="shared" si="72"/>
        <v>1.035E-2</v>
      </c>
      <c r="BO28" s="522"/>
      <c r="BP28" s="523" t="s">
        <v>17</v>
      </c>
      <c r="BQ28" s="523" t="s">
        <v>17</v>
      </c>
      <c r="BR28" s="523" t="s">
        <v>17</v>
      </c>
      <c r="BS28" s="523" t="s">
        <v>17</v>
      </c>
      <c r="BT28" s="523" t="s">
        <v>17</v>
      </c>
      <c r="BU28" s="523" t="s">
        <v>17</v>
      </c>
      <c r="BV28" s="524">
        <f t="shared" ref="BV28:CA28" si="73">IF(BV27&gt;0,-BV29/BV27,"n/a")</f>
        <v>4.0945054945054939E-3</v>
      </c>
      <c r="BW28" s="524">
        <f t="shared" si="73"/>
        <v>4.1405229914098021E-2</v>
      </c>
      <c r="BX28" s="524">
        <f t="shared" si="73"/>
        <v>4.1410443995963678E-2</v>
      </c>
      <c r="BY28" s="524">
        <f t="shared" si="73"/>
        <v>4.1410422960725078E-2</v>
      </c>
      <c r="BZ28" s="525">
        <f t="shared" si="73"/>
        <v>5.4770920201294024E-2</v>
      </c>
      <c r="CA28" s="525">
        <f t="shared" si="73"/>
        <v>2.1196326440827098E-2</v>
      </c>
      <c r="CB28" s="525">
        <f>IF(CB27&gt;0,-CB29/CB27,"n/a")</f>
        <v>4.1408273381294963E-2</v>
      </c>
      <c r="CC28" s="525">
        <f>IF(CC27&gt;0,-CC29/CC27,"n/a")</f>
        <v>4.1399999999999992E-2</v>
      </c>
      <c r="CD28" s="525">
        <f>IF(CD27&gt;0,-CD29/CD27,"n/a")</f>
        <v>4.1399999999999992E-2</v>
      </c>
      <c r="CE28" s="525">
        <f>IF(CE27&gt;0,-CE29/CE27,"n/a")</f>
        <v>4.1399999999999992E-2</v>
      </c>
      <c r="CF28" s="525">
        <f>IF(CF27&gt;0,-CF29/CF27,"n/a")</f>
        <v>4.1399999999999992E-2</v>
      </c>
    </row>
    <row r="29" spans="1:84" s="419" customFormat="1">
      <c r="A29" s="516" t="s">
        <v>185</v>
      </c>
      <c r="B29" s="507">
        <f t="shared" ref="B29:Y29" si="74">B27*B28*-1</f>
        <v>0</v>
      </c>
      <c r="C29" s="507">
        <f t="shared" si="74"/>
        <v>0</v>
      </c>
      <c r="D29" s="507">
        <f t="shared" si="74"/>
        <v>0</v>
      </c>
      <c r="E29" s="507">
        <f t="shared" si="74"/>
        <v>0</v>
      </c>
      <c r="F29" s="507">
        <f t="shared" si="74"/>
        <v>0</v>
      </c>
      <c r="G29" s="507">
        <f t="shared" si="74"/>
        <v>0</v>
      </c>
      <c r="H29" s="507">
        <f t="shared" si="74"/>
        <v>0</v>
      </c>
      <c r="I29" s="507">
        <f t="shared" si="74"/>
        <v>0</v>
      </c>
      <c r="J29" s="507">
        <f t="shared" si="74"/>
        <v>0</v>
      </c>
      <c r="K29" s="507">
        <f t="shared" si="74"/>
        <v>0</v>
      </c>
      <c r="L29" s="507">
        <f t="shared" si="74"/>
        <v>0</v>
      </c>
      <c r="M29" s="507">
        <f t="shared" si="74"/>
        <v>0</v>
      </c>
      <c r="N29" s="507">
        <f t="shared" si="74"/>
        <v>0</v>
      </c>
      <c r="O29" s="507">
        <f t="shared" si="74"/>
        <v>0</v>
      </c>
      <c r="P29" s="507">
        <f t="shared" si="74"/>
        <v>0</v>
      </c>
      <c r="Q29" s="507">
        <f t="shared" si="74"/>
        <v>0</v>
      </c>
      <c r="R29" s="507">
        <f t="shared" si="74"/>
        <v>0</v>
      </c>
      <c r="S29" s="507">
        <f t="shared" si="74"/>
        <v>0</v>
      </c>
      <c r="T29" s="507">
        <f t="shared" si="74"/>
        <v>0</v>
      </c>
      <c r="U29" s="507">
        <f t="shared" si="74"/>
        <v>0</v>
      </c>
      <c r="V29" s="507">
        <f t="shared" si="74"/>
        <v>0</v>
      </c>
      <c r="W29" s="507">
        <f t="shared" si="74"/>
        <v>0</v>
      </c>
      <c r="X29" s="507">
        <f t="shared" si="74"/>
        <v>0</v>
      </c>
      <c r="Y29" s="507">
        <f t="shared" si="74"/>
        <v>0</v>
      </c>
      <c r="Z29" s="507">
        <f t="shared" ref="Z29:AE29" si="75">Z27*Z28*-1</f>
        <v>-2.0247329670329668</v>
      </c>
      <c r="AA29" s="507">
        <f t="shared" si="75"/>
        <v>-10.23615</v>
      </c>
      <c r="AB29" s="507">
        <f t="shared" si="75"/>
        <v>-10.241325</v>
      </c>
      <c r="AC29" s="507">
        <f t="shared" si="75"/>
        <v>-10.246499999999999</v>
      </c>
      <c r="AD29" s="507">
        <f t="shared" si="75"/>
        <v>-10.246499999999999</v>
      </c>
      <c r="AE29" s="507">
        <f t="shared" si="75"/>
        <v>-10.251675000000001</v>
      </c>
      <c r="AF29" s="507">
        <f t="shared" ref="AF29:AK29" si="76">AF27*AF28*-1</f>
        <v>-10.25685</v>
      </c>
      <c r="AG29" s="507">
        <f t="shared" si="76"/>
        <v>-10.262025</v>
      </c>
      <c r="AH29" s="507">
        <f t="shared" si="76"/>
        <v>-10.267199999999999</v>
      </c>
      <c r="AI29" s="507">
        <f t="shared" si="76"/>
        <v>-10.272375</v>
      </c>
      <c r="AJ29" s="507">
        <f t="shared" si="76"/>
        <v>-10.27755</v>
      </c>
      <c r="AK29" s="507">
        <f t="shared" si="76"/>
        <v>-10.282724999999999</v>
      </c>
      <c r="AL29" s="507">
        <f t="shared" ref="AL29:AQ29" si="77">AL27*AL28*-1</f>
        <v>-10.2879</v>
      </c>
      <c r="AM29" s="507">
        <f t="shared" si="77"/>
        <v>-10.293075</v>
      </c>
      <c r="AN29" s="507">
        <f t="shared" si="77"/>
        <v>-10.298249999999999</v>
      </c>
      <c r="AO29" s="507">
        <f t="shared" si="77"/>
        <v>-10.298249999999999</v>
      </c>
      <c r="AP29" s="507">
        <f t="shared" si="77"/>
        <v>-7.2035999999999998</v>
      </c>
      <c r="AQ29" s="507">
        <f t="shared" si="77"/>
        <v>-4.1089500000000001</v>
      </c>
      <c r="AR29" s="507">
        <f t="shared" ref="AR29:AX29" si="78">AR27*AR28*-1</f>
        <v>-4.1089500000000001</v>
      </c>
      <c r="AS29" s="507">
        <f t="shared" si="78"/>
        <v>-4.1089500000000001</v>
      </c>
      <c r="AT29" s="507">
        <f t="shared" si="78"/>
        <v>-11.762775</v>
      </c>
      <c r="AU29" s="507">
        <f>AU27*AU28*-1</f>
        <v>-19.421775</v>
      </c>
      <c r="AV29" s="507">
        <f t="shared" si="78"/>
        <v>-19.426949999999998</v>
      </c>
      <c r="AW29" s="507">
        <f t="shared" si="78"/>
        <v>-19.426949999999998</v>
      </c>
      <c r="AX29" s="507">
        <f t="shared" si="78"/>
        <v>-19.426949999999998</v>
      </c>
      <c r="AY29" s="507">
        <f t="shared" ref="AY29:BF29" si="79">AY27*AY28*-1</f>
        <v>-19.426949999999998</v>
      </c>
      <c r="AZ29" s="507">
        <f t="shared" si="79"/>
        <v>-19.426949999999998</v>
      </c>
      <c r="BA29" s="507">
        <f t="shared" si="79"/>
        <v>-19.426949999999998</v>
      </c>
      <c r="BB29" s="507">
        <f t="shared" si="79"/>
        <v>-19.426949999999998</v>
      </c>
      <c r="BC29" s="507">
        <f t="shared" si="79"/>
        <v>-19.426949999999998</v>
      </c>
      <c r="BD29" s="507">
        <f t="shared" si="79"/>
        <v>-19.426949999999998</v>
      </c>
      <c r="BE29" s="507">
        <f t="shared" si="79"/>
        <v>-19.426949999999998</v>
      </c>
      <c r="BF29" s="507">
        <f t="shared" si="79"/>
        <v>-19.426949999999998</v>
      </c>
      <c r="BG29" s="507">
        <f t="shared" ref="BG29:BN29" si="80">BG27*BG28*-1</f>
        <v>-19.426949999999998</v>
      </c>
      <c r="BH29" s="507">
        <f t="shared" si="80"/>
        <v>-19.426949999999998</v>
      </c>
      <c r="BI29" s="507">
        <f t="shared" si="80"/>
        <v>-19.426949999999998</v>
      </c>
      <c r="BJ29" s="507">
        <f t="shared" si="80"/>
        <v>-19.426949999999998</v>
      </c>
      <c r="BK29" s="507">
        <f t="shared" si="80"/>
        <v>-19.426949999999998</v>
      </c>
      <c r="BL29" s="507">
        <f t="shared" si="80"/>
        <v>-19.426949999999998</v>
      </c>
      <c r="BM29" s="507">
        <f t="shared" si="80"/>
        <v>-19.426949999999998</v>
      </c>
      <c r="BN29" s="507">
        <f t="shared" si="80"/>
        <v>-19.426949999999998</v>
      </c>
      <c r="BO29" s="507"/>
      <c r="BP29" s="510">
        <v>0</v>
      </c>
      <c r="BQ29" s="510">
        <v>0</v>
      </c>
      <c r="BR29" s="514">
        <f>SUM(G29:J29)</f>
        <v>0</v>
      </c>
      <c r="BS29" s="514">
        <f>SUM(K29:N29)</f>
        <v>0</v>
      </c>
      <c r="BT29" s="514">
        <f>SUM(O29:R29)</f>
        <v>0</v>
      </c>
      <c r="BU29" s="514">
        <f>SUM(S29:V29)</f>
        <v>0</v>
      </c>
      <c r="BV29" s="515">
        <f>SUM(W29:Z29)</f>
        <v>-2.0247329670329668</v>
      </c>
      <c r="BW29" s="515">
        <f>SUM(AA29:AD29)</f>
        <v>-40.970474999999993</v>
      </c>
      <c r="BX29" s="515">
        <f>SUM(AE29:AH29)</f>
        <v>-41.037750000000003</v>
      </c>
      <c r="BY29" s="514">
        <f>SUM(AI29:AL29)</f>
        <v>-41.120550000000001</v>
      </c>
      <c r="BZ29" s="514">
        <f>SUM(AM29:AP29)</f>
        <v>-38.093174999999995</v>
      </c>
      <c r="CA29" s="514">
        <f>SUM(AQ29:AT29)</f>
        <v>-24.089624999999998</v>
      </c>
      <c r="CB29" s="514">
        <f>SUM(AU29:AX29)</f>
        <v>-77.702624999999998</v>
      </c>
      <c r="CC29" s="514">
        <f>SUM(AY29:BB29)</f>
        <v>-77.707799999999992</v>
      </c>
      <c r="CD29" s="514">
        <f>SUM(BC29:BF29)</f>
        <v>-77.707799999999992</v>
      </c>
      <c r="CE29" s="514">
        <f>SUM(BG29:BJ29)</f>
        <v>-77.707799999999992</v>
      </c>
      <c r="CF29" s="514">
        <f>SUM(BK29:BN29)</f>
        <v>-77.707799999999992</v>
      </c>
    </row>
    <row r="30" spans="1:84" s="419" customFormat="1">
      <c r="A30" s="526" t="s">
        <v>156</v>
      </c>
      <c r="B30" s="507">
        <f>B22+B29</f>
        <v>0</v>
      </c>
      <c r="C30" s="507">
        <f t="shared" ref="C30:Y30" si="81">C22+C29</f>
        <v>0</v>
      </c>
      <c r="D30" s="507">
        <f t="shared" si="81"/>
        <v>0</v>
      </c>
      <c r="E30" s="507">
        <f t="shared" si="81"/>
        <v>0</v>
      </c>
      <c r="F30" s="507">
        <f t="shared" si="81"/>
        <v>0</v>
      </c>
      <c r="G30" s="507">
        <f t="shared" si="81"/>
        <v>0</v>
      </c>
      <c r="H30" s="507">
        <f t="shared" si="81"/>
        <v>-4.4959375000000001</v>
      </c>
      <c r="I30" s="507">
        <f t="shared" si="81"/>
        <v>-5.9965624999999996</v>
      </c>
      <c r="J30" s="507">
        <f t="shared" si="81"/>
        <v>-6.0059374999999999</v>
      </c>
      <c r="K30" s="507">
        <f t="shared" si="81"/>
        <v>-6.0153125000000003</v>
      </c>
      <c r="L30" s="507">
        <f t="shared" si="81"/>
        <v>-8.0246874999999989</v>
      </c>
      <c r="M30" s="507">
        <f t="shared" si="81"/>
        <v>-6.0340625000000001</v>
      </c>
      <c r="N30" s="507">
        <f t="shared" si="81"/>
        <v>-6.0434374999999996</v>
      </c>
      <c r="O30" s="507">
        <f t="shared" si="81"/>
        <v>-6.0528124999999999</v>
      </c>
      <c r="P30" s="507">
        <f t="shared" si="81"/>
        <v>-6.0631249999999994</v>
      </c>
      <c r="Q30" s="507">
        <f t="shared" si="81"/>
        <v>-7.0734374999999998</v>
      </c>
      <c r="R30" s="507">
        <f t="shared" si="81"/>
        <v>-6.0828125000000002</v>
      </c>
      <c r="S30" s="507">
        <f t="shared" si="81"/>
        <v>-6.0931249999999997</v>
      </c>
      <c r="T30" s="507">
        <f t="shared" si="81"/>
        <v>-7.1034375000000001</v>
      </c>
      <c r="U30" s="507">
        <f t="shared" si="81"/>
        <v>-6.1128125000000004</v>
      </c>
      <c r="V30" s="507">
        <f t="shared" si="81"/>
        <v>-6.7013924960937512</v>
      </c>
      <c r="W30" s="507">
        <f t="shared" si="81"/>
        <v>-6.7752296681119146</v>
      </c>
      <c r="X30" s="507">
        <f t="shared" si="81"/>
        <v>-11.963226205286327</v>
      </c>
      <c r="Y30" s="507">
        <f t="shared" si="81"/>
        <v>-5.703538705286328</v>
      </c>
      <c r="Z30" s="507">
        <f t="shared" ref="Z30:AE30" si="82">Z22+Z29</f>
        <v>-7.4826466723192944</v>
      </c>
      <c r="AA30" s="507">
        <f t="shared" si="82"/>
        <v>-12.509376205286328</v>
      </c>
      <c r="AB30" s="507">
        <f t="shared" si="82"/>
        <v>-10.366219352643164</v>
      </c>
      <c r="AC30" s="507">
        <f t="shared" si="82"/>
        <v>-10.246499999999999</v>
      </c>
      <c r="AD30" s="507">
        <f t="shared" si="82"/>
        <v>-10.246499999999999</v>
      </c>
      <c r="AE30" s="507">
        <f t="shared" si="82"/>
        <v>-10.251675000000001</v>
      </c>
      <c r="AF30" s="507">
        <f t="shared" ref="AF30:AK30" si="83">AF22+AF29</f>
        <v>-10.25685</v>
      </c>
      <c r="AG30" s="507">
        <f t="shared" si="83"/>
        <v>-10.262025</v>
      </c>
      <c r="AH30" s="507">
        <f t="shared" si="83"/>
        <v>-10.267199999999999</v>
      </c>
      <c r="AI30" s="507">
        <f t="shared" si="83"/>
        <v>-10.272375</v>
      </c>
      <c r="AJ30" s="507">
        <f t="shared" si="83"/>
        <v>-10.27755</v>
      </c>
      <c r="AK30" s="507">
        <f t="shared" si="83"/>
        <v>-10.282724999999999</v>
      </c>
      <c r="AL30" s="507">
        <f t="shared" ref="AL30:AQ30" si="84">AL22+AL29</f>
        <v>-10.2879</v>
      </c>
      <c r="AM30" s="507">
        <f t="shared" si="84"/>
        <v>-10.293075</v>
      </c>
      <c r="AN30" s="507">
        <f t="shared" si="84"/>
        <v>-10.298249999999999</v>
      </c>
      <c r="AO30" s="507">
        <f t="shared" si="84"/>
        <v>-10.298249999999999</v>
      </c>
      <c r="AP30" s="507">
        <f t="shared" si="84"/>
        <v>-7.7651624999999997</v>
      </c>
      <c r="AQ30" s="507">
        <f t="shared" si="84"/>
        <v>-5.232075</v>
      </c>
      <c r="AR30" s="507">
        <f t="shared" ref="AR30:AX30" si="85">AR22+AR29</f>
        <v>-5.9059499999999998</v>
      </c>
      <c r="AS30" s="507">
        <f t="shared" si="85"/>
        <v>-5.9059499999999998</v>
      </c>
      <c r="AT30" s="507">
        <f t="shared" si="85"/>
        <v>-13.661275</v>
      </c>
      <c r="AU30" s="507">
        <f>AU22+AU29</f>
        <v>-19.421775</v>
      </c>
      <c r="AV30" s="507">
        <f t="shared" si="85"/>
        <v>-19.426949999999998</v>
      </c>
      <c r="AW30" s="507">
        <f t="shared" si="85"/>
        <v>-19.426949999999998</v>
      </c>
      <c r="AX30" s="507">
        <f t="shared" si="85"/>
        <v>-19.426949999999998</v>
      </c>
      <c r="AY30" s="507">
        <f t="shared" ref="AY30:BF30" si="86">AY22+AY29</f>
        <v>-19.426949999999998</v>
      </c>
      <c r="AZ30" s="507">
        <f t="shared" si="86"/>
        <v>-19.426949999999998</v>
      </c>
      <c r="BA30" s="507">
        <f t="shared" si="86"/>
        <v>-19.426949999999998</v>
      </c>
      <c r="BB30" s="507">
        <f t="shared" si="86"/>
        <v>-19.426949999999998</v>
      </c>
      <c r="BC30" s="507">
        <f t="shared" si="86"/>
        <v>-19.426949999999998</v>
      </c>
      <c r="BD30" s="507">
        <f t="shared" si="86"/>
        <v>-19.426949999999998</v>
      </c>
      <c r="BE30" s="507">
        <f t="shared" si="86"/>
        <v>-19.426949999999998</v>
      </c>
      <c r="BF30" s="507">
        <f t="shared" si="86"/>
        <v>-19.426949999999998</v>
      </c>
      <c r="BG30" s="507">
        <f t="shared" ref="BG30:BN30" si="87">BG22+BG29</f>
        <v>-19.426949999999998</v>
      </c>
      <c r="BH30" s="507">
        <f t="shared" si="87"/>
        <v>-19.426949999999998</v>
      </c>
      <c r="BI30" s="507">
        <f t="shared" si="87"/>
        <v>-19.426949999999998</v>
      </c>
      <c r="BJ30" s="507">
        <f t="shared" si="87"/>
        <v>-19.426949999999998</v>
      </c>
      <c r="BK30" s="507">
        <f t="shared" si="87"/>
        <v>-19.426949999999998</v>
      </c>
      <c r="BL30" s="507">
        <f t="shared" si="87"/>
        <v>-19.426949999999998</v>
      </c>
      <c r="BM30" s="507">
        <f t="shared" si="87"/>
        <v>-19.426949999999998</v>
      </c>
      <c r="BN30" s="507">
        <f t="shared" si="87"/>
        <v>-19.426949999999998</v>
      </c>
      <c r="BO30" s="507"/>
      <c r="BP30" s="518">
        <v>0</v>
      </c>
      <c r="BQ30" s="518">
        <v>0</v>
      </c>
      <c r="BR30" s="514">
        <f t="shared" ref="BR30:BZ30" si="88">BR22+BR29</f>
        <v>-16.498437500000001</v>
      </c>
      <c r="BS30" s="514">
        <f t="shared" si="88"/>
        <v>-26.1175</v>
      </c>
      <c r="BT30" s="514">
        <f t="shared" si="88"/>
        <v>-25.272187499999998</v>
      </c>
      <c r="BU30" s="514">
        <f t="shared" si="88"/>
        <v>-26.010767496093749</v>
      </c>
      <c r="BV30" s="515">
        <f t="shared" si="88"/>
        <v>-31.924641251003862</v>
      </c>
      <c r="BW30" s="515">
        <f t="shared" si="88"/>
        <v>-43.368595557929488</v>
      </c>
      <c r="BX30" s="515">
        <f t="shared" si="88"/>
        <v>-41.037750000000003</v>
      </c>
      <c r="BY30" s="514">
        <f t="shared" si="88"/>
        <v>-41.120550000000001</v>
      </c>
      <c r="BZ30" s="514">
        <f t="shared" si="88"/>
        <v>-38.654737499999996</v>
      </c>
      <c r="CA30" s="514">
        <f t="shared" ref="CA30:CF30" si="89">CA22+CA29</f>
        <v>-30.705249999999999</v>
      </c>
      <c r="CB30" s="514">
        <f t="shared" si="89"/>
        <v>-77.702624999999998</v>
      </c>
      <c r="CC30" s="514">
        <f t="shared" si="89"/>
        <v>-77.707799999999992</v>
      </c>
      <c r="CD30" s="514">
        <f t="shared" si="89"/>
        <v>-77.707799999999992</v>
      </c>
      <c r="CE30" s="514">
        <f t="shared" si="89"/>
        <v>-77.707799999999992</v>
      </c>
      <c r="CF30" s="514">
        <f t="shared" si="89"/>
        <v>-77.707799999999992</v>
      </c>
    </row>
    <row r="31" spans="1:84">
      <c r="A31" s="422"/>
      <c r="B31" s="422"/>
      <c r="C31" s="422"/>
      <c r="D31" s="422"/>
      <c r="E31" s="422"/>
      <c r="F31" s="422"/>
      <c r="G31" s="422"/>
      <c r="H31" s="422"/>
      <c r="I31" s="527"/>
      <c r="J31" s="527"/>
      <c r="K31" s="527"/>
      <c r="L31" s="527"/>
      <c r="M31" s="527"/>
      <c r="N31" s="527"/>
      <c r="O31" s="527"/>
      <c r="P31" s="527"/>
      <c r="Q31" s="527"/>
      <c r="R31" s="527"/>
      <c r="S31" s="527"/>
      <c r="T31" s="527"/>
      <c r="U31" s="527"/>
      <c r="V31" s="527"/>
      <c r="W31" s="527"/>
      <c r="X31" s="527"/>
      <c r="Y31" s="527"/>
      <c r="Z31" s="527"/>
      <c r="AA31" s="527"/>
      <c r="AB31" s="527"/>
      <c r="AC31" s="528"/>
      <c r="AD31" s="528"/>
      <c r="AE31" s="528"/>
      <c r="AF31" s="528"/>
      <c r="AG31" s="528"/>
      <c r="AH31" s="528"/>
      <c r="AI31" s="528"/>
      <c r="AJ31" s="528"/>
      <c r="AK31" s="528"/>
      <c r="AL31" s="528"/>
      <c r="AM31" s="528"/>
      <c r="AN31" s="528"/>
      <c r="AO31" s="528"/>
      <c r="AP31" s="528"/>
      <c r="AQ31" s="528"/>
      <c r="AR31" s="528"/>
      <c r="AS31" s="528"/>
      <c r="AT31" s="528"/>
      <c r="AU31" s="528"/>
      <c r="AV31" s="528"/>
      <c r="AW31" s="528"/>
      <c r="AX31" s="528"/>
      <c r="AY31" s="528"/>
      <c r="AZ31" s="528"/>
      <c r="BA31" s="528"/>
      <c r="BB31" s="528"/>
      <c r="BC31" s="528"/>
      <c r="BD31" s="528"/>
      <c r="BE31" s="528"/>
      <c r="BF31" s="528"/>
      <c r="BG31" s="528"/>
      <c r="BH31" s="528"/>
      <c r="BI31" s="528"/>
      <c r="BJ31" s="528"/>
      <c r="BK31" s="528"/>
      <c r="BL31" s="528"/>
      <c r="BM31" s="528"/>
      <c r="BN31" s="528"/>
      <c r="BO31" s="528"/>
      <c r="BP31" s="505"/>
      <c r="BQ31" s="505"/>
      <c r="BR31" s="505"/>
      <c r="BS31" s="505"/>
      <c r="BT31" s="505"/>
      <c r="BU31" s="505"/>
      <c r="BV31" s="506"/>
      <c r="BW31" s="506"/>
      <c r="BX31" s="506"/>
      <c r="BY31" s="505"/>
      <c r="BZ31" s="505"/>
      <c r="CA31" s="505"/>
      <c r="CB31" s="505"/>
      <c r="CC31" s="505"/>
      <c r="CD31" s="505"/>
      <c r="CE31" s="505"/>
      <c r="CF31" s="505"/>
    </row>
    <row r="32" spans="1:84">
      <c r="A32" s="422" t="s">
        <v>99</v>
      </c>
      <c r="B32" s="422"/>
      <c r="C32" s="422"/>
      <c r="D32" s="422"/>
      <c r="E32" s="422"/>
      <c r="F32" s="422"/>
      <c r="G32" s="422"/>
      <c r="H32" s="422"/>
      <c r="I32" s="422"/>
      <c r="J32" s="422"/>
      <c r="K32" s="422"/>
      <c r="L32" s="422"/>
      <c r="M32" s="422"/>
      <c r="N32" s="422"/>
      <c r="O32" s="422"/>
      <c r="P32" s="422"/>
      <c r="Q32" s="422"/>
      <c r="R32" s="422"/>
      <c r="S32" s="422"/>
      <c r="T32" s="422"/>
      <c r="U32" s="422"/>
      <c r="V32" s="422"/>
      <c r="W32" s="422"/>
      <c r="X32" s="422"/>
      <c r="Y32" s="422"/>
      <c r="Z32" s="422"/>
      <c r="AA32" s="422"/>
      <c r="AB32" s="422"/>
      <c r="AC32" s="422"/>
      <c r="AD32" s="422"/>
      <c r="AE32" s="422"/>
      <c r="AF32" s="422"/>
      <c r="AG32" s="422"/>
      <c r="AH32" s="422"/>
      <c r="AI32" s="422"/>
      <c r="AJ32" s="422"/>
      <c r="AK32" s="422"/>
      <c r="AL32" s="422"/>
      <c r="AM32" s="422"/>
      <c r="AN32" s="422"/>
      <c r="AO32" s="422"/>
      <c r="AP32" s="422"/>
      <c r="AQ32" s="422"/>
      <c r="AR32" s="422"/>
      <c r="AS32" s="422"/>
      <c r="AT32" s="422"/>
      <c r="AU32" s="422"/>
      <c r="AV32" s="422"/>
      <c r="AW32" s="422"/>
      <c r="AX32" s="422"/>
      <c r="AY32" s="422"/>
      <c r="AZ32" s="422"/>
      <c r="BA32" s="422"/>
      <c r="BB32" s="422"/>
      <c r="BC32" s="422"/>
      <c r="BD32" s="422"/>
      <c r="BE32" s="422"/>
      <c r="BF32" s="422"/>
      <c r="BG32" s="422"/>
      <c r="BH32" s="422"/>
      <c r="BI32" s="422"/>
      <c r="BJ32" s="422"/>
      <c r="BK32" s="422"/>
      <c r="BL32" s="422"/>
      <c r="BM32" s="422"/>
      <c r="BN32" s="422"/>
      <c r="BO32" s="422"/>
      <c r="BP32" s="505"/>
      <c r="BQ32" s="505"/>
      <c r="BR32" s="505"/>
      <c r="BS32" s="505"/>
      <c r="BT32" s="505"/>
      <c r="BU32" s="505"/>
      <c r="BV32" s="506"/>
      <c r="BW32" s="506"/>
      <c r="BX32" s="506"/>
      <c r="BY32" s="505"/>
      <c r="BZ32" s="505"/>
      <c r="CA32" s="505"/>
      <c r="CB32" s="505"/>
      <c r="CC32" s="505"/>
      <c r="CD32" s="505"/>
      <c r="CE32" s="505"/>
      <c r="CF32" s="505"/>
    </row>
    <row r="33" spans="1:84">
      <c r="A33" s="422"/>
      <c r="B33" s="422"/>
      <c r="C33" s="422"/>
      <c r="D33" s="422"/>
      <c r="E33" s="422"/>
      <c r="F33" s="422"/>
      <c r="G33" s="422"/>
      <c r="H33" s="422"/>
      <c r="I33" s="422"/>
      <c r="J33" s="422"/>
      <c r="K33" s="422"/>
      <c r="L33" s="422"/>
      <c r="M33" s="422"/>
      <c r="N33" s="422"/>
      <c r="O33" s="422"/>
      <c r="P33" s="422"/>
      <c r="Q33" s="422"/>
      <c r="R33" s="422"/>
      <c r="S33" s="422"/>
      <c r="T33" s="422"/>
      <c r="U33" s="422"/>
      <c r="V33" s="422"/>
      <c r="W33" s="422"/>
      <c r="X33" s="422"/>
      <c r="Y33" s="422"/>
      <c r="Z33" s="422"/>
      <c r="AA33" s="422"/>
      <c r="AB33" s="422"/>
      <c r="AC33" s="422"/>
      <c r="AD33" s="422"/>
      <c r="AE33" s="422"/>
      <c r="AF33" s="422"/>
      <c r="AG33" s="422"/>
      <c r="AH33" s="422"/>
      <c r="AI33" s="422"/>
      <c r="AJ33" s="422"/>
      <c r="AK33" s="422"/>
      <c r="AL33" s="422"/>
      <c r="AM33" s="422"/>
      <c r="AN33" s="422"/>
      <c r="AO33" s="422"/>
      <c r="AP33" s="422"/>
      <c r="AQ33" s="422"/>
      <c r="AR33" s="422"/>
      <c r="AS33" s="529"/>
      <c r="AT33" s="529"/>
      <c r="AU33" s="529"/>
      <c r="AV33" s="529"/>
      <c r="AW33" s="529"/>
      <c r="AX33" s="529"/>
      <c r="AY33" s="529"/>
      <c r="AZ33" s="529"/>
      <c r="BA33" s="529"/>
      <c r="BB33" s="529"/>
      <c r="BC33" s="529"/>
      <c r="BD33" s="529"/>
      <c r="BE33" s="529"/>
      <c r="BF33" s="529"/>
      <c r="BG33" s="529"/>
      <c r="BH33" s="529"/>
      <c r="BI33" s="529"/>
      <c r="BJ33" s="529"/>
      <c r="BK33" s="529"/>
      <c r="BL33" s="529"/>
      <c r="BM33" s="529"/>
      <c r="BN33" s="529"/>
      <c r="BO33" s="529"/>
      <c r="BP33" s="530"/>
      <c r="BQ33" s="531"/>
      <c r="BR33" s="531"/>
      <c r="BS33" s="531"/>
      <c r="BT33" s="531"/>
      <c r="BU33" s="531"/>
      <c r="BV33" s="532"/>
      <c r="BW33" s="532"/>
      <c r="BX33" s="532"/>
      <c r="BY33" s="531"/>
      <c r="BZ33" s="531"/>
      <c r="CA33" s="531"/>
      <c r="CB33" s="531"/>
      <c r="CC33" s="531"/>
      <c r="CD33" s="531"/>
      <c r="CE33" s="531"/>
      <c r="CF33" s="531"/>
    </row>
    <row r="34" spans="1:84" s="419" customFormat="1">
      <c r="A34" s="507" t="s">
        <v>42</v>
      </c>
      <c r="B34" s="508" t="s">
        <v>17</v>
      </c>
      <c r="C34" s="533">
        <f>B36</f>
        <v>1996</v>
      </c>
      <c r="D34" s="533">
        <f>C36</f>
        <v>1730</v>
      </c>
      <c r="E34" s="533">
        <f t="shared" ref="E34:T34" si="90">D36</f>
        <v>1657</v>
      </c>
      <c r="F34" s="533">
        <f t="shared" si="90"/>
        <v>1971</v>
      </c>
      <c r="G34" s="533">
        <f t="shared" si="90"/>
        <v>2237</v>
      </c>
      <c r="H34" s="533">
        <f t="shared" si="90"/>
        <v>1848</v>
      </c>
      <c r="I34" s="533">
        <f t="shared" si="90"/>
        <v>1499</v>
      </c>
      <c r="J34" s="533">
        <f t="shared" si="90"/>
        <v>1791</v>
      </c>
      <c r="K34" s="533">
        <f t="shared" si="90"/>
        <v>1849</v>
      </c>
      <c r="L34" s="533">
        <f t="shared" si="90"/>
        <v>1439</v>
      </c>
      <c r="M34" s="533">
        <f t="shared" si="90"/>
        <v>1315</v>
      </c>
      <c r="N34" s="533">
        <f t="shared" si="90"/>
        <v>1492</v>
      </c>
      <c r="O34" s="533">
        <f t="shared" si="90"/>
        <v>1680</v>
      </c>
      <c r="P34" s="533">
        <f t="shared" si="90"/>
        <v>1411</v>
      </c>
      <c r="Q34" s="533">
        <f t="shared" si="90"/>
        <v>1418</v>
      </c>
      <c r="R34" s="533">
        <f t="shared" si="90"/>
        <v>2070</v>
      </c>
      <c r="S34" s="533">
        <f t="shared" si="90"/>
        <v>2365</v>
      </c>
      <c r="T34" s="533">
        <f t="shared" si="90"/>
        <v>2316</v>
      </c>
      <c r="U34" s="533">
        <f t="shared" ref="U34:AF34" si="91">T36</f>
        <v>2388</v>
      </c>
      <c r="V34" s="533">
        <f t="shared" si="91"/>
        <v>2940</v>
      </c>
      <c r="W34" s="533">
        <f t="shared" si="91"/>
        <v>3021</v>
      </c>
      <c r="X34" s="533">
        <f t="shared" si="91"/>
        <v>2879</v>
      </c>
      <c r="Y34" s="533">
        <f t="shared" si="91"/>
        <v>2588</v>
      </c>
      <c r="Z34" s="533">
        <f t="shared" si="91"/>
        <v>3229</v>
      </c>
      <c r="AA34" s="533">
        <f t="shared" si="91"/>
        <v>3834</v>
      </c>
      <c r="AB34" s="533">
        <f t="shared" si="91"/>
        <v>3427</v>
      </c>
      <c r="AC34" s="533">
        <f t="shared" si="91"/>
        <v>3266</v>
      </c>
      <c r="AD34" s="533">
        <f t="shared" si="91"/>
        <v>4219</v>
      </c>
      <c r="AE34" s="533">
        <f t="shared" si="91"/>
        <v>4532</v>
      </c>
      <c r="AF34" s="533">
        <f t="shared" si="91"/>
        <v>4470</v>
      </c>
      <c r="AG34" s="533">
        <f t="shared" ref="AG34:AS34" si="92">AF36</f>
        <v>4355</v>
      </c>
      <c r="AH34" s="533">
        <f t="shared" si="92"/>
        <v>4884</v>
      </c>
      <c r="AI34" s="533">
        <f t="shared" si="92"/>
        <v>5331</v>
      </c>
      <c r="AJ34" s="533">
        <f t="shared" si="92"/>
        <v>4971</v>
      </c>
      <c r="AK34" s="533">
        <f t="shared" si="92"/>
        <v>4545</v>
      </c>
      <c r="AL34" s="533">
        <f t="shared" si="92"/>
        <v>5161</v>
      </c>
      <c r="AM34" s="533">
        <f t="shared" si="92"/>
        <v>5445</v>
      </c>
      <c r="AN34" s="533">
        <f t="shared" si="92"/>
        <v>5187</v>
      </c>
      <c r="AO34" s="533">
        <f t="shared" si="92"/>
        <v>4883</v>
      </c>
      <c r="AP34" s="533">
        <f t="shared" si="92"/>
        <v>5602</v>
      </c>
      <c r="AQ34" s="533">
        <f t="shared" si="92"/>
        <v>5735</v>
      </c>
      <c r="AR34" s="533">
        <f t="shared" si="92"/>
        <v>5960</v>
      </c>
      <c r="AS34" s="533">
        <f t="shared" si="92"/>
        <v>6031</v>
      </c>
      <c r="AT34" s="533">
        <f>AS36</f>
        <v>6710</v>
      </c>
      <c r="AU34" s="533">
        <f>AT36</f>
        <v>6366</v>
      </c>
      <c r="AV34" s="533">
        <f>AU36</f>
        <v>3719</v>
      </c>
      <c r="AW34" s="533">
        <f>AV36</f>
        <v>1972</v>
      </c>
      <c r="AX34" s="533">
        <f>AW36</f>
        <v>3061.4817392107802</v>
      </c>
      <c r="AY34" s="533">
        <f t="shared" ref="AY34:BF34" si="93">AX36</f>
        <v>3009.858305414115</v>
      </c>
      <c r="AZ34" s="533">
        <f t="shared" si="93"/>
        <v>2722.6255183254702</v>
      </c>
      <c r="BA34" s="533">
        <f t="shared" si="93"/>
        <v>2287.2808932372459</v>
      </c>
      <c r="BB34" s="533">
        <f t="shared" si="93"/>
        <v>3483.6550318000914</v>
      </c>
      <c r="BC34" s="533">
        <f t="shared" si="93"/>
        <v>3975.7112974955444</v>
      </c>
      <c r="BD34" s="533">
        <f t="shared" si="93"/>
        <v>3983.3704941783335</v>
      </c>
      <c r="BE34" s="533">
        <f t="shared" si="93"/>
        <v>3960.3368399512074</v>
      </c>
      <c r="BF34" s="533">
        <f t="shared" si="93"/>
        <v>5644.8833188812914</v>
      </c>
      <c r="BG34" s="533">
        <f t="shared" ref="BG34:BN34" si="94">BF36</f>
        <v>6142.4843352984817</v>
      </c>
      <c r="BH34" s="533">
        <f t="shared" si="94"/>
        <v>6224.7940233732761</v>
      </c>
      <c r="BI34" s="533">
        <f t="shared" si="94"/>
        <v>6279.9589353523606</v>
      </c>
      <c r="BJ34" s="533">
        <f t="shared" si="94"/>
        <v>8106.1519605871272</v>
      </c>
      <c r="BK34" s="533">
        <f t="shared" si="94"/>
        <v>8652.9343887907216</v>
      </c>
      <c r="BL34" s="533">
        <f t="shared" si="94"/>
        <v>8758.940090719434</v>
      </c>
      <c r="BM34" s="533">
        <f t="shared" si="94"/>
        <v>8759.7237178862943</v>
      </c>
      <c r="BN34" s="533">
        <f t="shared" si="94"/>
        <v>10625.58351024389</v>
      </c>
      <c r="BO34" s="533"/>
      <c r="BP34" s="510" t="s">
        <v>17</v>
      </c>
      <c r="BQ34" s="511">
        <f>C34</f>
        <v>1996</v>
      </c>
      <c r="BR34" s="511">
        <f>G34</f>
        <v>2237</v>
      </c>
      <c r="BS34" s="511">
        <f>K34</f>
        <v>1849</v>
      </c>
      <c r="BT34" s="511">
        <f>O34</f>
        <v>1680</v>
      </c>
      <c r="BU34" s="511">
        <f>S34</f>
        <v>2365</v>
      </c>
      <c r="BV34" s="512">
        <f>W34</f>
        <v>3021</v>
      </c>
      <c r="BW34" s="512">
        <f>AA34</f>
        <v>3834</v>
      </c>
      <c r="BX34" s="512">
        <f>AE34</f>
        <v>4532</v>
      </c>
      <c r="BY34" s="511">
        <f>AI34</f>
        <v>5331</v>
      </c>
      <c r="BZ34" s="511">
        <f>AM34</f>
        <v>5445</v>
      </c>
      <c r="CA34" s="511">
        <f>AQ34</f>
        <v>5735</v>
      </c>
      <c r="CB34" s="511">
        <f>AU34</f>
        <v>6366</v>
      </c>
      <c r="CC34" s="511">
        <f>AY34</f>
        <v>3009.858305414115</v>
      </c>
      <c r="CD34" s="511">
        <f>BC34</f>
        <v>3975.7112974955444</v>
      </c>
      <c r="CE34" s="511">
        <f>BG34</f>
        <v>6142.4843352984817</v>
      </c>
      <c r="CF34" s="511">
        <f>BK34</f>
        <v>8652.9343887907216</v>
      </c>
    </row>
    <row r="35" spans="1:84" s="419" customFormat="1">
      <c r="A35" s="516" t="s">
        <v>166</v>
      </c>
      <c r="B35" s="508" t="s">
        <v>17</v>
      </c>
      <c r="C35" s="533">
        <f>C36-C34</f>
        <v>-266</v>
      </c>
      <c r="D35" s="533">
        <f t="shared" ref="D35:N35" si="95">D36-D34</f>
        <v>-73</v>
      </c>
      <c r="E35" s="533">
        <f t="shared" si="95"/>
        <v>314</v>
      </c>
      <c r="F35" s="533">
        <f t="shared" si="95"/>
        <v>266</v>
      </c>
      <c r="G35" s="533">
        <f t="shared" si="95"/>
        <v>-389</v>
      </c>
      <c r="H35" s="533">
        <f t="shared" si="95"/>
        <v>-349</v>
      </c>
      <c r="I35" s="533">
        <f t="shared" si="95"/>
        <v>292</v>
      </c>
      <c r="J35" s="533">
        <f t="shared" si="95"/>
        <v>58</v>
      </c>
      <c r="K35" s="533">
        <f t="shared" si="95"/>
        <v>-410</v>
      </c>
      <c r="L35" s="533">
        <f t="shared" si="95"/>
        <v>-124</v>
      </c>
      <c r="M35" s="533">
        <f t="shared" si="95"/>
        <v>177</v>
      </c>
      <c r="N35" s="533">
        <f t="shared" si="95"/>
        <v>188</v>
      </c>
      <c r="O35" s="533">
        <f t="shared" ref="O35:T35" si="96">O36-O34</f>
        <v>-269</v>
      </c>
      <c r="P35" s="533">
        <f t="shared" si="96"/>
        <v>7</v>
      </c>
      <c r="Q35" s="533">
        <f t="shared" si="96"/>
        <v>652</v>
      </c>
      <c r="R35" s="533">
        <f t="shared" si="96"/>
        <v>295</v>
      </c>
      <c r="S35" s="533">
        <f t="shared" si="96"/>
        <v>-49</v>
      </c>
      <c r="T35" s="533">
        <f t="shared" si="96"/>
        <v>72</v>
      </c>
      <c r="U35" s="533">
        <f>U36-U34</f>
        <v>552</v>
      </c>
      <c r="V35" s="533">
        <f t="shared" ref="V35:AA35" si="97">V36-V34</f>
        <v>81</v>
      </c>
      <c r="W35" s="533">
        <f t="shared" si="97"/>
        <v>-142</v>
      </c>
      <c r="X35" s="533">
        <f t="shared" si="97"/>
        <v>-291</v>
      </c>
      <c r="Y35" s="533">
        <f t="shared" si="97"/>
        <v>641</v>
      </c>
      <c r="Z35" s="533">
        <f t="shared" si="97"/>
        <v>605</v>
      </c>
      <c r="AA35" s="533">
        <f t="shared" si="97"/>
        <v>-407</v>
      </c>
      <c r="AB35" s="533">
        <f t="shared" ref="AB35:AH35" si="98">AB36-AB34</f>
        <v>-161</v>
      </c>
      <c r="AC35" s="533">
        <f t="shared" si="98"/>
        <v>953</v>
      </c>
      <c r="AD35" s="533">
        <f t="shared" si="98"/>
        <v>313</v>
      </c>
      <c r="AE35" s="533">
        <f t="shared" si="98"/>
        <v>-62</v>
      </c>
      <c r="AF35" s="533">
        <f t="shared" si="98"/>
        <v>-115</v>
      </c>
      <c r="AG35" s="533">
        <f t="shared" si="98"/>
        <v>529</v>
      </c>
      <c r="AH35" s="533">
        <f t="shared" si="98"/>
        <v>447</v>
      </c>
      <c r="AI35" s="533">
        <f t="shared" ref="AI35:AP35" si="99">AI36-AI34</f>
        <v>-360</v>
      </c>
      <c r="AJ35" s="533">
        <f t="shared" si="99"/>
        <v>-426</v>
      </c>
      <c r="AK35" s="533">
        <f t="shared" si="99"/>
        <v>616</v>
      </c>
      <c r="AL35" s="533">
        <f t="shared" si="99"/>
        <v>284</v>
      </c>
      <c r="AM35" s="533">
        <f t="shared" si="99"/>
        <v>-258</v>
      </c>
      <c r="AN35" s="533">
        <f t="shared" si="99"/>
        <v>-304</v>
      </c>
      <c r="AO35" s="533">
        <f t="shared" si="99"/>
        <v>719</v>
      </c>
      <c r="AP35" s="533">
        <f t="shared" si="99"/>
        <v>133</v>
      </c>
      <c r="AQ35" s="533">
        <f t="shared" ref="AQ35:AX35" si="100">AQ36-AQ34</f>
        <v>225</v>
      </c>
      <c r="AR35" s="533">
        <f t="shared" si="100"/>
        <v>71</v>
      </c>
      <c r="AS35" s="533">
        <f t="shared" si="100"/>
        <v>679</v>
      </c>
      <c r="AT35" s="533">
        <f t="shared" si="100"/>
        <v>-344</v>
      </c>
      <c r="AU35" s="533">
        <f>AU36-AU34</f>
        <v>-2647</v>
      </c>
      <c r="AV35" s="533">
        <f>AV36-AV34</f>
        <v>-1747</v>
      </c>
      <c r="AW35" s="533">
        <f t="shared" si="100"/>
        <v>1089.4817392107802</v>
      </c>
      <c r="AX35" s="533">
        <f t="shared" si="100"/>
        <v>-51.623433796665267</v>
      </c>
      <c r="AY35" s="533">
        <f t="shared" ref="AY35:BF35" si="101">AY36-AY34</f>
        <v>-287.23278708864473</v>
      </c>
      <c r="AZ35" s="533">
        <f t="shared" si="101"/>
        <v>-435.34462508822435</v>
      </c>
      <c r="BA35" s="533">
        <f t="shared" si="101"/>
        <v>1196.3741385628455</v>
      </c>
      <c r="BB35" s="533">
        <f t="shared" si="101"/>
        <v>492.05626569545302</v>
      </c>
      <c r="BC35" s="533">
        <f t="shared" si="101"/>
        <v>7.6591966827891156</v>
      </c>
      <c r="BD35" s="533">
        <f t="shared" si="101"/>
        <v>-23.033654227126135</v>
      </c>
      <c r="BE35" s="533">
        <f t="shared" si="101"/>
        <v>1684.546478930084</v>
      </c>
      <c r="BF35" s="533">
        <f t="shared" si="101"/>
        <v>497.60101641719029</v>
      </c>
      <c r="BG35" s="533">
        <f t="shared" ref="BG35:BN35" si="102">BG36-BG34</f>
        <v>82.309688074794394</v>
      </c>
      <c r="BH35" s="533">
        <f t="shared" si="102"/>
        <v>55.164911979084536</v>
      </c>
      <c r="BI35" s="533">
        <f t="shared" si="102"/>
        <v>1826.1930252347665</v>
      </c>
      <c r="BJ35" s="533">
        <f t="shared" si="102"/>
        <v>546.78242820359446</v>
      </c>
      <c r="BK35" s="533">
        <f t="shared" si="102"/>
        <v>106.00570192871237</v>
      </c>
      <c r="BL35" s="533">
        <f t="shared" si="102"/>
        <v>0.78362716686024214</v>
      </c>
      <c r="BM35" s="533">
        <f t="shared" si="102"/>
        <v>1865.8597923575962</v>
      </c>
      <c r="BN35" s="533">
        <f t="shared" si="102"/>
        <v>596.4662546225718</v>
      </c>
      <c r="BO35" s="533"/>
      <c r="BP35" s="510" t="s">
        <v>17</v>
      </c>
      <c r="BQ35" s="514">
        <f>SUM(C35:F35)</f>
        <v>241</v>
      </c>
      <c r="BR35" s="514">
        <f>SUM(G35:J35)</f>
        <v>-388</v>
      </c>
      <c r="BS35" s="514">
        <f>SUM(K35:N35)</f>
        <v>-169</v>
      </c>
      <c r="BT35" s="514">
        <f>SUM(O35:R35)</f>
        <v>685</v>
      </c>
      <c r="BU35" s="514">
        <f>SUM(S35:V35)</f>
        <v>656</v>
      </c>
      <c r="BV35" s="515">
        <f>SUM(W35:Z35)</f>
        <v>813</v>
      </c>
      <c r="BW35" s="515">
        <f>SUM(AA35:AD35)</f>
        <v>698</v>
      </c>
      <c r="BX35" s="515">
        <f>SUM(AE35:AH35)</f>
        <v>799</v>
      </c>
      <c r="BY35" s="514">
        <f>SUM(AI35:AL35)</f>
        <v>114</v>
      </c>
      <c r="BZ35" s="514">
        <f>SUM(AM35:AP35)</f>
        <v>290</v>
      </c>
      <c r="CA35" s="514">
        <f>SUM(AQ35:AT35)</f>
        <v>631</v>
      </c>
      <c r="CB35" s="514">
        <f>SUM(AU35:AX35)</f>
        <v>-3356.141694585885</v>
      </c>
      <c r="CC35" s="514">
        <f>SUM(AY35:BB35)</f>
        <v>965.85299208142942</v>
      </c>
      <c r="CD35" s="514">
        <f>SUM(BC35:BF35)</f>
        <v>2166.7730378029373</v>
      </c>
      <c r="CE35" s="514">
        <f>SUM(BG35:BJ35)</f>
        <v>2510.4500534922399</v>
      </c>
      <c r="CF35" s="514">
        <f>SUM(BK35:BN35)</f>
        <v>2569.1153760757406</v>
      </c>
    </row>
    <row r="36" spans="1:84" s="419" customFormat="1">
      <c r="A36" s="507" t="s">
        <v>43</v>
      </c>
      <c r="B36" s="533">
        <f>SUM(BS!B7:B9)</f>
        <v>1996</v>
      </c>
      <c r="C36" s="533">
        <f>SUM(BS!C7:C9)</f>
        <v>1730</v>
      </c>
      <c r="D36" s="533">
        <f>SUM(BS!D7:D9)</f>
        <v>1657</v>
      </c>
      <c r="E36" s="533">
        <f>SUM(BS!E7:E9)</f>
        <v>1971</v>
      </c>
      <c r="F36" s="533">
        <f>SUM(BS!F7:F9)</f>
        <v>2237</v>
      </c>
      <c r="G36" s="533">
        <f>SUM(BS!G7:G9)</f>
        <v>1848</v>
      </c>
      <c r="H36" s="533">
        <f>SUM(BS!H7:H9)</f>
        <v>1499</v>
      </c>
      <c r="I36" s="533">
        <f>SUM(BS!I7:I9)</f>
        <v>1791</v>
      </c>
      <c r="J36" s="533">
        <f>SUM(BS!J7:J9)</f>
        <v>1849</v>
      </c>
      <c r="K36" s="533">
        <f>SUM(BS!K7:K9)</f>
        <v>1439</v>
      </c>
      <c r="L36" s="533">
        <f>SUM(BS!L7:L9)</f>
        <v>1315</v>
      </c>
      <c r="M36" s="533">
        <f>SUM(BS!M7:M9)</f>
        <v>1492</v>
      </c>
      <c r="N36" s="533">
        <f>SUM(BS!N7:N9)</f>
        <v>1680</v>
      </c>
      <c r="O36" s="533">
        <f>SUM(BS!O7:O9)</f>
        <v>1411</v>
      </c>
      <c r="P36" s="533">
        <f>SUM(BS!P7:P9)</f>
        <v>1418</v>
      </c>
      <c r="Q36" s="533">
        <f>SUM(BS!Q7:Q9)</f>
        <v>2070</v>
      </c>
      <c r="R36" s="533">
        <f>SUM(BS!R7:R9)</f>
        <v>2365</v>
      </c>
      <c r="S36" s="533">
        <f>SUM(BS!S7:S9)</f>
        <v>2316</v>
      </c>
      <c r="T36" s="533">
        <f>SUM(BS!T7:T9)</f>
        <v>2388</v>
      </c>
      <c r="U36" s="533">
        <f>SUM(BS!U7:U9)</f>
        <v>2940</v>
      </c>
      <c r="V36" s="533">
        <f>SUM(BS!V7:V9)</f>
        <v>3021</v>
      </c>
      <c r="W36" s="533">
        <f>SUM(BS!W7:W9)</f>
        <v>2879</v>
      </c>
      <c r="X36" s="533">
        <f>SUM(BS!X7:X9)</f>
        <v>2588</v>
      </c>
      <c r="Y36" s="533">
        <f>SUM(BS!Y7:Y9)</f>
        <v>3229</v>
      </c>
      <c r="Z36" s="533">
        <f>SUM(BS!Z7:Z9)</f>
        <v>3834</v>
      </c>
      <c r="AA36" s="533">
        <f>SUM(BS!AA7:AA9)</f>
        <v>3427</v>
      </c>
      <c r="AB36" s="533">
        <f>SUM(BS!AB7:AB9)</f>
        <v>3266</v>
      </c>
      <c r="AC36" s="533">
        <f>SUM(BS!AC7:AC9)</f>
        <v>4219</v>
      </c>
      <c r="AD36" s="533">
        <f>SUM(BS!AD7:AD9)</f>
        <v>4532</v>
      </c>
      <c r="AE36" s="533">
        <f>SUM(BS!AE7:AE9)</f>
        <v>4470</v>
      </c>
      <c r="AF36" s="533">
        <f>SUM(BS!AF7:AF9)</f>
        <v>4355</v>
      </c>
      <c r="AG36" s="533">
        <f>SUM(BS!AG7:AG9)</f>
        <v>4884</v>
      </c>
      <c r="AH36" s="533">
        <f>SUM(BS!AH7:AH9)</f>
        <v>5331</v>
      </c>
      <c r="AI36" s="533">
        <f>SUM(BS!AI7:AI9)</f>
        <v>4971</v>
      </c>
      <c r="AJ36" s="533">
        <f>SUM(BS!AJ7:AJ9)</f>
        <v>4545</v>
      </c>
      <c r="AK36" s="533">
        <f>SUM(BS!AK7:AK9)</f>
        <v>5161</v>
      </c>
      <c r="AL36" s="533">
        <f>SUM(BS!AL7:AL9)</f>
        <v>5445</v>
      </c>
      <c r="AM36" s="533">
        <f>SUM(BS!AM7:AM9)</f>
        <v>5187</v>
      </c>
      <c r="AN36" s="533">
        <f>SUM(BS!AN7:AN9)</f>
        <v>4883</v>
      </c>
      <c r="AO36" s="533">
        <f>SUM(BS!AO7:AO9)</f>
        <v>5602</v>
      </c>
      <c r="AP36" s="533">
        <f>SUM(BS!AP7:AP9)</f>
        <v>5735</v>
      </c>
      <c r="AQ36" s="533">
        <f>SUM(BS!AQ7:AQ9)</f>
        <v>5960</v>
      </c>
      <c r="AR36" s="533">
        <f>SUM(BS!AR7:AR9)</f>
        <v>6031</v>
      </c>
      <c r="AS36" s="533">
        <f>SUM(BS!AS7:AS9)</f>
        <v>6710</v>
      </c>
      <c r="AT36" s="533">
        <f>SUM(BS!AT7:AT9)</f>
        <v>6366</v>
      </c>
      <c r="AU36" s="533">
        <f>SUM(BS!AU7:AU9)</f>
        <v>3719</v>
      </c>
      <c r="AV36" s="533">
        <f>SUM(BS!AV7:AV9)</f>
        <v>1972</v>
      </c>
      <c r="AW36" s="533">
        <f>SUM(BS!AW7:AW9)</f>
        <v>3061.4817392107802</v>
      </c>
      <c r="AX36" s="533">
        <f>SUM(BS!AX7:AX9)</f>
        <v>3009.858305414115</v>
      </c>
      <c r="AY36" s="533">
        <f>SUM(BS!AY7:AY9)</f>
        <v>2722.6255183254702</v>
      </c>
      <c r="AZ36" s="533">
        <f>SUM(BS!AZ7:AZ9)</f>
        <v>2287.2808932372459</v>
      </c>
      <c r="BA36" s="533">
        <f>SUM(BS!BA7:BA9)</f>
        <v>3483.6550318000914</v>
      </c>
      <c r="BB36" s="533">
        <f>SUM(BS!BB7:BB9)</f>
        <v>3975.7112974955444</v>
      </c>
      <c r="BC36" s="533">
        <f>SUM(BS!BC7:BC9)</f>
        <v>3983.3704941783335</v>
      </c>
      <c r="BD36" s="533">
        <f>SUM(BS!BD7:BD9)</f>
        <v>3960.3368399512074</v>
      </c>
      <c r="BE36" s="533">
        <f>SUM(BS!BE7:BE9)</f>
        <v>5644.8833188812914</v>
      </c>
      <c r="BF36" s="533">
        <f>SUM(BS!BF7:BF9)</f>
        <v>6142.4843352984817</v>
      </c>
      <c r="BG36" s="533">
        <f>SUM(BS!BG7:BG9)</f>
        <v>6224.7940233732761</v>
      </c>
      <c r="BH36" s="533">
        <f>SUM(BS!BH7:BH9)</f>
        <v>6279.9589353523606</v>
      </c>
      <c r="BI36" s="533">
        <f>SUM(BS!BI7:BI9)</f>
        <v>8106.1519605871272</v>
      </c>
      <c r="BJ36" s="533">
        <f>SUM(BS!BJ7:BJ9)</f>
        <v>8652.9343887907216</v>
      </c>
      <c r="BK36" s="533">
        <f>SUM(BS!BK7:BK9)</f>
        <v>8758.940090719434</v>
      </c>
      <c r="BL36" s="533">
        <f>SUM(BS!BL7:BL9)</f>
        <v>8759.7237178862943</v>
      </c>
      <c r="BM36" s="533">
        <f>SUM(BS!BM7:BM9)</f>
        <v>10625.58351024389</v>
      </c>
      <c r="BN36" s="533">
        <f>SUM(BS!BN7:BN9)</f>
        <v>11222.049764866462</v>
      </c>
      <c r="BO36" s="533"/>
      <c r="BP36" s="510">
        <f>SUM(BS!BP7:BP9)</f>
        <v>1996</v>
      </c>
      <c r="BQ36" s="511">
        <f>F36</f>
        <v>2237</v>
      </c>
      <c r="BR36" s="511">
        <f>J36</f>
        <v>1849</v>
      </c>
      <c r="BS36" s="511">
        <f>N36</f>
        <v>1680</v>
      </c>
      <c r="BT36" s="511">
        <f>R36</f>
        <v>2365</v>
      </c>
      <c r="BU36" s="511">
        <f>V36</f>
        <v>3021</v>
      </c>
      <c r="BV36" s="512">
        <f>Z36</f>
        <v>3834</v>
      </c>
      <c r="BW36" s="512">
        <f>AD36</f>
        <v>4532</v>
      </c>
      <c r="BX36" s="512">
        <f>AH36</f>
        <v>5331</v>
      </c>
      <c r="BY36" s="511">
        <f>AL36</f>
        <v>5445</v>
      </c>
      <c r="BZ36" s="511">
        <f>AP36</f>
        <v>5735</v>
      </c>
      <c r="CA36" s="511">
        <f>AT36</f>
        <v>6366</v>
      </c>
      <c r="CB36" s="511">
        <f>AX36</f>
        <v>3009.858305414115</v>
      </c>
      <c r="CC36" s="511">
        <f>BB36</f>
        <v>3975.7112974955444</v>
      </c>
      <c r="CD36" s="511">
        <f>BF36</f>
        <v>6142.4843352984817</v>
      </c>
      <c r="CE36" s="511">
        <f>BJ36</f>
        <v>8652.9343887907216</v>
      </c>
      <c r="CF36" s="511">
        <f>BN36</f>
        <v>11222.049764866462</v>
      </c>
    </row>
    <row r="37" spans="1:84" s="419" customFormat="1">
      <c r="A37" s="507" t="s">
        <v>44</v>
      </c>
      <c r="B37" s="508" t="s">
        <v>17</v>
      </c>
      <c r="C37" s="507">
        <f>AVERAGE(C36,C34)</f>
        <v>1863</v>
      </c>
      <c r="D37" s="507">
        <f t="shared" ref="D37:N37" si="103">AVERAGE(D36,D34)</f>
        <v>1693.5</v>
      </c>
      <c r="E37" s="507">
        <f t="shared" si="103"/>
        <v>1814</v>
      </c>
      <c r="F37" s="507">
        <f t="shared" si="103"/>
        <v>2104</v>
      </c>
      <c r="G37" s="507">
        <f t="shared" si="103"/>
        <v>2042.5</v>
      </c>
      <c r="H37" s="507">
        <f t="shared" si="103"/>
        <v>1673.5</v>
      </c>
      <c r="I37" s="507">
        <f t="shared" si="103"/>
        <v>1645</v>
      </c>
      <c r="J37" s="507">
        <f t="shared" si="103"/>
        <v>1820</v>
      </c>
      <c r="K37" s="507">
        <f t="shared" si="103"/>
        <v>1644</v>
      </c>
      <c r="L37" s="507">
        <f t="shared" si="103"/>
        <v>1377</v>
      </c>
      <c r="M37" s="507">
        <f t="shared" si="103"/>
        <v>1403.5</v>
      </c>
      <c r="N37" s="507">
        <f t="shared" si="103"/>
        <v>1586</v>
      </c>
      <c r="O37" s="507">
        <f t="shared" ref="O37:T37" si="104">AVERAGE(O36,O34)</f>
        <v>1545.5</v>
      </c>
      <c r="P37" s="507">
        <f t="shared" si="104"/>
        <v>1414.5</v>
      </c>
      <c r="Q37" s="507">
        <f t="shared" si="104"/>
        <v>1744</v>
      </c>
      <c r="R37" s="507">
        <f t="shared" si="104"/>
        <v>2217.5</v>
      </c>
      <c r="S37" s="507">
        <f t="shared" si="104"/>
        <v>2340.5</v>
      </c>
      <c r="T37" s="507">
        <f t="shared" si="104"/>
        <v>2352</v>
      </c>
      <c r="U37" s="507">
        <f>AVERAGE(U36,U34)</f>
        <v>2664</v>
      </c>
      <c r="V37" s="507">
        <f t="shared" ref="V37:AA37" si="105">AVERAGE(V36,V34)</f>
        <v>2980.5</v>
      </c>
      <c r="W37" s="507">
        <f t="shared" si="105"/>
        <v>2950</v>
      </c>
      <c r="X37" s="507">
        <f t="shared" si="105"/>
        <v>2733.5</v>
      </c>
      <c r="Y37" s="507">
        <f t="shared" si="105"/>
        <v>2908.5</v>
      </c>
      <c r="Z37" s="507">
        <f t="shared" si="105"/>
        <v>3531.5</v>
      </c>
      <c r="AA37" s="507">
        <f t="shared" si="105"/>
        <v>3630.5</v>
      </c>
      <c r="AB37" s="507">
        <f t="shared" ref="AB37:AH37" si="106">AVERAGE(AB36,AB34)</f>
        <v>3346.5</v>
      </c>
      <c r="AC37" s="507">
        <f t="shared" si="106"/>
        <v>3742.5</v>
      </c>
      <c r="AD37" s="507">
        <f t="shared" si="106"/>
        <v>4375.5</v>
      </c>
      <c r="AE37" s="507">
        <f t="shared" si="106"/>
        <v>4501</v>
      </c>
      <c r="AF37" s="507">
        <f t="shared" si="106"/>
        <v>4412.5</v>
      </c>
      <c r="AG37" s="507">
        <f t="shared" si="106"/>
        <v>4619.5</v>
      </c>
      <c r="AH37" s="507">
        <f t="shared" si="106"/>
        <v>5107.5</v>
      </c>
      <c r="AI37" s="507">
        <f t="shared" ref="AI37:AP37" si="107">AVERAGE(AI36,AI34)</f>
        <v>5151</v>
      </c>
      <c r="AJ37" s="507">
        <f t="shared" si="107"/>
        <v>4758</v>
      </c>
      <c r="AK37" s="507">
        <f t="shared" si="107"/>
        <v>4853</v>
      </c>
      <c r="AL37" s="507">
        <f t="shared" si="107"/>
        <v>5303</v>
      </c>
      <c r="AM37" s="507">
        <f t="shared" si="107"/>
        <v>5316</v>
      </c>
      <c r="AN37" s="507">
        <f t="shared" si="107"/>
        <v>5035</v>
      </c>
      <c r="AO37" s="507">
        <f t="shared" si="107"/>
        <v>5242.5</v>
      </c>
      <c r="AP37" s="507">
        <f t="shared" si="107"/>
        <v>5668.5</v>
      </c>
      <c r="AQ37" s="507">
        <f t="shared" ref="AQ37:AX37" si="108">AVERAGE(AQ36,AQ34)</f>
        <v>5847.5</v>
      </c>
      <c r="AR37" s="507">
        <f t="shared" si="108"/>
        <v>5995.5</v>
      </c>
      <c r="AS37" s="507">
        <f t="shared" si="108"/>
        <v>6370.5</v>
      </c>
      <c r="AT37" s="507">
        <f t="shared" si="108"/>
        <v>6538</v>
      </c>
      <c r="AU37" s="507">
        <f>AVERAGE(AU36,AU34)</f>
        <v>5042.5</v>
      </c>
      <c r="AV37" s="507">
        <f>AVERAGE(AV36,AV34)</f>
        <v>2845.5</v>
      </c>
      <c r="AW37" s="507">
        <f t="shared" si="108"/>
        <v>2516.7408696053899</v>
      </c>
      <c r="AX37" s="507">
        <f t="shared" si="108"/>
        <v>3035.6700223124476</v>
      </c>
      <c r="AY37" s="507">
        <f t="shared" ref="AY37:BF37" si="109">AVERAGE(AY36,AY34)</f>
        <v>2866.2419118697926</v>
      </c>
      <c r="AZ37" s="507">
        <f t="shared" si="109"/>
        <v>2504.9532057813581</v>
      </c>
      <c r="BA37" s="507">
        <f t="shared" si="109"/>
        <v>2885.4679625186686</v>
      </c>
      <c r="BB37" s="507">
        <f t="shared" si="109"/>
        <v>3729.6831646478176</v>
      </c>
      <c r="BC37" s="507">
        <f t="shared" si="109"/>
        <v>3979.5408958369389</v>
      </c>
      <c r="BD37" s="507">
        <f t="shared" si="109"/>
        <v>3971.8536670647704</v>
      </c>
      <c r="BE37" s="507">
        <f t="shared" si="109"/>
        <v>4802.6100794162494</v>
      </c>
      <c r="BF37" s="507">
        <f t="shared" si="109"/>
        <v>5893.6838270898861</v>
      </c>
      <c r="BG37" s="507">
        <f t="shared" ref="BG37:BN37" si="110">AVERAGE(BG36,BG34)</f>
        <v>6183.6391793358789</v>
      </c>
      <c r="BH37" s="507">
        <f t="shared" si="110"/>
        <v>6252.3764793628179</v>
      </c>
      <c r="BI37" s="507">
        <f t="shared" si="110"/>
        <v>7193.0554479697439</v>
      </c>
      <c r="BJ37" s="507">
        <f t="shared" si="110"/>
        <v>8379.5431746889244</v>
      </c>
      <c r="BK37" s="507">
        <f t="shared" si="110"/>
        <v>8705.9372397550778</v>
      </c>
      <c r="BL37" s="507">
        <f t="shared" si="110"/>
        <v>8759.3319043028641</v>
      </c>
      <c r="BM37" s="507">
        <f t="shared" si="110"/>
        <v>9692.6536140650933</v>
      </c>
      <c r="BN37" s="507">
        <f t="shared" si="110"/>
        <v>10923.816637555177</v>
      </c>
      <c r="BO37" s="507"/>
      <c r="BP37" s="510" t="s">
        <v>17</v>
      </c>
      <c r="BQ37" s="511">
        <f t="shared" ref="BQ37:BX37" si="111">AVERAGE(BQ36,BQ34)</f>
        <v>2116.5</v>
      </c>
      <c r="BR37" s="511">
        <f t="shared" si="111"/>
        <v>2043</v>
      </c>
      <c r="BS37" s="511">
        <f t="shared" si="111"/>
        <v>1764.5</v>
      </c>
      <c r="BT37" s="511">
        <f t="shared" si="111"/>
        <v>2022.5</v>
      </c>
      <c r="BU37" s="511">
        <f t="shared" si="111"/>
        <v>2693</v>
      </c>
      <c r="BV37" s="512">
        <f t="shared" si="111"/>
        <v>3427.5</v>
      </c>
      <c r="BW37" s="512">
        <f t="shared" si="111"/>
        <v>4183</v>
      </c>
      <c r="BX37" s="512">
        <f t="shared" si="111"/>
        <v>4931.5</v>
      </c>
      <c r="BY37" s="511">
        <f t="shared" ref="BY37:CD37" si="112">AVERAGE(BY36,BY34)</f>
        <v>5388</v>
      </c>
      <c r="BZ37" s="511">
        <f t="shared" si="112"/>
        <v>5590</v>
      </c>
      <c r="CA37" s="511">
        <f t="shared" si="112"/>
        <v>6050.5</v>
      </c>
      <c r="CB37" s="511">
        <f t="shared" si="112"/>
        <v>4687.9291527070573</v>
      </c>
      <c r="CC37" s="511">
        <f t="shared" si="112"/>
        <v>3492.7848014548299</v>
      </c>
      <c r="CD37" s="511">
        <f t="shared" si="112"/>
        <v>5059.097816397013</v>
      </c>
      <c r="CE37" s="511">
        <f>AVERAGE(CE36,CE34)</f>
        <v>7397.7093620446012</v>
      </c>
      <c r="CF37" s="511">
        <f>AVERAGE(CF36,CF34)</f>
        <v>9937.492076828592</v>
      </c>
    </row>
    <row r="38" spans="1:84">
      <c r="A38" s="422" t="s">
        <v>52</v>
      </c>
      <c r="B38" s="418" t="s">
        <v>17</v>
      </c>
      <c r="C38" s="534">
        <f>C39/B36</f>
        <v>0</v>
      </c>
      <c r="D38" s="534">
        <f t="shared" ref="D38:AF38" si="113">D39/C36</f>
        <v>3.4682080924855491E-3</v>
      </c>
      <c r="E38" s="534">
        <f t="shared" si="113"/>
        <v>0</v>
      </c>
      <c r="F38" s="534">
        <f t="shared" si="113"/>
        <v>2.0294266869609334E-3</v>
      </c>
      <c r="G38" s="534">
        <f t="shared" si="113"/>
        <v>1.3410818059901655E-3</v>
      </c>
      <c r="H38" s="534">
        <f t="shared" si="113"/>
        <v>-8.1388663419913417E-4</v>
      </c>
      <c r="I38" s="534">
        <f t="shared" si="113"/>
        <v>-2.6707388258839231E-3</v>
      </c>
      <c r="J38" s="534">
        <f t="shared" si="113"/>
        <v>1.1200097710776103E-3</v>
      </c>
      <c r="K38" s="534">
        <f t="shared" si="113"/>
        <v>5.491143861546784E-4</v>
      </c>
      <c r="L38" s="534">
        <f t="shared" si="113"/>
        <v>2.796864141765114E-3</v>
      </c>
      <c r="M38" s="534">
        <f t="shared" si="113"/>
        <v>-1.4950095057034219E-3</v>
      </c>
      <c r="N38" s="534">
        <f t="shared" si="113"/>
        <v>1.3695961796246646E-3</v>
      </c>
      <c r="O38" s="534">
        <f t="shared" si="113"/>
        <v>6.2667410714285711E-4</v>
      </c>
      <c r="P38" s="534">
        <f t="shared" si="113"/>
        <v>-1.3726966690290577E-3</v>
      </c>
      <c r="Q38" s="534">
        <f t="shared" si="113"/>
        <v>7.5700811001410426E-4</v>
      </c>
      <c r="R38" s="534">
        <f t="shared" si="113"/>
        <v>-4.4308574879227045E-4</v>
      </c>
      <c r="S38" s="534">
        <f t="shared" si="113"/>
        <v>-8.0628964059196626E-4</v>
      </c>
      <c r="T38" s="534">
        <f t="shared" si="113"/>
        <v>4.7644106217616583E-4</v>
      </c>
      <c r="U38" s="534">
        <f t="shared" si="113"/>
        <v>4.7241415410385436E-5</v>
      </c>
      <c r="V38" s="534">
        <f t="shared" si="113"/>
        <v>1.2589770394876704E-3</v>
      </c>
      <c r="W38" s="534">
        <f t="shared" si="113"/>
        <v>1.2496622535954698E-3</v>
      </c>
      <c r="X38" s="534">
        <f t="shared" si="113"/>
        <v>1.0292553682828508E-3</v>
      </c>
      <c r="Y38" s="534">
        <f t="shared" si="113"/>
        <v>2.5902390669576229E-3</v>
      </c>
      <c r="Z38" s="534">
        <f t="shared" si="113"/>
        <v>-7.7960771993827987E-4</v>
      </c>
      <c r="AA38" s="534">
        <f t="shared" si="113"/>
        <v>1.176154461472699E-3</v>
      </c>
      <c r="AB38" s="534">
        <f t="shared" si="113"/>
        <v>2.1494658163534182E-3</v>
      </c>
      <c r="AC38" s="534">
        <f t="shared" si="113"/>
        <v>2.5249540722596447E-3</v>
      </c>
      <c r="AD38" s="534">
        <f t="shared" si="113"/>
        <v>2.1916330884095754E-3</v>
      </c>
      <c r="AE38" s="534">
        <f t="shared" si="113"/>
        <v>3.5859830097087378E-3</v>
      </c>
      <c r="AF38" s="534">
        <f t="shared" si="113"/>
        <v>2.9657382550335571E-3</v>
      </c>
      <c r="AG38" s="534">
        <f t="shared" ref="AG38:AV38" si="114">AG39/AF36</f>
        <v>3.5044833524684269E-3</v>
      </c>
      <c r="AH38" s="534">
        <f t="shared" si="114"/>
        <v>2.3069615069615068E-3</v>
      </c>
      <c r="AI38" s="534">
        <f t="shared" si="114"/>
        <v>5.4909726130181954E-3</v>
      </c>
      <c r="AJ38" s="534">
        <f t="shared" si="114"/>
        <v>5.6885033192516591E-3</v>
      </c>
      <c r="AK38" s="534">
        <f t="shared" si="114"/>
        <v>7.3229317931793178E-3</v>
      </c>
      <c r="AL38" s="534">
        <f t="shared" si="114"/>
        <v>6.4498934315055222E-3</v>
      </c>
      <c r="AM38" s="534">
        <f t="shared" si="114"/>
        <v>5.7471212121212121E-3</v>
      </c>
      <c r="AN38" s="534">
        <f t="shared" si="114"/>
        <v>5.0700308463466357E-3</v>
      </c>
      <c r="AO38" s="534">
        <f t="shared" si="114"/>
        <v>4.7712983821421254E-3</v>
      </c>
      <c r="AP38" s="534">
        <f t="shared" si="114"/>
        <v>3.7067408961085325E-3</v>
      </c>
      <c r="AQ38" s="534">
        <f t="shared" si="114"/>
        <v>3.8920226678291196E-4</v>
      </c>
      <c r="AR38" s="534">
        <f t="shared" si="114"/>
        <v>-6.869211409395974E-4</v>
      </c>
      <c r="AS38" s="534">
        <f t="shared" si="114"/>
        <v>-1.5594428784612864E-5</v>
      </c>
      <c r="AT38" s="534">
        <f t="shared" si="114"/>
        <v>5.4564456035767505E-4</v>
      </c>
      <c r="AU38" s="534">
        <f t="shared" si="114"/>
        <v>8.5167687715991208E-4</v>
      </c>
      <c r="AV38" s="534">
        <f t="shared" si="114"/>
        <v>1.4592497983328845E-3</v>
      </c>
      <c r="AW38" s="522">
        <f t="shared" ref="AW38:BB38" si="115">AS38</f>
        <v>-1.5594428784612864E-5</v>
      </c>
      <c r="AX38" s="522">
        <f t="shared" si="115"/>
        <v>5.4564456035767505E-4</v>
      </c>
      <c r="AY38" s="522">
        <f t="shared" si="115"/>
        <v>8.5167687715991208E-4</v>
      </c>
      <c r="AZ38" s="522">
        <f t="shared" si="115"/>
        <v>1.4592497983328845E-3</v>
      </c>
      <c r="BA38" s="522">
        <f t="shared" si="115"/>
        <v>-1.5594428784612864E-5</v>
      </c>
      <c r="BB38" s="522">
        <f t="shared" si="115"/>
        <v>5.4564456035767505E-4</v>
      </c>
      <c r="BC38" s="522">
        <f t="shared" ref="BC38:BJ38" si="116">BB38</f>
        <v>5.4564456035767505E-4</v>
      </c>
      <c r="BD38" s="522">
        <f t="shared" si="116"/>
        <v>5.4564456035767505E-4</v>
      </c>
      <c r="BE38" s="522">
        <f t="shared" si="116"/>
        <v>5.4564456035767505E-4</v>
      </c>
      <c r="BF38" s="522">
        <f t="shared" si="116"/>
        <v>5.4564456035767505E-4</v>
      </c>
      <c r="BG38" s="522">
        <f t="shared" si="116"/>
        <v>5.4564456035767505E-4</v>
      </c>
      <c r="BH38" s="522">
        <f t="shared" si="116"/>
        <v>5.4564456035767505E-4</v>
      </c>
      <c r="BI38" s="522">
        <f t="shared" si="116"/>
        <v>5.4564456035767505E-4</v>
      </c>
      <c r="BJ38" s="522">
        <f t="shared" si="116"/>
        <v>5.4564456035767505E-4</v>
      </c>
      <c r="BK38" s="522">
        <f>BJ38</f>
        <v>5.4564456035767505E-4</v>
      </c>
      <c r="BL38" s="522">
        <f>BK38</f>
        <v>5.4564456035767505E-4</v>
      </c>
      <c r="BM38" s="522">
        <f>BL38</f>
        <v>5.4564456035767505E-4</v>
      </c>
      <c r="BN38" s="522">
        <f>BM38</f>
        <v>5.4564456035767505E-4</v>
      </c>
      <c r="BO38" s="535"/>
      <c r="BP38" s="536" t="s">
        <v>17</v>
      </c>
      <c r="BQ38" s="524">
        <f t="shared" ref="BQ38:CF38" si="117">BQ39/BP36</f>
        <v>5.0100200400801601E-3</v>
      </c>
      <c r="BR38" s="524">
        <f t="shared" si="117"/>
        <v>-2.2421211443898094E-4</v>
      </c>
      <c r="BS38" s="524">
        <f t="shared" si="117"/>
        <v>2.7677122769064351E-3</v>
      </c>
      <c r="BT38" s="524">
        <f t="shared" si="117"/>
        <v>-4.3322172619047659E-4</v>
      </c>
      <c r="BU38" s="524">
        <f t="shared" si="117"/>
        <v>1.2730517953884785E-3</v>
      </c>
      <c r="BV38" s="524">
        <f t="shared" si="117"/>
        <v>3.6162334495213055E-3</v>
      </c>
      <c r="BW38" s="524">
        <f t="shared" si="117"/>
        <v>7.6600405732732101E-3</v>
      </c>
      <c r="BX38" s="524">
        <f t="shared" si="117"/>
        <v>1.2364905119152692E-2</v>
      </c>
      <c r="BY38" s="524">
        <f t="shared" si="117"/>
        <v>2.3282789345338586E-2</v>
      </c>
      <c r="BZ38" s="524">
        <f t="shared" si="117"/>
        <v>1.8669373278236912E-2</v>
      </c>
      <c r="CA38" s="524">
        <f t="shared" si="117"/>
        <v>2.9734088927637308E-4</v>
      </c>
      <c r="CB38" s="524">
        <f t="shared" si="117"/>
        <v>1.9617426396593557E-3</v>
      </c>
      <c r="CC38" s="524">
        <f t="shared" si="117"/>
        <v>2.7913560000326172E-3</v>
      </c>
      <c r="CD38" s="524">
        <f t="shared" si="117"/>
        <v>2.4106040651922481E-3</v>
      </c>
      <c r="CE38" s="524">
        <f t="shared" si="117"/>
        <v>2.376537003769298E-3</v>
      </c>
      <c r="CF38" s="524">
        <f t="shared" si="117"/>
        <v>2.320389954796929E-3</v>
      </c>
    </row>
    <row r="39" spans="1:84" s="419" customFormat="1">
      <c r="A39" s="507" t="s">
        <v>79</v>
      </c>
      <c r="B39" s="507">
        <f t="shared" ref="B39:X39" si="118">B41-B30</f>
        <v>-2</v>
      </c>
      <c r="C39" s="507">
        <f t="shared" si="118"/>
        <v>0</v>
      </c>
      <c r="D39" s="507">
        <f t="shared" si="118"/>
        <v>6</v>
      </c>
      <c r="E39" s="507">
        <f t="shared" si="118"/>
        <v>0</v>
      </c>
      <c r="F39" s="507">
        <f t="shared" si="118"/>
        <v>4</v>
      </c>
      <c r="G39" s="507">
        <f t="shared" si="118"/>
        <v>3</v>
      </c>
      <c r="H39" s="507">
        <f t="shared" si="118"/>
        <v>-1.5040624999999999</v>
      </c>
      <c r="I39" s="507">
        <f t="shared" si="118"/>
        <v>-4.0034375000000004</v>
      </c>
      <c r="J39" s="507">
        <f t="shared" si="118"/>
        <v>2.0059374999999999</v>
      </c>
      <c r="K39" s="507">
        <f t="shared" si="118"/>
        <v>1.0153125000000003</v>
      </c>
      <c r="L39" s="507">
        <f t="shared" si="118"/>
        <v>4.0246874999999989</v>
      </c>
      <c r="M39" s="507">
        <f t="shared" si="118"/>
        <v>-1.9659374999999999</v>
      </c>
      <c r="N39" s="507">
        <f t="shared" si="118"/>
        <v>2.0434374999999996</v>
      </c>
      <c r="O39" s="507">
        <f t="shared" si="118"/>
        <v>1.0528124999999999</v>
      </c>
      <c r="P39" s="507">
        <f t="shared" si="118"/>
        <v>-1.9368750000000006</v>
      </c>
      <c r="Q39" s="507">
        <f t="shared" si="118"/>
        <v>1.0734374999999998</v>
      </c>
      <c r="R39" s="507">
        <f t="shared" si="118"/>
        <v>-0.91718749999999982</v>
      </c>
      <c r="S39" s="507">
        <f t="shared" si="118"/>
        <v>-1.9068750000000003</v>
      </c>
      <c r="T39" s="507">
        <f t="shared" si="118"/>
        <v>1.1034375000000001</v>
      </c>
      <c r="U39" s="507">
        <f t="shared" si="118"/>
        <v>0.11281250000000043</v>
      </c>
      <c r="V39" s="507">
        <f t="shared" si="118"/>
        <v>3.7013924960937512</v>
      </c>
      <c r="W39" s="507">
        <f t="shared" si="118"/>
        <v>3.7752296681119146</v>
      </c>
      <c r="X39" s="507">
        <f t="shared" si="118"/>
        <v>2.9632262052863272</v>
      </c>
      <c r="Y39" s="507">
        <f t="shared" ref="Y39:AD39" si="119">Y41-Y30</f>
        <v>6.703538705286328</v>
      </c>
      <c r="Z39" s="507">
        <f t="shared" si="119"/>
        <v>-2.5173533276807056</v>
      </c>
      <c r="AA39" s="507">
        <f t="shared" si="119"/>
        <v>4.509376205286328</v>
      </c>
      <c r="AB39" s="507">
        <f t="shared" si="119"/>
        <v>7.3662193526431636</v>
      </c>
      <c r="AC39" s="507">
        <f t="shared" si="119"/>
        <v>8.2464999999999993</v>
      </c>
      <c r="AD39" s="507">
        <f t="shared" si="119"/>
        <v>9.2464999999999993</v>
      </c>
      <c r="AE39" s="507">
        <f t="shared" ref="AE39:AJ39" si="120">AE41-AE30</f>
        <v>16.251674999999999</v>
      </c>
      <c r="AF39" s="507">
        <f t="shared" si="120"/>
        <v>13.25685</v>
      </c>
      <c r="AG39" s="507">
        <f t="shared" si="120"/>
        <v>15.262025</v>
      </c>
      <c r="AH39" s="507">
        <f t="shared" si="120"/>
        <v>11.267199999999999</v>
      </c>
      <c r="AI39" s="507">
        <f t="shared" si="120"/>
        <v>29.272375</v>
      </c>
      <c r="AJ39" s="507">
        <f t="shared" si="120"/>
        <v>28.277549999999998</v>
      </c>
      <c r="AK39" s="507">
        <f t="shared" ref="AK39:AP39" si="121">AK41-AK30</f>
        <v>33.282724999999999</v>
      </c>
      <c r="AL39" s="507">
        <f t="shared" si="121"/>
        <v>33.2879</v>
      </c>
      <c r="AM39" s="507">
        <f t="shared" si="121"/>
        <v>31.293075000000002</v>
      </c>
      <c r="AN39" s="507">
        <f t="shared" si="121"/>
        <v>26.298249999999999</v>
      </c>
      <c r="AO39" s="507">
        <f t="shared" si="121"/>
        <v>23.298249999999999</v>
      </c>
      <c r="AP39" s="507">
        <f t="shared" si="121"/>
        <v>20.765162499999999</v>
      </c>
      <c r="AQ39" s="507">
        <f t="shared" ref="AQ39:AV39" si="122">AQ41-AQ30</f>
        <v>2.232075</v>
      </c>
      <c r="AR39" s="507">
        <f t="shared" si="122"/>
        <v>-4.0940500000000002</v>
      </c>
      <c r="AS39" s="507">
        <f t="shared" si="122"/>
        <v>-9.4050000000000189E-2</v>
      </c>
      <c r="AT39" s="507">
        <f t="shared" si="122"/>
        <v>3.6612749999999998</v>
      </c>
      <c r="AU39" s="507">
        <f t="shared" si="122"/>
        <v>5.4217750000000002</v>
      </c>
      <c r="AV39" s="507">
        <f t="shared" si="122"/>
        <v>5.4269499999999979</v>
      </c>
      <c r="AW39" s="507">
        <f>AV36*AW38</f>
        <v>-3.0752213563256567E-2</v>
      </c>
      <c r="AX39" s="507">
        <f>AW36*AX38</f>
        <v>1.6704808576347165</v>
      </c>
      <c r="AY39" s="507">
        <f t="shared" ref="AY39:BF39" si="123">AX36*AY38</f>
        <v>2.5634267222489182</v>
      </c>
      <c r="AZ39" s="507">
        <f t="shared" si="123"/>
        <v>3.9729907385524075</v>
      </c>
      <c r="BA39" s="507">
        <f t="shared" si="123"/>
        <v>-3.5668838999993929E-2</v>
      </c>
      <c r="BB39" s="507">
        <f t="shared" si="123"/>
        <v>1.9008374182643633</v>
      </c>
      <c r="BC39" s="507">
        <f t="shared" si="123"/>
        <v>2.1693252430309982</v>
      </c>
      <c r="BD39" s="507">
        <f>BC36*BD38</f>
        <v>2.1735044420376717</v>
      </c>
      <c r="BE39" s="507">
        <f t="shared" si="123"/>
        <v>2.1609362539034804</v>
      </c>
      <c r="BF39" s="507">
        <f t="shared" si="123"/>
        <v>3.0800998768013557</v>
      </c>
      <c r="BG39" s="507">
        <f t="shared" ref="BG39:BN39" si="124">BF36*BG38</f>
        <v>3.351613164637846</v>
      </c>
      <c r="BH39" s="507">
        <f t="shared" si="124"/>
        <v>3.3965249982005945</v>
      </c>
      <c r="BI39" s="507">
        <f t="shared" si="124"/>
        <v>3.4266254323445917</v>
      </c>
      <c r="BJ39" s="507">
        <f t="shared" si="124"/>
        <v>4.4230777227270686</v>
      </c>
      <c r="BK39" s="507">
        <f t="shared" si="124"/>
        <v>4.7214265803755211</v>
      </c>
      <c r="BL39" s="507">
        <f t="shared" si="124"/>
        <v>4.7792680149998201</v>
      </c>
      <c r="BM39" s="507">
        <f t="shared" si="124"/>
        <v>4.7796955969007655</v>
      </c>
      <c r="BN39" s="507">
        <f t="shared" si="124"/>
        <v>5.7977918429907893</v>
      </c>
      <c r="BO39" s="507"/>
      <c r="BP39" s="510">
        <v>6</v>
      </c>
      <c r="BQ39" s="514">
        <f>SUM(C39:F39)</f>
        <v>10</v>
      </c>
      <c r="BR39" s="514">
        <f>SUM(G39:J39)</f>
        <v>-0.50156250000000036</v>
      </c>
      <c r="BS39" s="514">
        <f>SUM(K39:N39)</f>
        <v>5.1174999999999988</v>
      </c>
      <c r="BT39" s="514">
        <f>SUM(O39:R39)</f>
        <v>-0.72781250000000064</v>
      </c>
      <c r="BU39" s="514">
        <f>SUM(S39:V39)</f>
        <v>3.0107674960937514</v>
      </c>
      <c r="BV39" s="515">
        <f>SUM(W39:Z39)</f>
        <v>10.924641251003864</v>
      </c>
      <c r="BW39" s="515">
        <f>SUM(AA39:AD39)</f>
        <v>29.368595557929488</v>
      </c>
      <c r="BX39" s="515">
        <f>SUM(AE39:AH39)</f>
        <v>56.037750000000003</v>
      </c>
      <c r="BY39" s="514">
        <f>SUM(AI39:AL39)</f>
        <v>124.12055000000001</v>
      </c>
      <c r="BZ39" s="514">
        <f>SUM(AM39:AP39)</f>
        <v>101.6547375</v>
      </c>
      <c r="CA39" s="514">
        <f>SUM(AQ39:AT39)</f>
        <v>1.7052499999999995</v>
      </c>
      <c r="CB39" s="514">
        <f>SUM(AU39:AX39)</f>
        <v>12.488453644071457</v>
      </c>
      <c r="CC39" s="514">
        <f>SUM(AY39:BB39)</f>
        <v>8.4015860400656948</v>
      </c>
      <c r="CD39" s="514">
        <f>SUM(BC39:BF39)</f>
        <v>9.5838658157735068</v>
      </c>
      <c r="CE39" s="514">
        <f>SUM(BG39:BJ39)</f>
        <v>14.597841317910101</v>
      </c>
      <c r="CF39" s="514">
        <f>SUM(BK39:BN39)</f>
        <v>20.078182035266895</v>
      </c>
    </row>
    <row r="40" spans="1:84">
      <c r="A40" s="422"/>
      <c r="B40" s="418"/>
      <c r="C40" s="534"/>
      <c r="D40" s="534"/>
      <c r="E40" s="534"/>
      <c r="F40" s="534"/>
      <c r="G40" s="534"/>
      <c r="H40" s="534"/>
      <c r="I40" s="534"/>
      <c r="J40" s="534"/>
      <c r="K40" s="534"/>
      <c r="L40" s="534"/>
      <c r="M40" s="534"/>
      <c r="N40" s="534"/>
      <c r="O40" s="534"/>
      <c r="P40" s="534"/>
      <c r="Q40" s="534"/>
      <c r="R40" s="534"/>
      <c r="S40" s="534"/>
      <c r="T40" s="534"/>
      <c r="U40" s="535"/>
      <c r="V40" s="535"/>
      <c r="W40" s="535"/>
      <c r="X40" s="535"/>
      <c r="Y40" s="535"/>
      <c r="Z40" s="535"/>
      <c r="AA40" s="535"/>
      <c r="AB40" s="535"/>
      <c r="AC40" s="535"/>
      <c r="AD40" s="535"/>
      <c r="AE40" s="535"/>
      <c r="AF40" s="537"/>
      <c r="AG40" s="537"/>
      <c r="AH40" s="537"/>
      <c r="AI40" s="537"/>
      <c r="AJ40" s="537"/>
      <c r="AK40" s="537"/>
      <c r="AL40" s="537"/>
      <c r="AM40" s="537"/>
      <c r="AN40" s="537"/>
      <c r="AO40" s="537"/>
      <c r="AP40" s="537"/>
      <c r="AQ40" s="537"/>
      <c r="AR40" s="537"/>
      <c r="AS40" s="538"/>
      <c r="AT40" s="538"/>
      <c r="AU40" s="538"/>
      <c r="AV40" s="538"/>
      <c r="AW40" s="539"/>
      <c r="AX40" s="539"/>
      <c r="AY40" s="539"/>
      <c r="AZ40" s="539"/>
      <c r="BA40" s="539"/>
      <c r="BB40" s="539"/>
      <c r="BC40" s="539"/>
      <c r="BD40" s="539"/>
      <c r="BE40" s="539"/>
      <c r="BF40" s="539"/>
      <c r="BG40" s="539"/>
      <c r="BH40" s="539"/>
      <c r="BI40" s="539"/>
      <c r="BJ40" s="539"/>
      <c r="BK40" s="539"/>
      <c r="BL40" s="539"/>
      <c r="BM40" s="539"/>
      <c r="BN40" s="539"/>
      <c r="BO40" s="535"/>
      <c r="BP40" s="524"/>
      <c r="BQ40" s="524"/>
      <c r="BR40" s="524"/>
      <c r="BS40" s="524"/>
      <c r="BT40" s="524"/>
      <c r="BU40" s="524"/>
      <c r="BV40" s="524"/>
      <c r="BW40" s="524"/>
      <c r="BX40" s="524"/>
      <c r="BY40" s="524"/>
      <c r="BZ40" s="540"/>
      <c r="CA40" s="540"/>
      <c r="CB40" s="540"/>
      <c r="CC40" s="540"/>
      <c r="CD40" s="540"/>
      <c r="CE40" s="540"/>
      <c r="CF40" s="540"/>
    </row>
    <row r="41" spans="1:84" s="419" customFormat="1">
      <c r="A41" s="507" t="s">
        <v>102</v>
      </c>
      <c r="B41" s="507">
        <f>Drivers!B198</f>
        <v>-2</v>
      </c>
      <c r="C41" s="507">
        <f>Drivers!C198</f>
        <v>0</v>
      </c>
      <c r="D41" s="507">
        <f>Drivers!D198</f>
        <v>6</v>
      </c>
      <c r="E41" s="507">
        <f>Drivers!E198</f>
        <v>0</v>
      </c>
      <c r="F41" s="507">
        <f>Drivers!F198</f>
        <v>4</v>
      </c>
      <c r="G41" s="507">
        <f>Drivers!G198</f>
        <v>3</v>
      </c>
      <c r="H41" s="507">
        <f>Drivers!H198</f>
        <v>-6</v>
      </c>
      <c r="I41" s="507">
        <f>Drivers!I198</f>
        <v>-10</v>
      </c>
      <c r="J41" s="507">
        <f>Drivers!J198</f>
        <v>-4</v>
      </c>
      <c r="K41" s="507">
        <f>Drivers!K198</f>
        <v>-5</v>
      </c>
      <c r="L41" s="507">
        <f>Drivers!L198</f>
        <v>-4</v>
      </c>
      <c r="M41" s="507">
        <f>Drivers!M198</f>
        <v>-8</v>
      </c>
      <c r="N41" s="507">
        <f>Drivers!N198</f>
        <v>-4</v>
      </c>
      <c r="O41" s="507">
        <f>Drivers!O198</f>
        <v>-5</v>
      </c>
      <c r="P41" s="507">
        <f>Drivers!P198</f>
        <v>-8</v>
      </c>
      <c r="Q41" s="507">
        <f>Drivers!Q198</f>
        <v>-6</v>
      </c>
      <c r="R41" s="507">
        <f>Drivers!R198</f>
        <v>-7</v>
      </c>
      <c r="S41" s="507">
        <f>Drivers!S198</f>
        <v>-8</v>
      </c>
      <c r="T41" s="507">
        <f>Drivers!T198</f>
        <v>-6</v>
      </c>
      <c r="U41" s="507">
        <f>Drivers!U198</f>
        <v>-6</v>
      </c>
      <c r="V41" s="507">
        <f>Drivers!V198</f>
        <v>-3</v>
      </c>
      <c r="W41" s="507">
        <f>Drivers!W198</f>
        <v>-3</v>
      </c>
      <c r="X41" s="507">
        <f>Drivers!X198</f>
        <v>-9</v>
      </c>
      <c r="Y41" s="507">
        <f>Drivers!Y198</f>
        <v>1</v>
      </c>
      <c r="Z41" s="507">
        <f>Drivers!Z198</f>
        <v>-10</v>
      </c>
      <c r="AA41" s="507">
        <f>Drivers!AA198</f>
        <v>-8</v>
      </c>
      <c r="AB41" s="507">
        <f>Drivers!AB198</f>
        <v>-3</v>
      </c>
      <c r="AC41" s="507">
        <f>Drivers!AC198</f>
        <v>-2</v>
      </c>
      <c r="AD41" s="507">
        <f>Drivers!AD198</f>
        <v>-1</v>
      </c>
      <c r="AE41" s="507">
        <f>Drivers!AE198</f>
        <v>6</v>
      </c>
      <c r="AF41" s="507">
        <f>Drivers!AF198</f>
        <v>3</v>
      </c>
      <c r="AG41" s="507">
        <f>Drivers!AG198</f>
        <v>5</v>
      </c>
      <c r="AH41" s="507">
        <f>Drivers!AH198</f>
        <v>1</v>
      </c>
      <c r="AI41" s="507">
        <f>Drivers!AI198</f>
        <v>19</v>
      </c>
      <c r="AJ41" s="507">
        <f>Drivers!AJ198</f>
        <v>18</v>
      </c>
      <c r="AK41" s="507">
        <f>Drivers!AK198</f>
        <v>23</v>
      </c>
      <c r="AL41" s="507">
        <f>Drivers!AL198</f>
        <v>23</v>
      </c>
      <c r="AM41" s="507">
        <f>Drivers!AM198</f>
        <v>21</v>
      </c>
      <c r="AN41" s="507">
        <f>Drivers!AN198</f>
        <v>16</v>
      </c>
      <c r="AO41" s="507">
        <f>Drivers!AO198</f>
        <v>13</v>
      </c>
      <c r="AP41" s="507">
        <f>Drivers!AP198</f>
        <v>13</v>
      </c>
      <c r="AQ41" s="507">
        <f>Drivers!AQ198</f>
        <v>-3</v>
      </c>
      <c r="AR41" s="507">
        <f>Drivers!AR198</f>
        <v>-10</v>
      </c>
      <c r="AS41" s="507">
        <f>Drivers!AS198</f>
        <v>-6</v>
      </c>
      <c r="AT41" s="507">
        <f>Drivers!AT198</f>
        <v>-10</v>
      </c>
      <c r="AU41" s="507">
        <f>Drivers!AU198</f>
        <v>-14</v>
      </c>
      <c r="AV41" s="507">
        <f>Drivers!AV198</f>
        <v>-14</v>
      </c>
      <c r="AW41" s="507">
        <f>AW30+AW39</f>
        <v>-19.457702213563255</v>
      </c>
      <c r="AX41" s="507">
        <f>AX30+AX39</f>
        <v>-17.756469142365283</v>
      </c>
      <c r="AY41" s="507">
        <f t="shared" ref="AY41:BF41" si="125">AY30+AY39</f>
        <v>-16.863523277751078</v>
      </c>
      <c r="AZ41" s="507">
        <f t="shared" si="125"/>
        <v>-15.45395926144759</v>
      </c>
      <c r="BA41" s="507">
        <f t="shared" si="125"/>
        <v>-19.46261883899999</v>
      </c>
      <c r="BB41" s="507">
        <f t="shared" si="125"/>
        <v>-17.526112581735635</v>
      </c>
      <c r="BC41" s="507">
        <f t="shared" si="125"/>
        <v>-17.257624756969001</v>
      </c>
      <c r="BD41" s="507">
        <f>BD30+BD39</f>
        <v>-17.253445557962326</v>
      </c>
      <c r="BE41" s="507">
        <f t="shared" si="125"/>
        <v>-17.266013746096519</v>
      </c>
      <c r="BF41" s="507">
        <f t="shared" si="125"/>
        <v>-16.346850123198642</v>
      </c>
      <c r="BG41" s="507">
        <f t="shared" ref="BG41:BN41" si="126">BG30+BG39</f>
        <v>-16.075336835362151</v>
      </c>
      <c r="BH41" s="507">
        <f t="shared" si="126"/>
        <v>-16.030425001799404</v>
      </c>
      <c r="BI41" s="507">
        <f t="shared" si="126"/>
        <v>-16.000324567655404</v>
      </c>
      <c r="BJ41" s="507">
        <f t="shared" si="126"/>
        <v>-15.003872277272929</v>
      </c>
      <c r="BK41" s="507">
        <f t="shared" si="126"/>
        <v>-14.705523419624477</v>
      </c>
      <c r="BL41" s="507">
        <f t="shared" si="126"/>
        <v>-14.647681985000178</v>
      </c>
      <c r="BM41" s="507">
        <f t="shared" si="126"/>
        <v>-14.647254403099232</v>
      </c>
      <c r="BN41" s="507">
        <f t="shared" si="126"/>
        <v>-13.629158157009208</v>
      </c>
      <c r="BO41" s="507"/>
      <c r="BP41" s="518">
        <v>6</v>
      </c>
      <c r="BQ41" s="514">
        <f>SUM(C41:F41)</f>
        <v>10</v>
      </c>
      <c r="BR41" s="514">
        <f>SUM(G41:J41)</f>
        <v>-17</v>
      </c>
      <c r="BS41" s="514">
        <f>SUM(K41:N41)</f>
        <v>-21</v>
      </c>
      <c r="BT41" s="514">
        <f>SUM(O41:R41)</f>
        <v>-26</v>
      </c>
      <c r="BU41" s="514">
        <f>SUM(S41:V41)</f>
        <v>-23</v>
      </c>
      <c r="BV41" s="515">
        <f>SUM(W41:Z41)</f>
        <v>-21</v>
      </c>
      <c r="BW41" s="515">
        <f>SUM(AA41:AD41)</f>
        <v>-14</v>
      </c>
      <c r="BX41" s="515">
        <f>SUM(AE41:AH41)</f>
        <v>15</v>
      </c>
      <c r="BY41" s="514">
        <f>SUM(AI41:AL41)</f>
        <v>83</v>
      </c>
      <c r="BZ41" s="514">
        <f>SUM(AM41:AP41)</f>
        <v>63</v>
      </c>
      <c r="CA41" s="514">
        <f>SUM(AQ41:AT41)</f>
        <v>-29</v>
      </c>
      <c r="CB41" s="514">
        <f>SUM(AU41:AX41)</f>
        <v>-65.214171355928528</v>
      </c>
      <c r="CC41" s="514">
        <f>SUM(AY41:BB41)</f>
        <v>-69.306213959934283</v>
      </c>
      <c r="CD41" s="514">
        <f>SUM(BC41:BF41)</f>
        <v>-68.123934184226499</v>
      </c>
      <c r="CE41" s="514">
        <f>SUM(BG41:BJ41)</f>
        <v>-63.109958682089882</v>
      </c>
      <c r="CF41" s="514">
        <f>SUM(BK41:BN41)</f>
        <v>-57.629617964733093</v>
      </c>
    </row>
    <row r="42" spans="1:84">
      <c r="A42" s="422"/>
      <c r="B42" s="422"/>
      <c r="C42" s="422"/>
      <c r="D42" s="422"/>
      <c r="E42" s="422"/>
      <c r="F42" s="422"/>
      <c r="G42" s="422"/>
      <c r="H42" s="422"/>
      <c r="I42" s="422"/>
      <c r="J42" s="422"/>
      <c r="K42" s="422"/>
      <c r="L42" s="422"/>
      <c r="M42" s="422"/>
      <c r="N42" s="422"/>
      <c r="O42" s="422"/>
      <c r="P42" s="422"/>
      <c r="Q42" s="422"/>
      <c r="R42" s="422"/>
      <c r="S42" s="422"/>
      <c r="T42" s="422"/>
      <c r="U42" s="422"/>
      <c r="V42" s="422"/>
      <c r="W42" s="422"/>
      <c r="X42" s="422"/>
      <c r="Y42" s="422"/>
      <c r="Z42" s="422"/>
      <c r="AA42" s="537"/>
      <c r="AB42" s="537"/>
      <c r="AC42" s="537"/>
      <c r="AD42" s="537"/>
      <c r="AE42" s="537"/>
      <c r="AF42" s="422"/>
      <c r="AG42" s="422"/>
      <c r="AH42" s="422"/>
      <c r="AI42" s="422"/>
      <c r="AJ42" s="422"/>
      <c r="AK42" s="422"/>
      <c r="AL42" s="422"/>
      <c r="AM42" s="422"/>
      <c r="AN42" s="422"/>
      <c r="AO42" s="422"/>
      <c r="AP42" s="422"/>
      <c r="AQ42" s="422"/>
      <c r="AR42" s="422"/>
      <c r="AS42" s="422"/>
      <c r="AT42" s="422"/>
      <c r="AU42" s="422"/>
      <c r="AV42" s="422"/>
      <c r="AW42" s="422"/>
      <c r="AX42" s="422"/>
      <c r="AY42" s="422"/>
      <c r="AZ42" s="422"/>
      <c r="BA42" s="422"/>
      <c r="BB42" s="422"/>
      <c r="BC42" s="422"/>
      <c r="BD42" s="422"/>
      <c r="BE42" s="422"/>
      <c r="BF42" s="422"/>
      <c r="BG42" s="422"/>
      <c r="BH42" s="422"/>
      <c r="BI42" s="422"/>
      <c r="BJ42" s="422"/>
      <c r="BK42" s="422"/>
      <c r="BL42" s="422"/>
      <c r="BM42" s="422"/>
      <c r="BN42" s="422"/>
      <c r="BO42" s="422"/>
      <c r="BP42" s="418"/>
      <c r="BQ42" s="418"/>
      <c r="BR42" s="418"/>
      <c r="BS42" s="418"/>
      <c r="BT42" s="418"/>
      <c r="BU42" s="418"/>
      <c r="BV42" s="422"/>
      <c r="BW42" s="422"/>
      <c r="BX42" s="422"/>
      <c r="BY42" s="418"/>
      <c r="BZ42" s="418"/>
      <c r="CA42" s="418"/>
      <c r="CB42" s="418"/>
      <c r="CC42" s="418"/>
      <c r="CD42" s="418"/>
      <c r="CE42" s="418"/>
      <c r="CF42" s="418"/>
    </row>
    <row r="43" spans="1:84">
      <c r="A43" s="422"/>
      <c r="B43" s="422"/>
      <c r="C43" s="422"/>
      <c r="D43" s="422"/>
      <c r="E43" s="422"/>
      <c r="F43" s="422"/>
      <c r="G43" s="422"/>
      <c r="H43" s="422"/>
      <c r="I43" s="422"/>
      <c r="J43" s="422"/>
      <c r="K43" s="422"/>
      <c r="L43" s="422"/>
      <c r="M43" s="422"/>
      <c r="N43" s="422"/>
      <c r="O43" s="422"/>
      <c r="P43" s="422"/>
      <c r="Q43" s="422"/>
      <c r="R43" s="422"/>
      <c r="S43" s="422"/>
      <c r="T43" s="422"/>
      <c r="U43" s="422"/>
      <c r="V43" s="422"/>
      <c r="W43" s="422"/>
      <c r="X43" s="422"/>
      <c r="Y43" s="422"/>
      <c r="Z43" s="422"/>
      <c r="AA43" s="422"/>
      <c r="AB43" s="422"/>
      <c r="AC43" s="422"/>
      <c r="AD43" s="422"/>
      <c r="AE43" s="422"/>
      <c r="AF43" s="422"/>
      <c r="AG43" s="422"/>
      <c r="AH43" s="422"/>
      <c r="AI43" s="422"/>
      <c r="AJ43" s="422"/>
      <c r="AK43" s="422"/>
      <c r="AL43" s="422"/>
      <c r="AM43" s="422"/>
      <c r="AN43" s="422"/>
      <c r="AO43" s="422"/>
      <c r="AP43" s="422"/>
      <c r="AQ43" s="422"/>
      <c r="AR43" s="422"/>
      <c r="AS43" s="422"/>
      <c r="AT43" s="422"/>
      <c r="AU43" s="422"/>
      <c r="AV43" s="422"/>
      <c r="AW43" s="422"/>
      <c r="AX43" s="422"/>
      <c r="AY43" s="422"/>
      <c r="AZ43" s="422"/>
      <c r="BA43" s="422"/>
      <c r="BB43" s="422"/>
      <c r="BC43" s="422"/>
      <c r="BD43" s="422"/>
      <c r="BE43" s="422"/>
      <c r="BF43" s="422"/>
      <c r="BG43" s="422"/>
      <c r="BH43" s="422"/>
      <c r="BI43" s="422"/>
      <c r="BJ43" s="422"/>
      <c r="BK43" s="422"/>
      <c r="BL43" s="422"/>
      <c r="BM43" s="422"/>
      <c r="BN43" s="422"/>
      <c r="BO43" s="422"/>
      <c r="BP43" s="418"/>
      <c r="BQ43" s="418"/>
      <c r="BR43" s="418"/>
      <c r="BS43" s="418"/>
      <c r="BT43" s="418"/>
      <c r="BU43" s="418"/>
      <c r="BV43" s="422"/>
      <c r="BW43" s="422"/>
      <c r="BX43" s="422"/>
      <c r="BY43" s="418"/>
      <c r="BZ43" s="418"/>
      <c r="CA43" s="418"/>
      <c r="CB43" s="418"/>
      <c r="CC43" s="418"/>
      <c r="CD43" s="418"/>
      <c r="CE43" s="418"/>
      <c r="CF43" s="418"/>
    </row>
    <row r="44" spans="1:84">
      <c r="A44" s="421" t="s">
        <v>100</v>
      </c>
      <c r="B44" s="422" t="s">
        <v>153</v>
      </c>
      <c r="C44" s="422" t="s">
        <v>154</v>
      </c>
      <c r="D44" s="422" t="s">
        <v>187</v>
      </c>
      <c r="E44" s="422" t="s">
        <v>188</v>
      </c>
      <c r="F44" s="422" t="s">
        <v>189</v>
      </c>
      <c r="G44" s="422" t="s">
        <v>200</v>
      </c>
      <c r="H44" s="422"/>
      <c r="I44" s="422"/>
      <c r="J44" s="422"/>
      <c r="K44" s="422"/>
      <c r="L44" s="422"/>
      <c r="M44" s="422"/>
      <c r="N44" s="422"/>
      <c r="O44" s="422"/>
      <c r="P44" s="422"/>
      <c r="Q44" s="422"/>
      <c r="R44" s="422"/>
      <c r="S44" s="422"/>
      <c r="T44" s="422"/>
      <c r="U44" s="422"/>
      <c r="V44" s="422"/>
      <c r="W44" s="422"/>
      <c r="X44" s="422"/>
      <c r="Y44" s="422"/>
      <c r="Z44" s="422"/>
      <c r="AA44" s="422"/>
      <c r="AB44" s="422"/>
      <c r="AC44" s="422"/>
      <c r="AD44" s="422"/>
      <c r="AE44" s="422"/>
      <c r="AF44" s="422"/>
      <c r="AG44" s="422"/>
      <c r="AH44" s="422"/>
      <c r="AI44" s="422"/>
      <c r="AJ44" s="422"/>
      <c r="AK44" s="422"/>
      <c r="AL44" s="422"/>
      <c r="AM44" s="422"/>
      <c r="AN44" s="422"/>
      <c r="AO44" s="422"/>
      <c r="AP44" s="422"/>
      <c r="AQ44" s="422"/>
      <c r="AR44" s="422"/>
      <c r="AS44" s="422"/>
      <c r="AT44" s="422"/>
      <c r="AU44" s="422"/>
      <c r="AV44" s="422"/>
      <c r="AW44" s="422"/>
      <c r="AX44" s="422"/>
      <c r="AY44" s="422"/>
      <c r="AZ44" s="422"/>
      <c r="BA44" s="422"/>
      <c r="BB44" s="422"/>
      <c r="BC44" s="422"/>
      <c r="BD44" s="422"/>
      <c r="BE44" s="422"/>
      <c r="BF44" s="422"/>
      <c r="BG44" s="422"/>
      <c r="BH44" s="422"/>
      <c r="BI44" s="422"/>
      <c r="BJ44" s="422"/>
      <c r="BK44" s="422"/>
      <c r="BL44" s="422"/>
      <c r="BM44" s="422"/>
      <c r="BN44" s="422"/>
      <c r="BO44" s="422"/>
      <c r="BP44" s="418"/>
      <c r="BQ44" s="418"/>
      <c r="BR44" s="418"/>
      <c r="BS44" s="418"/>
      <c r="BT44" s="418"/>
      <c r="BU44" s="418"/>
      <c r="BV44" s="422"/>
      <c r="BW44" s="422"/>
      <c r="BX44" s="422"/>
      <c r="BY44" s="418"/>
      <c r="BZ44" s="418"/>
      <c r="CA44" s="418"/>
      <c r="CB44" s="418"/>
      <c r="CC44" s="418"/>
      <c r="CD44" s="418"/>
      <c r="CE44" s="418"/>
      <c r="CF44" s="418"/>
    </row>
    <row r="45" spans="1:84">
      <c r="A45" s="422" t="s">
        <v>152</v>
      </c>
      <c r="B45" s="541">
        <v>632.5</v>
      </c>
      <c r="C45" s="542" t="s">
        <v>190</v>
      </c>
      <c r="D45" s="543">
        <v>7.4999999999999997E-3</v>
      </c>
      <c r="E45" s="544">
        <v>0.97750000000000004</v>
      </c>
      <c r="F45" s="545">
        <f>(B45-525)/20+(B45-E45*B45)/20</f>
        <v>6.0865624999999968</v>
      </c>
      <c r="G45" s="422"/>
      <c r="H45" s="422"/>
      <c r="I45" s="422"/>
      <c r="J45" s="422"/>
      <c r="K45" s="422"/>
      <c r="L45" s="422"/>
      <c r="M45" s="422"/>
      <c r="N45" s="422"/>
      <c r="O45" s="422"/>
      <c r="P45" s="422"/>
      <c r="Q45" s="422"/>
      <c r="R45" s="422"/>
      <c r="S45" s="422"/>
      <c r="T45" s="422"/>
      <c r="U45" s="422"/>
      <c r="V45" s="422"/>
      <c r="W45" s="422"/>
      <c r="X45" s="422"/>
      <c r="Y45" s="422"/>
      <c r="Z45" s="422"/>
      <c r="AA45" s="422"/>
      <c r="AB45" s="422"/>
      <c r="AC45" s="422"/>
      <c r="AD45" s="422"/>
      <c r="AE45" s="422"/>
      <c r="AF45" s="422"/>
      <c r="AG45" s="422"/>
      <c r="AH45" s="422"/>
      <c r="AI45" s="422"/>
      <c r="AJ45" s="422"/>
      <c r="AK45" s="422"/>
      <c r="AL45" s="422"/>
      <c r="AM45" s="422"/>
      <c r="AN45" s="422"/>
      <c r="AO45" s="422"/>
      <c r="AP45" s="422"/>
      <c r="AQ45" s="422"/>
      <c r="AR45" s="422"/>
      <c r="AS45" s="422"/>
      <c r="AT45" s="422"/>
      <c r="AU45" s="422"/>
      <c r="AV45" s="422"/>
      <c r="AW45" s="422"/>
      <c r="AX45" s="422"/>
      <c r="AY45" s="422"/>
      <c r="AZ45" s="422"/>
      <c r="BA45" s="422"/>
      <c r="BB45" s="422"/>
      <c r="BC45" s="422"/>
      <c r="BD45" s="422"/>
      <c r="BE45" s="422"/>
      <c r="BF45" s="422"/>
      <c r="BG45" s="422"/>
      <c r="BH45" s="422"/>
      <c r="BI45" s="422"/>
      <c r="BJ45" s="422"/>
      <c r="BK45" s="422"/>
      <c r="BL45" s="422"/>
      <c r="BM45" s="422"/>
      <c r="BN45" s="422"/>
      <c r="BO45" s="422"/>
      <c r="BP45" s="418"/>
      <c r="BQ45" s="418"/>
      <c r="BR45" s="418"/>
      <c r="BS45" s="418"/>
      <c r="BT45" s="418"/>
      <c r="BU45" s="418"/>
      <c r="BV45" s="422"/>
      <c r="BW45" s="422"/>
      <c r="BX45" s="422"/>
      <c r="BY45" s="418"/>
      <c r="BZ45" s="418"/>
      <c r="CA45" s="418"/>
      <c r="CB45" s="418"/>
      <c r="CC45" s="418"/>
      <c r="CD45" s="418"/>
      <c r="CE45" s="418"/>
      <c r="CF45" s="418"/>
    </row>
    <row r="46" spans="1:84">
      <c r="A46" s="422" t="s">
        <v>180</v>
      </c>
      <c r="B46" s="546">
        <v>600</v>
      </c>
      <c r="C46" s="542" t="s">
        <v>182</v>
      </c>
      <c r="D46" s="544">
        <v>3.6999999999999998E-2</v>
      </c>
      <c r="E46" s="544">
        <v>0.99850000000000005</v>
      </c>
      <c r="F46" s="545">
        <f>(B46-E46*B46)/20</f>
        <v>4.499999999999886E-2</v>
      </c>
      <c r="G46" s="547">
        <v>44256</v>
      </c>
    </row>
    <row r="47" spans="1:84">
      <c r="A47" s="422" t="s">
        <v>181</v>
      </c>
      <c r="B47" s="546">
        <v>400</v>
      </c>
      <c r="C47" s="542" t="s">
        <v>183</v>
      </c>
      <c r="D47" s="544">
        <v>4.8000000000000001E-2</v>
      </c>
      <c r="E47" s="544">
        <v>0.99668999999999996</v>
      </c>
      <c r="F47" s="545">
        <f>(B47-E47*B47)/40</f>
        <v>3.310000000000031E-2</v>
      </c>
      <c r="G47" s="547">
        <v>46082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">
    <pageSetUpPr fitToPage="1"/>
  </sheetPr>
  <dimension ref="A1:AH109"/>
  <sheetViews>
    <sheetView showGridLines="0" topLeftCell="A12" zoomScaleNormal="100" workbookViewId="0">
      <selection activeCell="G24" sqref="G24"/>
    </sheetView>
  </sheetViews>
  <sheetFormatPr baseColWidth="10" defaultColWidth="9" defaultRowHeight="16"/>
  <cols>
    <col min="1" max="1" width="20.1640625" style="394" customWidth="1"/>
    <col min="2" max="10" width="6.1640625" style="394" customWidth="1"/>
    <col min="11" max="11" width="5.6640625" style="394" customWidth="1"/>
    <col min="12" max="15" width="5.6640625" style="394"/>
    <col min="16" max="16" width="6.6640625" style="394" bestFit="1" customWidth="1"/>
    <col min="17" max="19" width="6" style="394" customWidth="1"/>
    <col min="20" max="16384" width="9" style="394"/>
  </cols>
  <sheetData>
    <row r="1" spans="1:34">
      <c r="A1" s="309" t="s">
        <v>499</v>
      </c>
    </row>
    <row r="2" spans="1:34">
      <c r="A2" s="394" t="s">
        <v>504</v>
      </c>
    </row>
    <row r="3" spans="1:34">
      <c r="A3" s="444" t="s">
        <v>312</v>
      </c>
    </row>
    <row r="4" spans="1:34">
      <c r="A4" s="309" t="s">
        <v>386</v>
      </c>
      <c r="B4" s="309"/>
      <c r="C4" s="309"/>
      <c r="D4" s="432"/>
      <c r="E4" s="309"/>
      <c r="F4" s="309"/>
      <c r="G4" s="309"/>
      <c r="H4" s="309"/>
      <c r="I4" s="309"/>
      <c r="J4" s="309"/>
      <c r="K4" s="309"/>
      <c r="L4" s="309"/>
      <c r="M4" s="309"/>
      <c r="N4" s="309"/>
      <c r="O4" s="309"/>
      <c r="P4" s="309"/>
      <c r="Q4" s="309"/>
      <c r="R4" s="309"/>
      <c r="S4" s="309"/>
    </row>
    <row r="5" spans="1:34">
      <c r="B5" s="445">
        <f>Model!BX4</f>
        <v>43160</v>
      </c>
      <c r="C5" s="445">
        <f>Model!BY4</f>
        <v>43555</v>
      </c>
      <c r="D5" s="445">
        <f>Model!BZ4</f>
        <v>43921</v>
      </c>
      <c r="E5" s="445">
        <f>Model!CA4</f>
        <v>44286</v>
      </c>
      <c r="F5" s="445" t="str">
        <f>Model!CB4</f>
        <v>Mar 22E</v>
      </c>
      <c r="G5" s="445">
        <f>Model!CC4</f>
        <v>45016</v>
      </c>
      <c r="H5" s="445">
        <f>Model!CD4</f>
        <v>45382</v>
      </c>
      <c r="I5" s="445">
        <f>Model!CE4</f>
        <v>45747</v>
      </c>
      <c r="J5" s="445">
        <f>Model!CF4</f>
        <v>46112</v>
      </c>
    </row>
    <row r="6" spans="1:34">
      <c r="B6" s="446" t="str">
        <f>Model!BX5</f>
        <v>F2018</v>
      </c>
      <c r="C6" s="446" t="str">
        <f>Model!BY5</f>
        <v>FY2019</v>
      </c>
      <c r="D6" s="446" t="str">
        <f>Model!BZ5</f>
        <v>FY2020</v>
      </c>
      <c r="E6" s="446" t="str">
        <f>Model!CA5</f>
        <v>FY2021</v>
      </c>
      <c r="F6" s="446" t="str">
        <f>Model!CB5</f>
        <v>FY2022E</v>
      </c>
      <c r="G6" s="446" t="str">
        <f>Model!CC5</f>
        <v>FY2023E</v>
      </c>
      <c r="H6" s="446" t="str">
        <f>Model!CD5</f>
        <v>FY2024E</v>
      </c>
      <c r="I6" s="446" t="str">
        <f>Model!CE5</f>
        <v>FY2025E</v>
      </c>
      <c r="J6" s="446" t="str">
        <f>Model!CF5</f>
        <v>FY2026E</v>
      </c>
    </row>
    <row r="7" spans="1:34" ht="17" thickBot="1">
      <c r="A7" s="423" t="s">
        <v>387</v>
      </c>
      <c r="B7" s="424"/>
      <c r="C7" s="424"/>
      <c r="D7" s="424"/>
      <c r="E7" s="424"/>
      <c r="F7" s="424"/>
      <c r="G7" s="424"/>
      <c r="H7" s="424"/>
      <c r="I7" s="424"/>
    </row>
    <row r="8" spans="1:34">
      <c r="A8" s="394" t="s">
        <v>380</v>
      </c>
      <c r="B8" s="425">
        <f>Model!BX9</f>
        <v>5180</v>
      </c>
      <c r="C8" s="425">
        <f>Model!BY9</f>
        <v>4944</v>
      </c>
      <c r="D8" s="425">
        <f>Model!BZ9</f>
        <v>5372</v>
      </c>
      <c r="E8" s="425">
        <f>Model!CA9</f>
        <v>6190</v>
      </c>
      <c r="F8" s="425">
        <f>Model!CB9</f>
        <v>7620.0806249999996</v>
      </c>
      <c r="G8" s="425">
        <f>Model!CC9</f>
        <v>8050.3377238647909</v>
      </c>
      <c r="H8" s="425">
        <f>Model!CD9</f>
        <v>8334.9986497916143</v>
      </c>
      <c r="I8" s="425">
        <f>Model!CE9</f>
        <v>9244.1656220368441</v>
      </c>
      <c r="J8" s="426">
        <f>Model!CF9</f>
        <v>9334.8961643746843</v>
      </c>
      <c r="L8" s="447" t="s">
        <v>481</v>
      </c>
      <c r="M8" s="448"/>
      <c r="N8" s="448"/>
      <c r="O8" s="448"/>
      <c r="P8" s="449"/>
      <c r="Q8" s="450"/>
      <c r="R8" s="451" t="s">
        <v>473</v>
      </c>
      <c r="S8" s="451" t="s">
        <v>474</v>
      </c>
      <c r="U8" s="423"/>
      <c r="V8" s="452"/>
      <c r="W8" s="452"/>
      <c r="X8" s="452"/>
      <c r="Y8" s="424"/>
      <c r="AA8" s="453"/>
    </row>
    <row r="9" spans="1:34" ht="12.75" customHeight="1">
      <c r="A9" s="394" t="s">
        <v>375</v>
      </c>
      <c r="B9" s="426">
        <f>Model!BX19</f>
        <v>1852.1602522615385</v>
      </c>
      <c r="C9" s="426">
        <f>Model!BY19</f>
        <v>1648</v>
      </c>
      <c r="D9" s="426">
        <f>Model!BZ19</f>
        <v>1977</v>
      </c>
      <c r="E9" s="426">
        <f>Model!CA19</f>
        <v>2257</v>
      </c>
      <c r="F9" s="426">
        <f>Model!CB19</f>
        <v>2904.4869853496275</v>
      </c>
      <c r="G9" s="426">
        <f>Model!CC19</f>
        <v>2999.9678707163944</v>
      </c>
      <c r="H9" s="426">
        <f>Model!CD19</f>
        <v>3177.1029955708691</v>
      </c>
      <c r="I9" s="426">
        <f>Model!CE19</f>
        <v>3534.1504707511085</v>
      </c>
      <c r="J9" s="427">
        <f>Model!CF19</f>
        <v>3626.8219799108047</v>
      </c>
      <c r="L9" s="428" t="s">
        <v>482</v>
      </c>
      <c r="P9" s="454">
        <f>AVERAGE(G11:H11)</f>
        <v>1824.1771543117759</v>
      </c>
      <c r="Q9" s="455"/>
      <c r="R9" s="456">
        <f>P9*1.1</f>
        <v>2006.5948697429537</v>
      </c>
      <c r="S9" s="456">
        <f>P9*0.9</f>
        <v>1641.7594388805983</v>
      </c>
      <c r="V9" s="457"/>
      <c r="W9" s="457"/>
      <c r="X9" s="457"/>
      <c r="AA9" s="458"/>
    </row>
    <row r="10" spans="1:34">
      <c r="A10" s="394" t="s">
        <v>388</v>
      </c>
      <c r="B10" s="427">
        <f>CF!BX77</f>
        <v>1543.96225</v>
      </c>
      <c r="C10" s="427">
        <f>CF!BY77</f>
        <v>1428</v>
      </c>
      <c r="D10" s="427">
        <f>CF!BZ77</f>
        <v>1656.4384375</v>
      </c>
      <c r="E10" s="427">
        <f>CF!CA77</f>
        <v>1804.3843750000001</v>
      </c>
      <c r="F10" s="427">
        <f>CF!CB77</f>
        <v>1744.0682308947489</v>
      </c>
      <c r="G10" s="427">
        <f>CF!CC77</f>
        <v>2415.6961258657061</v>
      </c>
      <c r="H10" s="427">
        <f>CF!CD77</f>
        <v>2477.4328751799144</v>
      </c>
      <c r="I10" s="427">
        <f>CF!CE77</f>
        <v>2831.9371763594427</v>
      </c>
      <c r="J10" s="427">
        <f>CF!CF77</f>
        <v>2894.8306316900075</v>
      </c>
      <c r="L10" s="428" t="s">
        <v>402</v>
      </c>
      <c r="P10" s="459">
        <v>15</v>
      </c>
      <c r="Q10" s="460"/>
      <c r="R10" s="456">
        <v>32</v>
      </c>
      <c r="S10" s="456">
        <v>20</v>
      </c>
      <c r="U10" s="461"/>
      <c r="V10" s="462"/>
      <c r="W10" s="462"/>
      <c r="X10" s="462"/>
      <c r="AA10" s="462"/>
    </row>
    <row r="11" spans="1:34" ht="12.75" customHeight="1">
      <c r="A11" s="394" t="s">
        <v>389</v>
      </c>
      <c r="B11" s="427">
        <f>CF!BX81</f>
        <v>1301.96225</v>
      </c>
      <c r="C11" s="427">
        <f>CF!BY81</f>
        <v>1144</v>
      </c>
      <c r="D11" s="427">
        <f>CF!BZ81</f>
        <v>1309.4384375</v>
      </c>
      <c r="E11" s="427">
        <f>CF!CA81</f>
        <v>1369.3843750000001</v>
      </c>
      <c r="F11" s="427">
        <f>CF!CB81</f>
        <v>1166.4546023792168</v>
      </c>
      <c r="G11" s="427">
        <f>CF!CC81</f>
        <v>1797.0789621113149</v>
      </c>
      <c r="H11" s="427">
        <f>CF!CD81</f>
        <v>1851.2753465122369</v>
      </c>
      <c r="I11" s="427">
        <f>CF!CE81</f>
        <v>2146.9256124381318</v>
      </c>
      <c r="J11" s="427">
        <f>CF!CF81</f>
        <v>2215.276488060571</v>
      </c>
      <c r="L11" s="429" t="s">
        <v>394</v>
      </c>
      <c r="P11" s="430">
        <f>P9*P10</f>
        <v>27362.657314676639</v>
      </c>
      <c r="Q11" s="431"/>
      <c r="R11" s="463">
        <f>R9*R10</f>
        <v>64211.035831774519</v>
      </c>
      <c r="S11" s="463">
        <f>S9*S10</f>
        <v>32835.188777611969</v>
      </c>
      <c r="U11" s="464"/>
      <c r="V11" s="465"/>
      <c r="W11" s="465"/>
      <c r="X11" s="465"/>
      <c r="AA11" s="462"/>
      <c r="AE11" s="466"/>
    </row>
    <row r="12" spans="1:34">
      <c r="A12" s="394" t="s">
        <v>288</v>
      </c>
      <c r="B12" s="467">
        <f>Model!BX32</f>
        <v>4.3869016817533772</v>
      </c>
      <c r="C12" s="467">
        <f>Model!BY32</f>
        <v>4.2570212765957445</v>
      </c>
      <c r="D12" s="467">
        <f>Model!BZ32</f>
        <v>5.249110922946655</v>
      </c>
      <c r="E12" s="467">
        <f>Model!CA32</f>
        <v>5.7632274678111584</v>
      </c>
      <c r="F12" s="467">
        <f>Model!CB32</f>
        <v>6.9720619743642507</v>
      </c>
      <c r="G12" s="467">
        <f>Model!CC32</f>
        <v>7.4926680035848205</v>
      </c>
      <c r="H12" s="467">
        <f>Model!CD32</f>
        <v>8.1134337280697437</v>
      </c>
      <c r="I12" s="467">
        <f>Model!CE32</f>
        <v>9.1228420305272167</v>
      </c>
      <c r="J12" s="467">
        <f>Model!CF32</f>
        <v>9.3245434187670622</v>
      </c>
      <c r="L12" s="428" t="s">
        <v>403</v>
      </c>
      <c r="M12" s="432"/>
      <c r="N12" s="432"/>
      <c r="O12" s="450"/>
      <c r="P12" s="433">
        <f>AVERAGE(F15:G15)</f>
        <v>-1615.7848014548297</v>
      </c>
      <c r="Q12" s="427"/>
      <c r="R12" s="456">
        <f>P12</f>
        <v>-1615.7848014548297</v>
      </c>
      <c r="S12" s="456">
        <f>P12</f>
        <v>-1615.7848014548297</v>
      </c>
      <c r="U12" s="461"/>
      <c r="V12" s="466"/>
      <c r="W12" s="466"/>
      <c r="X12" s="466"/>
      <c r="AA12" s="462"/>
      <c r="AE12" s="440"/>
      <c r="AF12" s="440"/>
      <c r="AG12" s="440"/>
      <c r="AH12" s="440"/>
    </row>
    <row r="13" spans="1:34">
      <c r="L13" s="428" t="s">
        <v>404</v>
      </c>
      <c r="P13" s="433">
        <f>AVERAGE(F16:G16)</f>
        <v>0</v>
      </c>
      <c r="Q13" s="427"/>
      <c r="R13" s="456">
        <f>P13</f>
        <v>0</v>
      </c>
      <c r="S13" s="456">
        <f>P13</f>
        <v>0</v>
      </c>
      <c r="U13" s="468"/>
      <c r="V13" s="469"/>
      <c r="W13" s="470"/>
      <c r="X13" s="469"/>
      <c r="AA13" s="440"/>
      <c r="AB13" s="440"/>
      <c r="AC13" s="440"/>
      <c r="AD13" s="440"/>
      <c r="AE13" s="440"/>
      <c r="AF13" s="440"/>
      <c r="AG13" s="440"/>
      <c r="AH13" s="440"/>
    </row>
    <row r="14" spans="1:34">
      <c r="A14" s="423" t="s">
        <v>390</v>
      </c>
      <c r="L14" s="429" t="s">
        <v>405</v>
      </c>
      <c r="M14" s="432"/>
      <c r="N14" s="432"/>
      <c r="O14" s="450"/>
      <c r="P14" s="471">
        <f>P11-P12-P13</f>
        <v>28978.442116131468</v>
      </c>
      <c r="Q14" s="472"/>
      <c r="R14" s="473">
        <f>R11-R12+-R13</f>
        <v>65826.820633229348</v>
      </c>
      <c r="S14" s="473">
        <f>S11-S12+-S13</f>
        <v>34450.973579066798</v>
      </c>
      <c r="U14" s="461"/>
      <c r="V14" s="474"/>
      <c r="W14" s="474"/>
      <c r="X14" s="474"/>
      <c r="AA14" s="475"/>
      <c r="AB14" s="475"/>
      <c r="AC14" s="475"/>
      <c r="AD14" s="475"/>
      <c r="AE14" s="475"/>
      <c r="AF14" s="475"/>
      <c r="AG14" s="475"/>
      <c r="AH14" s="475"/>
    </row>
    <row r="15" spans="1:34">
      <c r="A15" s="394" t="s">
        <v>391</v>
      </c>
      <c r="B15" s="427">
        <f>BS!BX48</f>
        <v>-4339</v>
      </c>
      <c r="C15" s="427">
        <f>BS!BY48</f>
        <v>-4451</v>
      </c>
      <c r="D15" s="427">
        <f>BS!BZ48</f>
        <v>-4739</v>
      </c>
      <c r="E15" s="427">
        <f>BS!CA48</f>
        <v>-4490</v>
      </c>
      <c r="F15" s="427">
        <f>BS!CB48</f>
        <v>-1132.858305414115</v>
      </c>
      <c r="G15" s="427">
        <f>BS!CC48</f>
        <v>-2098.7112974955444</v>
      </c>
      <c r="H15" s="427">
        <f>BS!CD48</f>
        <v>-4265.4843352984817</v>
      </c>
      <c r="I15" s="427">
        <f>BS!CE48</f>
        <v>-6775.9343887907216</v>
      </c>
      <c r="J15" s="427">
        <f>BS!CF48</f>
        <v>-9345.0497648664623</v>
      </c>
      <c r="L15" s="428" t="s">
        <v>406</v>
      </c>
      <c r="M15" s="432"/>
      <c r="N15" s="432"/>
      <c r="O15" s="450"/>
      <c r="P15" s="434">
        <f>AVERAGE(F17:G17)</f>
        <v>281.8924313767742</v>
      </c>
      <c r="Q15" s="337"/>
      <c r="R15" s="456">
        <f>P15</f>
        <v>281.8924313767742</v>
      </c>
      <c r="S15" s="456">
        <f>P15</f>
        <v>281.8924313767742</v>
      </c>
      <c r="U15" s="468"/>
      <c r="V15" s="469"/>
      <c r="W15" s="470"/>
      <c r="X15" s="469"/>
      <c r="AA15" s="462"/>
      <c r="AB15" s="462"/>
      <c r="AC15" s="462"/>
      <c r="AD15" s="462"/>
      <c r="AE15" s="462"/>
      <c r="AF15" s="462"/>
      <c r="AG15" s="462"/>
      <c r="AH15" s="462"/>
    </row>
    <row r="16" spans="1:34">
      <c r="A16" s="394" t="s">
        <v>392</v>
      </c>
      <c r="B16" s="394">
        <v>0</v>
      </c>
      <c r="C16" s="394">
        <v>0</v>
      </c>
      <c r="D16" s="394">
        <v>0</v>
      </c>
      <c r="E16" s="394">
        <v>0</v>
      </c>
      <c r="F16" s="394">
        <v>0</v>
      </c>
      <c r="G16" s="394">
        <v>0</v>
      </c>
      <c r="H16" s="394">
        <v>0</v>
      </c>
      <c r="I16" s="394">
        <v>0</v>
      </c>
      <c r="J16" s="394">
        <v>0</v>
      </c>
      <c r="L16" s="435" t="s">
        <v>407</v>
      </c>
      <c r="M16" s="436"/>
      <c r="N16" s="436"/>
      <c r="O16" s="476"/>
      <c r="P16" s="477">
        <f>P14/P15</f>
        <v>102.79964585994583</v>
      </c>
      <c r="Q16" s="478"/>
      <c r="R16" s="473">
        <f>R14/R15</f>
        <v>233.51751698947169</v>
      </c>
      <c r="S16" s="473">
        <f>S14/S15</f>
        <v>122.21319107720214</v>
      </c>
      <c r="U16" s="464"/>
      <c r="V16" s="479"/>
      <c r="W16" s="479"/>
      <c r="X16" s="479"/>
      <c r="Z16" s="480"/>
      <c r="AA16" s="481"/>
      <c r="AB16" s="481"/>
      <c r="AC16" s="481"/>
      <c r="AD16" s="481"/>
      <c r="AE16" s="481"/>
      <c r="AF16" s="481"/>
      <c r="AG16" s="481"/>
      <c r="AH16" s="481"/>
    </row>
    <row r="17" spans="1:34">
      <c r="A17" s="394" t="s">
        <v>393</v>
      </c>
      <c r="B17" s="482">
        <f>Drivers!AH254</f>
        <v>311</v>
      </c>
      <c r="C17" s="482">
        <f>Drivers!AL254</f>
        <v>301</v>
      </c>
      <c r="D17" s="482">
        <f>Drivers!AP254</f>
        <v>292</v>
      </c>
      <c r="E17" s="482">
        <f>Drivers!AT254</f>
        <v>288</v>
      </c>
      <c r="F17" s="482">
        <f>Drivers!AX254</f>
        <v>285.7227450214657</v>
      </c>
      <c r="G17" s="482">
        <f>Drivers!BB254</f>
        <v>278.06211773208264</v>
      </c>
      <c r="H17" s="482">
        <f>Drivers!BF254</f>
        <v>281.86990043360186</v>
      </c>
      <c r="I17" s="482">
        <f>Drivers!BJ254</f>
        <v>285.7108557284937</v>
      </c>
      <c r="J17" s="482">
        <f>Drivers!BN254</f>
        <v>289.24744391288357</v>
      </c>
      <c r="L17" s="428" t="s">
        <v>408</v>
      </c>
      <c r="P17" s="483">
        <v>139.5</v>
      </c>
      <c r="Q17" s="482"/>
      <c r="R17" s="473"/>
      <c r="S17" s="473"/>
      <c r="U17" s="464"/>
      <c r="V17" s="484"/>
      <c r="W17" s="485"/>
      <c r="X17" s="484"/>
      <c r="Z17" s="309"/>
      <c r="AA17" s="486"/>
      <c r="AB17" s="486"/>
      <c r="AC17" s="486"/>
      <c r="AD17" s="486"/>
      <c r="AE17" s="486"/>
      <c r="AF17" s="486"/>
      <c r="AG17" s="486"/>
      <c r="AH17" s="486"/>
    </row>
    <row r="18" spans="1:34" ht="17" thickBot="1">
      <c r="A18" s="394" t="s">
        <v>394</v>
      </c>
      <c r="B18" s="487">
        <f>$P$17*B17+B15+B16</f>
        <v>39045.5</v>
      </c>
      <c r="C18" s="487">
        <f t="shared" ref="C18:J18" si="0">$P$17*C17+C15+C16</f>
        <v>37538.5</v>
      </c>
      <c r="D18" s="487">
        <f t="shared" si="0"/>
        <v>35995</v>
      </c>
      <c r="E18" s="487">
        <f t="shared" si="0"/>
        <v>35686</v>
      </c>
      <c r="F18" s="487">
        <f t="shared" si="0"/>
        <v>38725.464625080349</v>
      </c>
      <c r="G18" s="487">
        <f t="shared" si="0"/>
        <v>36690.954126129982</v>
      </c>
      <c r="H18" s="487">
        <f t="shared" si="0"/>
        <v>35055.366775188973</v>
      </c>
      <c r="I18" s="487">
        <f t="shared" si="0"/>
        <v>33080.729985334146</v>
      </c>
      <c r="J18" s="487">
        <f t="shared" si="0"/>
        <v>31004.968660980798</v>
      </c>
      <c r="L18" s="437" t="s">
        <v>409</v>
      </c>
      <c r="M18" s="438"/>
      <c r="N18" s="438"/>
      <c r="O18" s="438"/>
      <c r="P18" s="439">
        <f>P16/P17-1</f>
        <v>-0.26308497591436686</v>
      </c>
      <c r="Q18" s="440"/>
      <c r="R18" s="440"/>
      <c r="S18" s="440"/>
      <c r="U18" s="464"/>
      <c r="V18" s="488"/>
      <c r="W18" s="488"/>
      <c r="X18" s="488"/>
      <c r="Z18" s="309"/>
      <c r="AA18" s="489"/>
      <c r="AB18" s="489"/>
      <c r="AC18" s="489"/>
      <c r="AD18" s="489"/>
      <c r="AE18" s="489"/>
      <c r="AF18" s="489"/>
      <c r="AG18" s="489"/>
      <c r="AH18" s="489"/>
    </row>
    <row r="19" spans="1:34" s="480" customFormat="1">
      <c r="A19" s="394"/>
      <c r="L19" s="394"/>
      <c r="M19" s="394"/>
      <c r="N19" s="394"/>
      <c r="O19" s="394"/>
      <c r="P19" s="394"/>
      <c r="Q19" s="394"/>
      <c r="R19" s="394"/>
      <c r="S19" s="394"/>
      <c r="U19" s="464"/>
      <c r="V19" s="474"/>
      <c r="W19" s="474"/>
      <c r="X19" s="474"/>
      <c r="Z19" s="309"/>
      <c r="AA19" s="440"/>
      <c r="AB19" s="440"/>
      <c r="AC19" s="440"/>
      <c r="AD19" s="440"/>
      <c r="AE19" s="440"/>
      <c r="AF19" s="440"/>
      <c r="AG19" s="440"/>
      <c r="AH19" s="440"/>
    </row>
    <row r="20" spans="1:34">
      <c r="A20" s="423" t="s">
        <v>395</v>
      </c>
      <c r="U20" s="461"/>
      <c r="V20" s="466"/>
      <c r="W20" s="466"/>
      <c r="X20" s="466"/>
      <c r="AA20" s="462"/>
      <c r="AB20" s="462"/>
      <c r="AC20" s="462"/>
      <c r="AD20" s="462"/>
      <c r="AE20" s="462"/>
      <c r="AF20" s="462"/>
      <c r="AG20" s="462"/>
      <c r="AH20" s="462"/>
    </row>
    <row r="21" spans="1:34">
      <c r="A21" s="394" t="s">
        <v>396</v>
      </c>
      <c r="B21" s="443"/>
      <c r="C21" s="443">
        <f t="shared" ref="C21:H21" si="1">B18/C8</f>
        <v>7.8975525889967635</v>
      </c>
      <c r="D21" s="443">
        <f t="shared" si="1"/>
        <v>6.987807148175726</v>
      </c>
      <c r="E21" s="443">
        <f t="shared" si="1"/>
        <v>5.8150242326332791</v>
      </c>
      <c r="F21" s="443">
        <f t="shared" si="1"/>
        <v>4.6831525486647987</v>
      </c>
      <c r="G21" s="443">
        <f t="shared" si="1"/>
        <v>4.8104149109522201</v>
      </c>
      <c r="H21" s="443">
        <f t="shared" si="1"/>
        <v>4.4020348014150308</v>
      </c>
      <c r="I21" s="443">
        <f>H18/I8</f>
        <v>3.79216126240985</v>
      </c>
      <c r="J21" s="443">
        <f>I18/J8</f>
        <v>3.5437705361503742</v>
      </c>
      <c r="U21" s="468"/>
      <c r="V21" s="469"/>
      <c r="W21" s="490"/>
      <c r="X21" s="469"/>
      <c r="Z21" s="480"/>
      <c r="AA21" s="481"/>
      <c r="AB21" s="481"/>
      <c r="AC21" s="481"/>
      <c r="AD21" s="481"/>
      <c r="AE21" s="481"/>
      <c r="AF21" s="481"/>
      <c r="AG21" s="481"/>
      <c r="AH21" s="481"/>
    </row>
    <row r="22" spans="1:34" ht="14.25" customHeight="1">
      <c r="A22" s="394" t="s">
        <v>397</v>
      </c>
      <c r="C22" s="443">
        <f t="shared" ref="C22:H22" si="2">B18/C9</f>
        <v>23.69265776699029</v>
      </c>
      <c r="D22" s="443">
        <f t="shared" si="2"/>
        <v>18.987607486090035</v>
      </c>
      <c r="E22" s="443">
        <f t="shared" si="2"/>
        <v>15.948161276030129</v>
      </c>
      <c r="F22" s="443">
        <f t="shared" si="2"/>
        <v>12.286507111239233</v>
      </c>
      <c r="G22" s="443">
        <f t="shared" si="2"/>
        <v>12.908626456666912</v>
      </c>
      <c r="H22" s="443">
        <f t="shared" si="2"/>
        <v>11.548556712602661</v>
      </c>
      <c r="I22" s="443">
        <f>H18/I9</f>
        <v>9.9190362904210758</v>
      </c>
      <c r="J22" s="443">
        <f>I18/J9</f>
        <v>9.1211341964315853</v>
      </c>
      <c r="U22" s="461"/>
      <c r="V22" s="474"/>
      <c r="W22" s="474"/>
      <c r="X22" s="474"/>
      <c r="Z22" s="309"/>
      <c r="AA22" s="486"/>
      <c r="AB22" s="486"/>
      <c r="AC22" s="486"/>
      <c r="AD22" s="486"/>
      <c r="AE22" s="486"/>
      <c r="AF22" s="486"/>
      <c r="AG22" s="486"/>
      <c r="AH22" s="486"/>
    </row>
    <row r="23" spans="1:34">
      <c r="A23" s="394" t="s">
        <v>398</v>
      </c>
      <c r="C23" s="443">
        <f t="shared" ref="C23:H23" si="3">B18/C10</f>
        <v>27.342787114845937</v>
      </c>
      <c r="D23" s="443">
        <f t="shared" si="3"/>
        <v>22.6621763599349</v>
      </c>
      <c r="E23" s="443">
        <f t="shared" si="3"/>
        <v>19.948632064606521</v>
      </c>
      <c r="F23" s="443">
        <f t="shared" si="3"/>
        <v>20.461355449202937</v>
      </c>
      <c r="G23" s="443">
        <f t="shared" si="3"/>
        <v>16.030768195731742</v>
      </c>
      <c r="H23" s="443">
        <f t="shared" si="3"/>
        <v>14.810069929125905</v>
      </c>
      <c r="I23" s="443">
        <f>H18/I10</f>
        <v>12.378582077252826</v>
      </c>
      <c r="J23" s="443">
        <f>I18/J10</f>
        <v>11.427518288357186</v>
      </c>
      <c r="U23" s="468"/>
      <c r="V23" s="469"/>
      <c r="W23" s="490"/>
      <c r="X23" s="469"/>
      <c r="Z23" s="309"/>
      <c r="AA23" s="489"/>
      <c r="AB23" s="489"/>
      <c r="AC23" s="489"/>
      <c r="AD23" s="489"/>
      <c r="AE23" s="489"/>
      <c r="AF23" s="489"/>
      <c r="AG23" s="489"/>
      <c r="AH23" s="489"/>
    </row>
    <row r="24" spans="1:34" s="480" customFormat="1">
      <c r="A24" s="394" t="s">
        <v>399</v>
      </c>
      <c r="B24" s="394"/>
      <c r="C24" s="443">
        <f t="shared" ref="C24:H24" si="4">B18/C11</f>
        <v>34.13068181818182</v>
      </c>
      <c r="D24" s="443">
        <f t="shared" si="4"/>
        <v>28.667632570546104</v>
      </c>
      <c r="E24" s="443">
        <f t="shared" si="4"/>
        <v>26.285534329979484</v>
      </c>
      <c r="F24" s="443">
        <f t="shared" si="4"/>
        <v>30.593560972892803</v>
      </c>
      <c r="G24" s="443">
        <f t="shared" si="4"/>
        <v>21.549116895555539</v>
      </c>
      <c r="H24" s="443">
        <f t="shared" si="4"/>
        <v>19.819285226940959</v>
      </c>
      <c r="I24" s="443">
        <f>H18/I11</f>
        <v>16.328170185355766</v>
      </c>
      <c r="J24" s="443">
        <f>I18/J11</f>
        <v>14.933002793838906</v>
      </c>
      <c r="L24" s="394"/>
      <c r="M24" s="394"/>
      <c r="N24" s="394"/>
      <c r="O24" s="394"/>
      <c r="P24" s="394"/>
      <c r="Q24" s="394"/>
      <c r="R24" s="394"/>
      <c r="S24" s="394"/>
      <c r="U24" s="464"/>
      <c r="V24" s="479"/>
      <c r="W24" s="479"/>
      <c r="X24" s="479"/>
      <c r="Z24" s="309"/>
      <c r="AA24" s="440"/>
      <c r="AB24" s="440"/>
      <c r="AC24" s="440"/>
      <c r="AD24" s="440"/>
      <c r="AE24" s="440"/>
      <c r="AF24" s="440"/>
      <c r="AG24" s="440"/>
      <c r="AH24" s="440"/>
    </row>
    <row r="25" spans="1:34">
      <c r="A25" s="394" t="s">
        <v>400</v>
      </c>
      <c r="C25" s="443"/>
      <c r="D25" s="443">
        <f>$P$17/D12</f>
        <v>26.575929152148667</v>
      </c>
      <c r="E25" s="443">
        <f t="shared" ref="E25:J25" si="5">$P$17/E12</f>
        <v>24.205187246059076</v>
      </c>
      <c r="F25" s="443">
        <f t="shared" si="5"/>
        <v>20.008427996327491</v>
      </c>
      <c r="G25" s="443">
        <f t="shared" si="5"/>
        <v>18.618201144539846</v>
      </c>
      <c r="H25" s="443">
        <f t="shared" si="5"/>
        <v>17.193706718448574</v>
      </c>
      <c r="I25" s="443">
        <f t="shared" si="5"/>
        <v>15.291287466471474</v>
      </c>
      <c r="J25" s="443">
        <f t="shared" si="5"/>
        <v>14.960518036650999</v>
      </c>
      <c r="U25" s="464"/>
      <c r="V25" s="484"/>
      <c r="W25" s="485"/>
      <c r="X25" s="484"/>
      <c r="AA25" s="462"/>
      <c r="AB25" s="462"/>
      <c r="AC25" s="462"/>
      <c r="AD25" s="462"/>
      <c r="AE25" s="462"/>
      <c r="AF25" s="462"/>
      <c r="AG25" s="462"/>
      <c r="AH25" s="462"/>
    </row>
    <row r="26" spans="1:34">
      <c r="U26" s="464"/>
      <c r="V26" s="491"/>
      <c r="W26" s="492"/>
      <c r="X26" s="488"/>
      <c r="Z26" s="480"/>
      <c r="AA26" s="481"/>
      <c r="AB26" s="481"/>
      <c r="AC26" s="481"/>
      <c r="AD26" s="481"/>
      <c r="AE26" s="481"/>
      <c r="AF26" s="481"/>
      <c r="AG26" s="481"/>
      <c r="AH26" s="481"/>
    </row>
    <row r="27" spans="1:34">
      <c r="A27" s="423" t="s">
        <v>401</v>
      </c>
      <c r="B27" s="423"/>
      <c r="C27" s="423"/>
      <c r="U27" s="464"/>
      <c r="V27" s="474"/>
      <c r="W27" s="474"/>
      <c r="X27" s="474"/>
      <c r="Z27" s="480"/>
      <c r="AA27" s="481"/>
      <c r="AB27" s="481"/>
      <c r="AC27" s="481"/>
      <c r="AD27" s="481"/>
      <c r="AE27" s="481"/>
      <c r="AF27" s="481"/>
      <c r="AG27" s="481"/>
      <c r="AH27" s="481"/>
    </row>
    <row r="28" spans="1:34">
      <c r="A28" s="394" t="s">
        <v>396</v>
      </c>
      <c r="C28" s="443">
        <f>(B17*$P$16+B15+B16)/C8</f>
        <v>5.5889340336656863</v>
      </c>
      <c r="D28" s="443">
        <f t="shared" ref="D28:I28" si="6">(C17*$P$16+C15+C16)/D8</f>
        <v>4.9314395762925711</v>
      </c>
      <c r="E28" s="443">
        <f t="shared" si="6"/>
        <v>4.0837635849925977</v>
      </c>
      <c r="F28" s="443">
        <f t="shared" si="6"/>
        <v>3.2960672260163126</v>
      </c>
      <c r="G28" s="443">
        <f t="shared" si="6"/>
        <v>3.5078452191154872</v>
      </c>
      <c r="H28" s="443">
        <f t="shared" si="6"/>
        <v>3.1776820903373868</v>
      </c>
      <c r="I28" s="443">
        <f t="shared" si="6"/>
        <v>2.6731067592457607</v>
      </c>
      <c r="J28" s="443">
        <f t="shared" ref="J28" si="7">(I17*$P$16+I15+I16)/J8</f>
        <v>2.4204918834203313</v>
      </c>
      <c r="U28" s="461"/>
      <c r="V28" s="466"/>
      <c r="W28" s="466"/>
      <c r="X28" s="466"/>
      <c r="Z28" s="309"/>
      <c r="AA28" s="486"/>
      <c r="AB28" s="486"/>
      <c r="AC28" s="486"/>
      <c r="AD28" s="486"/>
      <c r="AE28" s="486"/>
      <c r="AF28" s="486"/>
      <c r="AG28" s="486"/>
      <c r="AH28" s="486"/>
    </row>
    <row r="29" spans="1:34">
      <c r="A29" s="394" t="s">
        <v>397</v>
      </c>
      <c r="C29" s="443">
        <f>(B17*$P$16+B15+B16)/C9</f>
        <v>16.766802100997058</v>
      </c>
      <c r="D29" s="443">
        <f t="shared" ref="D29:I29" si="8">(C17*$P$16+C15+C16)/D9</f>
        <v>13.399946081863273</v>
      </c>
      <c r="E29" s="443">
        <f t="shared" si="8"/>
        <v>11.20004279623579</v>
      </c>
      <c r="F29" s="443">
        <f t="shared" si="8"/>
        <v>8.6474128251743654</v>
      </c>
      <c r="G29" s="443">
        <f t="shared" si="8"/>
        <v>9.4132137122457191</v>
      </c>
      <c r="H29" s="443">
        <f t="shared" si="8"/>
        <v>8.3365178810232603</v>
      </c>
      <c r="I29" s="443">
        <f t="shared" si="8"/>
        <v>6.9919608155796089</v>
      </c>
      <c r="J29" s="443">
        <f t="shared" ref="J29" si="9">(I17*$P$16+I15+I16)/J9</f>
        <v>6.2299833086917022</v>
      </c>
      <c r="U29" s="468"/>
      <c r="V29" s="469"/>
      <c r="W29" s="490"/>
      <c r="X29" s="469"/>
      <c r="Z29" s="309"/>
      <c r="AA29" s="489"/>
      <c r="AB29" s="489"/>
      <c r="AC29" s="489"/>
      <c r="AD29" s="489"/>
      <c r="AE29" s="489"/>
      <c r="AF29" s="489"/>
      <c r="AG29" s="489"/>
      <c r="AH29" s="489"/>
    </row>
    <row r="30" spans="1:34">
      <c r="A30" s="394" t="s">
        <v>398</v>
      </c>
      <c r="C30" s="443">
        <f>(B17*$P$16+B15+B16)/C10</f>
        <v>19.349922872859349</v>
      </c>
      <c r="D30" s="443">
        <f t="shared" ref="D30:I30" si="10">(C17*$P$16+C15+C16)/D10</f>
        <v>15.993165096933277</v>
      </c>
      <c r="E30" s="443">
        <f t="shared" si="10"/>
        <v>14.009485418595569</v>
      </c>
      <c r="F30" s="443">
        <f t="shared" si="10"/>
        <v>14.400983609901049</v>
      </c>
      <c r="G30" s="443">
        <f t="shared" si="10"/>
        <v>11.689938314076695</v>
      </c>
      <c r="H30" s="443">
        <f t="shared" si="10"/>
        <v>10.690895482084724</v>
      </c>
      <c r="I30" s="443">
        <f t="shared" si="10"/>
        <v>8.7257026088482661</v>
      </c>
      <c r="J30" s="443">
        <f t="shared" ref="J30" si="11">(I17*$P$16+I15+I16)/J10</f>
        <v>7.8053065181397088</v>
      </c>
      <c r="U30" s="461"/>
      <c r="V30" s="474"/>
      <c r="W30" s="474"/>
      <c r="X30" s="474"/>
      <c r="Z30" s="309"/>
      <c r="AA30" s="440"/>
      <c r="AB30" s="440"/>
      <c r="AC30" s="440"/>
      <c r="AD30" s="440"/>
      <c r="AE30" s="440"/>
      <c r="AF30" s="440"/>
      <c r="AG30" s="440"/>
      <c r="AH30" s="440"/>
    </row>
    <row r="31" spans="1:34">
      <c r="A31" s="394" t="s">
        <v>399</v>
      </c>
      <c r="C31" s="443">
        <f>(B17*$P$16+B15+B16)/C11</f>
        <v>24.153575054583175</v>
      </c>
      <c r="D31" s="443">
        <f t="shared" ref="D31:I31" si="12">(C17*$P$16+C15+C16)/D11</f>
        <v>20.231339362866148</v>
      </c>
      <c r="E31" s="443">
        <f t="shared" si="12"/>
        <v>18.459752464390561</v>
      </c>
      <c r="F31" s="443">
        <f t="shared" si="12"/>
        <v>21.532169324408081</v>
      </c>
      <c r="G31" s="443">
        <f t="shared" si="12"/>
        <v>15.714022195077566</v>
      </c>
      <c r="H31" s="443">
        <f t="shared" si="12"/>
        <v>14.306880919863231</v>
      </c>
      <c r="I31" s="443">
        <f t="shared" si="12"/>
        <v>11.509780061635029</v>
      </c>
      <c r="J31" s="443">
        <f t="shared" ref="J31" si="13">(I17*$P$16+I15+I16)/J11</f>
        <v>10.199647998892454</v>
      </c>
      <c r="U31" s="468"/>
      <c r="V31" s="469"/>
      <c r="W31" s="490"/>
      <c r="X31" s="469"/>
      <c r="AA31" s="462"/>
      <c r="AB31" s="462"/>
      <c r="AC31" s="462"/>
      <c r="AD31" s="462"/>
      <c r="AE31" s="462"/>
      <c r="AF31" s="462"/>
      <c r="AG31" s="462"/>
      <c r="AH31" s="462"/>
    </row>
    <row r="32" spans="1:34">
      <c r="A32" s="394" t="s">
        <v>400</v>
      </c>
      <c r="D32" s="443">
        <f>$P$16/D12</f>
        <v>19.584201471253714</v>
      </c>
      <c r="E32" s="443">
        <f t="shared" ref="E32:I32" si="14">$P$16/E12</f>
        <v>17.837166142426884</v>
      </c>
      <c r="F32" s="443">
        <f t="shared" si="14"/>
        <v>14.744511198829331</v>
      </c>
      <c r="G32" s="443">
        <f t="shared" si="14"/>
        <v>13.720032144859745</v>
      </c>
      <c r="H32" s="443">
        <f t="shared" si="14"/>
        <v>12.670300800546842</v>
      </c>
      <c r="I32" s="443">
        <f t="shared" si="14"/>
        <v>11.268379471655166</v>
      </c>
      <c r="J32" s="443">
        <f t="shared" ref="J32" si="15">$P$16/J12</f>
        <v>11.024630509312219</v>
      </c>
      <c r="U32" s="464"/>
      <c r="V32" s="479"/>
      <c r="W32" s="479"/>
      <c r="X32" s="479"/>
      <c r="Z32" s="480"/>
      <c r="AA32" s="481"/>
      <c r="AB32" s="481"/>
      <c r="AC32" s="481"/>
      <c r="AD32" s="481"/>
      <c r="AE32" s="481"/>
      <c r="AF32" s="481"/>
      <c r="AG32" s="481"/>
      <c r="AH32" s="481"/>
    </row>
    <row r="33" spans="12:34">
      <c r="U33" s="464"/>
      <c r="V33" s="484"/>
      <c r="W33" s="493"/>
      <c r="X33" s="484"/>
      <c r="Z33" s="480"/>
      <c r="AA33" s="481"/>
      <c r="AB33" s="481"/>
      <c r="AC33" s="481"/>
      <c r="AD33" s="481"/>
      <c r="AE33" s="481"/>
      <c r="AF33" s="481"/>
      <c r="AG33" s="481"/>
      <c r="AH33" s="481"/>
    </row>
    <row r="34" spans="12:34">
      <c r="U34" s="464"/>
      <c r="V34" s="491"/>
      <c r="W34" s="492"/>
      <c r="X34" s="488"/>
      <c r="Z34" s="309"/>
      <c r="AA34" s="486"/>
      <c r="AB34" s="486"/>
      <c r="AC34" s="486"/>
      <c r="AD34" s="486"/>
      <c r="AE34" s="486"/>
      <c r="AF34" s="486"/>
      <c r="AG34" s="486"/>
      <c r="AH34" s="486"/>
    </row>
    <row r="35" spans="12:34">
      <c r="U35" s="464"/>
      <c r="V35" s="474"/>
      <c r="W35" s="474"/>
      <c r="X35" s="474"/>
      <c r="Z35" s="309"/>
      <c r="AA35" s="489"/>
      <c r="AB35" s="489"/>
      <c r="AC35" s="489"/>
      <c r="AD35" s="489"/>
      <c r="AE35" s="489"/>
      <c r="AF35" s="489"/>
      <c r="AG35" s="489"/>
      <c r="AH35" s="489"/>
    </row>
    <row r="36" spans="12:34">
      <c r="U36" s="494"/>
      <c r="Z36" s="309"/>
      <c r="AA36" s="440"/>
      <c r="AB36" s="440"/>
      <c r="AC36" s="440"/>
      <c r="AD36" s="440"/>
      <c r="AE36" s="440"/>
      <c r="AF36" s="440"/>
      <c r="AG36" s="440"/>
      <c r="AH36" s="440"/>
    </row>
    <row r="37" spans="12:34">
      <c r="U37" s="495"/>
      <c r="V37" s="469"/>
      <c r="W37" s="469"/>
      <c r="X37" s="469"/>
      <c r="AA37" s="462"/>
      <c r="AB37" s="462"/>
      <c r="AC37" s="462"/>
      <c r="AD37" s="462"/>
      <c r="AE37" s="462"/>
      <c r="AF37" s="462"/>
      <c r="AG37" s="462"/>
      <c r="AH37" s="462"/>
    </row>
    <row r="38" spans="12:34">
      <c r="U38" s="495"/>
      <c r="V38" s="469"/>
      <c r="W38" s="469"/>
      <c r="X38" s="469"/>
      <c r="Z38" s="480"/>
      <c r="AA38" s="481"/>
      <c r="AB38" s="481"/>
      <c r="AC38" s="481"/>
      <c r="AD38" s="481"/>
      <c r="AE38" s="481"/>
      <c r="AF38" s="481"/>
      <c r="AG38" s="481"/>
      <c r="AH38" s="481"/>
    </row>
    <row r="39" spans="12:34">
      <c r="U39" s="495"/>
      <c r="V39" s="469"/>
      <c r="W39" s="469"/>
      <c r="X39" s="469"/>
      <c r="AA39" s="496"/>
      <c r="AB39" s="496"/>
      <c r="AC39" s="496"/>
      <c r="AD39" s="496"/>
      <c r="AE39" s="496"/>
      <c r="AF39" s="496"/>
      <c r="AG39" s="496"/>
      <c r="AH39" s="496"/>
    </row>
    <row r="40" spans="12:34">
      <c r="U40" s="497"/>
      <c r="V40" s="474"/>
      <c r="W40" s="474"/>
      <c r="X40" s="474"/>
      <c r="AA40" s="440"/>
      <c r="AB40" s="440"/>
      <c r="AC40" s="440"/>
      <c r="AD40" s="440"/>
      <c r="AE40" s="440"/>
      <c r="AF40" s="440"/>
      <c r="AG40" s="440"/>
      <c r="AH40" s="440"/>
    </row>
    <row r="41" spans="12:34" s="480" customFormat="1">
      <c r="L41" s="394"/>
      <c r="M41" s="394"/>
      <c r="N41" s="394"/>
      <c r="O41" s="394"/>
      <c r="P41" s="394"/>
      <c r="Q41" s="394"/>
      <c r="R41" s="394"/>
      <c r="S41" s="394"/>
      <c r="U41" s="494"/>
      <c r="V41" s="466"/>
      <c r="W41" s="394"/>
      <c r="X41" s="394"/>
      <c r="Z41" s="309"/>
      <c r="AA41" s="486"/>
      <c r="AB41" s="486"/>
      <c r="AC41" s="486"/>
      <c r="AD41" s="486"/>
      <c r="AE41" s="486"/>
      <c r="AF41" s="486"/>
      <c r="AG41" s="486"/>
      <c r="AH41" s="486"/>
    </row>
    <row r="42" spans="12:34">
      <c r="U42" s="497"/>
      <c r="V42" s="466"/>
      <c r="W42" s="466"/>
      <c r="X42" s="466"/>
      <c r="Z42" s="309"/>
      <c r="AA42" s="489"/>
      <c r="AB42" s="489"/>
      <c r="AC42" s="489"/>
      <c r="AD42" s="489"/>
      <c r="AE42" s="489"/>
      <c r="AF42" s="489"/>
      <c r="AG42" s="489"/>
      <c r="AH42" s="489"/>
    </row>
    <row r="43" spans="12:34">
      <c r="U43" s="497"/>
      <c r="V43" s="496"/>
      <c r="W43" s="496"/>
      <c r="X43" s="496"/>
      <c r="Z43" s="309"/>
      <c r="AA43" s="440"/>
      <c r="AB43" s="440"/>
      <c r="AC43" s="440"/>
      <c r="AD43" s="440"/>
      <c r="AE43" s="440"/>
      <c r="AF43" s="440"/>
      <c r="AG43" s="440"/>
      <c r="AH43" s="440"/>
    </row>
    <row r="44" spans="12:34">
      <c r="U44" s="497"/>
      <c r="AA44" s="462"/>
      <c r="AB44" s="462"/>
      <c r="AC44" s="462"/>
      <c r="AD44" s="462"/>
      <c r="AE44" s="462"/>
      <c r="AF44" s="462"/>
      <c r="AG44" s="462"/>
      <c r="AH44" s="462"/>
    </row>
    <row r="45" spans="12:34">
      <c r="U45" s="497"/>
      <c r="V45" s="458"/>
      <c r="W45" s="458"/>
      <c r="X45" s="458"/>
      <c r="Z45" s="480"/>
      <c r="AA45" s="481"/>
      <c r="AB45" s="481"/>
      <c r="AC45" s="481"/>
      <c r="AD45" s="481"/>
      <c r="AE45" s="481"/>
      <c r="AF45" s="481"/>
      <c r="AG45" s="481"/>
      <c r="AH45" s="481"/>
    </row>
    <row r="46" spans="12:34">
      <c r="AA46" s="496"/>
      <c r="AB46" s="496"/>
      <c r="AC46" s="496"/>
      <c r="AD46" s="496"/>
      <c r="AE46" s="496"/>
      <c r="AF46" s="496"/>
      <c r="AG46" s="496"/>
      <c r="AH46" s="496"/>
    </row>
    <row r="47" spans="12:34">
      <c r="AA47" s="440"/>
      <c r="AB47" s="440"/>
      <c r="AC47" s="440"/>
      <c r="AD47" s="440"/>
      <c r="AE47" s="440"/>
      <c r="AF47" s="440"/>
      <c r="AG47" s="440"/>
      <c r="AH47" s="440"/>
    </row>
    <row r="48" spans="12:34" s="480" customFormat="1">
      <c r="L48" s="394"/>
      <c r="M48" s="394"/>
      <c r="N48" s="394"/>
      <c r="O48" s="394"/>
      <c r="P48" s="394"/>
      <c r="Q48" s="394"/>
      <c r="R48" s="394"/>
      <c r="S48" s="394"/>
      <c r="Z48" s="309"/>
      <c r="AA48" s="486"/>
      <c r="AB48" s="486"/>
      <c r="AC48" s="486"/>
      <c r="AD48" s="486"/>
      <c r="AE48" s="486"/>
      <c r="AF48" s="486"/>
      <c r="AG48" s="486"/>
      <c r="AH48" s="486"/>
    </row>
    <row r="49" spans="12:34">
      <c r="Z49" s="309"/>
      <c r="AA49" s="489"/>
      <c r="AB49" s="489"/>
      <c r="AC49" s="489"/>
      <c r="AD49" s="489"/>
      <c r="AE49" s="489"/>
      <c r="AF49" s="489"/>
      <c r="AG49" s="489"/>
      <c r="AH49" s="489"/>
    </row>
    <row r="50" spans="12:34">
      <c r="Z50" s="309"/>
      <c r="AA50" s="440"/>
      <c r="AB50" s="440"/>
      <c r="AC50" s="440"/>
      <c r="AD50" s="440"/>
      <c r="AE50" s="440"/>
      <c r="AF50" s="440"/>
      <c r="AG50" s="440"/>
      <c r="AH50" s="440"/>
    </row>
    <row r="51" spans="12:34">
      <c r="AA51" s="462"/>
      <c r="AB51" s="462"/>
      <c r="AC51" s="462"/>
      <c r="AD51" s="462"/>
      <c r="AE51" s="462"/>
      <c r="AF51" s="462"/>
      <c r="AG51" s="462"/>
      <c r="AH51" s="462"/>
    </row>
    <row r="52" spans="12:34">
      <c r="Z52" s="480"/>
      <c r="AA52" s="481"/>
      <c r="AB52" s="481"/>
      <c r="AC52" s="481"/>
      <c r="AD52" s="481"/>
      <c r="AE52" s="481"/>
      <c r="AF52" s="481"/>
      <c r="AG52" s="481"/>
      <c r="AH52" s="481"/>
    </row>
    <row r="53" spans="12:34">
      <c r="Z53" s="480"/>
      <c r="AA53" s="481"/>
      <c r="AB53" s="481"/>
      <c r="AC53" s="481"/>
      <c r="AD53" s="481"/>
      <c r="AE53" s="481"/>
      <c r="AF53" s="481"/>
      <c r="AG53" s="481"/>
      <c r="AH53" s="481"/>
    </row>
    <row r="54" spans="12:34">
      <c r="Z54" s="309"/>
      <c r="AA54" s="486"/>
      <c r="AB54" s="486"/>
      <c r="AC54" s="486"/>
      <c r="AD54" s="486"/>
      <c r="AE54" s="486"/>
      <c r="AF54" s="486"/>
      <c r="AG54" s="486"/>
      <c r="AH54" s="486"/>
    </row>
    <row r="55" spans="12:34">
      <c r="Z55" s="309"/>
      <c r="AA55" s="489"/>
      <c r="AB55" s="489"/>
      <c r="AC55" s="489"/>
      <c r="AD55" s="489"/>
      <c r="AE55" s="489"/>
      <c r="AF55" s="489"/>
      <c r="AG55" s="489"/>
      <c r="AH55" s="489"/>
    </row>
    <row r="56" spans="12:34" s="480" customFormat="1">
      <c r="L56" s="394"/>
      <c r="M56" s="394"/>
      <c r="N56" s="394"/>
      <c r="O56" s="394"/>
      <c r="P56" s="394"/>
      <c r="Q56" s="394"/>
      <c r="R56" s="394"/>
      <c r="S56" s="394"/>
      <c r="Z56" s="309"/>
      <c r="AA56" s="440"/>
      <c r="AB56" s="440"/>
      <c r="AC56" s="440"/>
      <c r="AD56" s="440"/>
      <c r="AE56" s="440"/>
      <c r="AF56" s="440"/>
      <c r="AG56" s="440"/>
      <c r="AH56" s="440"/>
    </row>
    <row r="57" spans="12:34">
      <c r="AA57" s="462"/>
      <c r="AB57" s="462"/>
      <c r="AC57" s="462"/>
      <c r="AD57" s="462"/>
      <c r="AE57" s="462"/>
      <c r="AF57" s="462"/>
      <c r="AG57" s="462"/>
      <c r="AH57" s="462"/>
    </row>
    <row r="58" spans="12:34">
      <c r="Z58" s="480"/>
      <c r="AA58" s="481"/>
      <c r="AB58" s="481"/>
      <c r="AC58" s="481"/>
      <c r="AD58" s="481"/>
      <c r="AE58" s="481"/>
      <c r="AF58" s="481"/>
      <c r="AG58" s="481"/>
      <c r="AH58" s="481"/>
    </row>
    <row r="59" spans="12:34">
      <c r="Z59" s="480"/>
      <c r="AA59" s="481"/>
      <c r="AB59" s="481"/>
      <c r="AC59" s="481"/>
      <c r="AD59" s="481"/>
      <c r="AE59" s="481"/>
      <c r="AF59" s="481"/>
      <c r="AG59" s="481"/>
      <c r="AH59" s="481"/>
    </row>
    <row r="60" spans="12:34">
      <c r="Z60" s="309"/>
      <c r="AA60" s="486"/>
      <c r="AB60" s="486"/>
      <c r="AC60" s="486"/>
      <c r="AD60" s="486"/>
      <c r="AE60" s="486"/>
      <c r="AF60" s="486"/>
      <c r="AG60" s="486"/>
      <c r="AH60" s="486"/>
    </row>
    <row r="61" spans="12:34">
      <c r="Z61" s="309"/>
      <c r="AA61" s="489"/>
      <c r="AB61" s="489"/>
      <c r="AC61" s="489"/>
      <c r="AD61" s="489"/>
      <c r="AE61" s="489"/>
      <c r="AF61" s="489"/>
      <c r="AG61" s="489"/>
      <c r="AH61" s="489"/>
    </row>
    <row r="62" spans="12:34" s="480" customFormat="1">
      <c r="L62" s="394"/>
      <c r="M62" s="394"/>
      <c r="N62" s="394"/>
      <c r="O62" s="394"/>
      <c r="P62" s="394"/>
      <c r="Q62" s="394"/>
      <c r="R62" s="394"/>
      <c r="S62" s="394"/>
      <c r="Z62" s="309"/>
      <c r="AA62" s="440"/>
      <c r="AB62" s="440"/>
      <c r="AC62" s="440"/>
      <c r="AD62" s="440"/>
      <c r="AE62" s="440"/>
      <c r="AF62" s="440"/>
      <c r="AG62" s="440"/>
      <c r="AH62" s="440"/>
    </row>
    <row r="63" spans="12:34">
      <c r="AA63" s="462"/>
      <c r="AB63" s="462"/>
      <c r="AC63" s="462"/>
      <c r="AD63" s="462"/>
      <c r="AE63" s="462"/>
      <c r="AF63" s="462"/>
      <c r="AG63" s="462"/>
      <c r="AH63" s="462"/>
    </row>
    <row r="64" spans="12:34">
      <c r="Z64" s="480"/>
      <c r="AA64" s="481"/>
      <c r="AB64" s="481"/>
      <c r="AC64" s="481"/>
      <c r="AD64" s="481"/>
      <c r="AE64" s="481"/>
      <c r="AF64" s="481"/>
      <c r="AG64" s="481"/>
      <c r="AH64" s="481"/>
    </row>
    <row r="65" spans="12:34">
      <c r="Z65" s="309"/>
      <c r="AA65" s="486"/>
      <c r="AB65" s="486"/>
      <c r="AC65" s="486"/>
      <c r="AD65" s="486"/>
      <c r="AE65" s="486"/>
      <c r="AF65" s="486"/>
      <c r="AG65" s="486"/>
      <c r="AH65" s="486"/>
    </row>
    <row r="66" spans="12:34">
      <c r="Z66" s="480"/>
      <c r="AA66" s="480"/>
      <c r="AB66" s="480"/>
      <c r="AC66" s="480"/>
      <c r="AD66" s="480"/>
      <c r="AE66" s="480"/>
      <c r="AF66" s="480"/>
      <c r="AG66" s="480"/>
      <c r="AH66" s="480"/>
    </row>
    <row r="67" spans="12:34" s="480" customFormat="1">
      <c r="L67" s="394"/>
      <c r="M67" s="394"/>
      <c r="N67" s="394"/>
      <c r="O67" s="394"/>
      <c r="P67" s="394"/>
      <c r="Q67" s="394"/>
      <c r="R67" s="394"/>
      <c r="S67" s="394"/>
      <c r="T67" s="309"/>
      <c r="U67" s="462"/>
      <c r="V67" s="462"/>
      <c r="W67" s="462"/>
      <c r="X67" s="486"/>
      <c r="Y67" s="486"/>
      <c r="Z67" s="394"/>
      <c r="AA67" s="394"/>
      <c r="AB67" s="394"/>
      <c r="AC67" s="394"/>
      <c r="AD67" s="394"/>
      <c r="AE67" s="394"/>
      <c r="AF67" s="394"/>
      <c r="AG67" s="394"/>
      <c r="AH67" s="394"/>
    </row>
    <row r="68" spans="12:34">
      <c r="U68" s="440"/>
      <c r="V68" s="440"/>
      <c r="W68" s="440"/>
      <c r="X68" s="465"/>
      <c r="Y68" s="465"/>
    </row>
    <row r="72" spans="12:34">
      <c r="X72" s="498"/>
      <c r="Y72" s="467"/>
    </row>
    <row r="109" ht="4.5" customHeight="1"/>
  </sheetData>
  <phoneticPr fontId="3" type="noConversion"/>
  <pageMargins left="0.7" right="0.7" top="0.75" bottom="0.75" header="0.3" footer="0.3"/>
  <pageSetup scale="6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7"/>
  <dimension ref="A1:J30"/>
  <sheetViews>
    <sheetView topLeftCell="B1" workbookViewId="0">
      <selection activeCell="D25" sqref="D25"/>
    </sheetView>
  </sheetViews>
  <sheetFormatPr baseColWidth="10" defaultColWidth="9" defaultRowHeight="16"/>
  <cols>
    <col min="1" max="1" width="1.5" style="401" customWidth="1"/>
    <col min="2" max="2" width="24.83203125" style="394" customWidth="1"/>
    <col min="3" max="3" width="11.6640625" style="401" customWidth="1"/>
    <col min="4" max="4" width="20.1640625" style="406" bestFit="1" customWidth="1"/>
    <col min="5" max="5" width="61.83203125" style="394" customWidth="1"/>
    <col min="6" max="6" width="14.1640625" style="394" bestFit="1" customWidth="1"/>
    <col min="7" max="7" width="9" style="394"/>
    <col min="8" max="8" width="30" style="394" customWidth="1"/>
    <col min="9" max="9" width="9" style="394"/>
    <col min="10" max="10" width="9" style="407"/>
    <col min="11" max="16384" width="9" style="394"/>
  </cols>
  <sheetData>
    <row r="1" spans="1:10">
      <c r="A1" s="385" t="s">
        <v>216</v>
      </c>
    </row>
    <row r="2" spans="1:10">
      <c r="A2" s="385" t="s">
        <v>471</v>
      </c>
    </row>
    <row r="5" spans="1:10">
      <c r="B5" s="408" t="s">
        <v>221</v>
      </c>
      <c r="C5" s="392" t="s">
        <v>224</v>
      </c>
      <c r="D5" s="408" t="s">
        <v>222</v>
      </c>
      <c r="E5" s="408" t="s">
        <v>225</v>
      </c>
      <c r="F5" s="408" t="s">
        <v>223</v>
      </c>
      <c r="G5" s="408"/>
      <c r="H5" s="408" t="s">
        <v>228</v>
      </c>
    </row>
    <row r="6" spans="1:10" ht="15.75" customHeight="1">
      <c r="B6" s="409" t="s">
        <v>263</v>
      </c>
      <c r="C6" s="410">
        <v>44281</v>
      </c>
      <c r="D6" s="409" t="s">
        <v>282</v>
      </c>
      <c r="E6" s="409" t="s">
        <v>297</v>
      </c>
      <c r="F6" s="406"/>
      <c r="H6" s="409"/>
      <c r="J6" s="407" t="s">
        <v>281</v>
      </c>
    </row>
    <row r="7" spans="1:10">
      <c r="B7" s="394" t="s">
        <v>298</v>
      </c>
      <c r="C7" s="410">
        <v>44330</v>
      </c>
    </row>
    <row r="8" spans="1:10" ht="15.75" customHeight="1">
      <c r="B8" s="409" t="s">
        <v>245</v>
      </c>
      <c r="C8" s="410">
        <v>44337</v>
      </c>
      <c r="D8" s="409" t="s">
        <v>278</v>
      </c>
      <c r="E8" s="409" t="s">
        <v>299</v>
      </c>
      <c r="F8" s="406"/>
      <c r="H8" s="409"/>
    </row>
    <row r="9" spans="1:10" ht="15.75" customHeight="1">
      <c r="B9" s="409" t="s">
        <v>247</v>
      </c>
      <c r="C9" s="410">
        <v>44393</v>
      </c>
      <c r="D9" s="406" t="s">
        <v>260</v>
      </c>
      <c r="E9" s="409" t="s">
        <v>300</v>
      </c>
      <c r="F9" s="406" t="s">
        <v>271</v>
      </c>
      <c r="H9" s="409"/>
      <c r="J9" s="407" t="s">
        <v>261</v>
      </c>
    </row>
    <row r="10" spans="1:10" ht="15.75" customHeight="1">
      <c r="B10" s="409" t="s">
        <v>262</v>
      </c>
      <c r="C10" s="410">
        <v>44399</v>
      </c>
      <c r="D10" s="409" t="s">
        <v>280</v>
      </c>
      <c r="E10" s="409" t="s">
        <v>301</v>
      </c>
      <c r="F10" s="406"/>
      <c r="H10" s="409"/>
      <c r="J10" s="407" t="s">
        <v>264</v>
      </c>
    </row>
    <row r="11" spans="1:10" ht="15.75" customHeight="1">
      <c r="B11" s="409" t="s">
        <v>273</v>
      </c>
      <c r="C11" s="410">
        <v>44404</v>
      </c>
      <c r="D11" s="406" t="s">
        <v>278</v>
      </c>
      <c r="E11" s="409" t="s">
        <v>299</v>
      </c>
      <c r="F11" s="406"/>
      <c r="H11" s="409" t="s">
        <v>274</v>
      </c>
    </row>
    <row r="12" spans="1:10" ht="15.75" customHeight="1">
      <c r="B12" s="409" t="s">
        <v>268</v>
      </c>
      <c r="C12" s="411">
        <v>44411</v>
      </c>
      <c r="D12" s="409" t="s">
        <v>270</v>
      </c>
      <c r="E12" s="409" t="s">
        <v>302</v>
      </c>
      <c r="F12" s="406" t="s">
        <v>284</v>
      </c>
      <c r="H12" s="409" t="s">
        <v>272</v>
      </c>
    </row>
    <row r="13" spans="1:10" ht="15.75" customHeight="1">
      <c r="B13" s="409" t="s">
        <v>230</v>
      </c>
      <c r="C13" s="410">
        <v>44428</v>
      </c>
      <c r="D13" s="406" t="s">
        <v>232</v>
      </c>
      <c r="E13" s="409" t="s">
        <v>303</v>
      </c>
      <c r="F13" s="406" t="s">
        <v>231</v>
      </c>
      <c r="H13" s="409"/>
      <c r="J13" s="407" t="s">
        <v>233</v>
      </c>
    </row>
    <row r="14" spans="1:10" ht="15.75" customHeight="1">
      <c r="B14" s="409" t="s">
        <v>265</v>
      </c>
      <c r="C14" s="410">
        <v>44449</v>
      </c>
      <c r="D14" s="409" t="s">
        <v>283</v>
      </c>
      <c r="E14" s="409" t="s">
        <v>304</v>
      </c>
      <c r="F14" s="406"/>
      <c r="H14" s="409"/>
    </row>
    <row r="15" spans="1:10" ht="15.75" customHeight="1">
      <c r="B15" s="409" t="s">
        <v>246</v>
      </c>
      <c r="C15" s="410">
        <v>44470</v>
      </c>
      <c r="D15" s="409" t="s">
        <v>256</v>
      </c>
      <c r="E15" s="409" t="s">
        <v>305</v>
      </c>
      <c r="F15" s="406" t="s">
        <v>231</v>
      </c>
      <c r="H15" s="409"/>
      <c r="J15" s="407" t="s">
        <v>255</v>
      </c>
    </row>
    <row r="16" spans="1:10" ht="15.75" customHeight="1">
      <c r="B16" s="409" t="s">
        <v>248</v>
      </c>
      <c r="C16" s="411">
        <v>44484</v>
      </c>
      <c r="D16" s="409" t="s">
        <v>472</v>
      </c>
      <c r="E16" s="409" t="s">
        <v>277</v>
      </c>
      <c r="F16" s="406"/>
      <c r="H16" s="409"/>
    </row>
    <row r="17" spans="2:10" ht="15.75" customHeight="1">
      <c r="B17" s="412" t="s">
        <v>227</v>
      </c>
      <c r="C17" s="413">
        <v>44519</v>
      </c>
      <c r="D17" s="408" t="s">
        <v>229</v>
      </c>
      <c r="E17" s="412" t="s">
        <v>306</v>
      </c>
      <c r="F17" s="406" t="s">
        <v>226</v>
      </c>
      <c r="H17" s="409" t="s">
        <v>275</v>
      </c>
    </row>
    <row r="18" spans="2:10" ht="15.75" customHeight="1">
      <c r="B18" s="409" t="s">
        <v>266</v>
      </c>
      <c r="C18" s="411" t="s">
        <v>269</v>
      </c>
      <c r="D18" s="409" t="s">
        <v>260</v>
      </c>
      <c r="E18" s="409" t="s">
        <v>308</v>
      </c>
      <c r="F18" s="406" t="s">
        <v>271</v>
      </c>
      <c r="H18" s="409"/>
      <c r="J18" s="407" t="s">
        <v>267</v>
      </c>
    </row>
    <row r="19" spans="2:10" ht="15.75" customHeight="1">
      <c r="B19" s="409" t="s">
        <v>279</v>
      </c>
      <c r="C19" s="401" t="s">
        <v>277</v>
      </c>
      <c r="D19" s="406" t="s">
        <v>307</v>
      </c>
      <c r="E19" s="406"/>
      <c r="F19" s="406"/>
    </row>
    <row r="20" spans="2:10" ht="15.75" customHeight="1">
      <c r="B20" s="412" t="s">
        <v>276</v>
      </c>
      <c r="C20" s="414" t="s">
        <v>277</v>
      </c>
      <c r="D20" s="412" t="s">
        <v>285</v>
      </c>
      <c r="E20" s="412" t="s">
        <v>309</v>
      </c>
      <c r="F20" s="406"/>
      <c r="H20" s="409"/>
    </row>
    <row r="21" spans="2:10" ht="15.75" customHeight="1">
      <c r="B21" s="394" t="s">
        <v>310</v>
      </c>
      <c r="C21" s="411" t="s">
        <v>277</v>
      </c>
      <c r="D21" s="408" t="s">
        <v>229</v>
      </c>
      <c r="E21" s="394" t="s">
        <v>251</v>
      </c>
    </row>
    <row r="22" spans="2:10" ht="15.75" customHeight="1">
      <c r="B22" s="394" t="s">
        <v>311</v>
      </c>
      <c r="C22" s="411" t="s">
        <v>277</v>
      </c>
      <c r="D22" s="409" t="s">
        <v>270</v>
      </c>
      <c r="E22" s="394" t="s">
        <v>251</v>
      </c>
    </row>
    <row r="23" spans="2:10" ht="15.75" customHeight="1"/>
    <row r="24" spans="2:10" ht="15.75" customHeight="1">
      <c r="E24" s="409"/>
    </row>
    <row r="25" spans="2:10" ht="15.75" customHeight="1"/>
    <row r="26" spans="2:10" ht="15.75" customHeight="1">
      <c r="E26" s="409"/>
    </row>
    <row r="27" spans="2:10" ht="15.75" customHeight="1"/>
    <row r="28" spans="2:10" ht="15.75" customHeight="1"/>
    <row r="29" spans="2:10" ht="15.75" customHeight="1"/>
    <row r="30" spans="2:10" ht="15.75" customHeight="1"/>
  </sheetData>
  <hyperlinks>
    <hyperlink ref="J10" r:id="rId1" xr:uid="{00000000-0004-0000-1000-000000000000}"/>
  </hyperlinks>
  <pageMargins left="0.7" right="0.7" top="0.75" bottom="0.75" header="0.3" footer="0.3"/>
  <pageSetup orientation="landscape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1:L175"/>
  <sheetViews>
    <sheetView zoomScaleNormal="100" workbookViewId="0">
      <selection activeCell="H28" sqref="H28"/>
    </sheetView>
  </sheetViews>
  <sheetFormatPr baseColWidth="10" defaultColWidth="9" defaultRowHeight="16" outlineLevelRow="1"/>
  <cols>
    <col min="1" max="1" width="19.6640625" style="394" bestFit="1" customWidth="1"/>
    <col min="2" max="3" width="9" style="394"/>
    <col min="4" max="4" width="1.1640625" style="394" customWidth="1"/>
    <col min="5" max="6" width="9" style="394"/>
    <col min="7" max="7" width="1.1640625" style="394" customWidth="1"/>
    <col min="8" max="9" width="9" style="394"/>
    <col min="10" max="11" width="9" style="401"/>
    <col min="12" max="16384" width="9" style="394"/>
  </cols>
  <sheetData>
    <row r="1" spans="1:12" s="386" customFormat="1">
      <c r="A1" s="385"/>
      <c r="J1" s="387"/>
      <c r="K1" s="387"/>
    </row>
    <row r="2" spans="1:12" s="388" customFormat="1">
      <c r="A2" s="385" t="s">
        <v>499</v>
      </c>
      <c r="J2" s="389"/>
      <c r="K2" s="389"/>
    </row>
    <row r="3" spans="1:12" s="386" customFormat="1">
      <c r="A3" s="390" t="s">
        <v>312</v>
      </c>
      <c r="J3" s="387"/>
      <c r="K3" s="387"/>
    </row>
    <row r="4" spans="1:12" s="386" customFormat="1">
      <c r="A4" s="390"/>
      <c r="J4" s="387"/>
      <c r="K4" s="387"/>
    </row>
    <row r="5" spans="1:12" s="391" customFormat="1">
      <c r="B5" s="655" t="s">
        <v>485</v>
      </c>
      <c r="C5" s="655"/>
      <c r="D5" s="655"/>
      <c r="E5" s="655"/>
      <c r="F5" s="655"/>
      <c r="G5" s="392"/>
      <c r="J5" s="393"/>
      <c r="K5" s="393"/>
    </row>
    <row r="6" spans="1:12" s="391" customFormat="1">
      <c r="B6" s="392" t="s">
        <v>486</v>
      </c>
      <c r="C6" s="392" t="s">
        <v>286</v>
      </c>
      <c r="D6" s="394"/>
      <c r="E6" s="392" t="s">
        <v>487</v>
      </c>
      <c r="F6" s="392" t="s">
        <v>286</v>
      </c>
      <c r="G6" s="392"/>
      <c r="J6" s="393"/>
      <c r="K6" s="393"/>
    </row>
    <row r="7" spans="1:12" s="386" customFormat="1">
      <c r="A7" s="395" t="s">
        <v>207</v>
      </c>
      <c r="B7" s="392"/>
      <c r="C7" s="392"/>
      <c r="D7" s="394"/>
      <c r="E7" s="392"/>
      <c r="F7" s="392"/>
      <c r="G7" s="392"/>
      <c r="J7" s="387" t="s">
        <v>488</v>
      </c>
      <c r="K7" s="387">
        <v>2023</v>
      </c>
    </row>
    <row r="8" spans="1:12" s="386" customFormat="1">
      <c r="A8" s="396" t="s">
        <v>475</v>
      </c>
      <c r="B8" s="397">
        <v>1750</v>
      </c>
      <c r="C8" s="397">
        <f>Model!AW63</f>
        <v>1742.456375</v>
      </c>
      <c r="E8" s="397">
        <v>6925</v>
      </c>
      <c r="F8" s="397">
        <f>Model!CB63</f>
        <v>6925.1372874999997</v>
      </c>
      <c r="G8" s="397">
        <f>Model!CC63</f>
        <v>8076.2197193704915</v>
      </c>
      <c r="J8" s="397">
        <f>Model!AX63</f>
        <v>1805.6809125000002</v>
      </c>
      <c r="K8" s="397">
        <f>Model!CC63</f>
        <v>8076.2197193704915</v>
      </c>
      <c r="L8" s="397"/>
    </row>
    <row r="9" spans="1:12" s="386" customFormat="1">
      <c r="A9" s="396" t="s">
        <v>210</v>
      </c>
      <c r="B9" s="397">
        <v>625</v>
      </c>
      <c r="C9" s="397">
        <f>Model!AW65</f>
        <v>-627.78655614583352</v>
      </c>
      <c r="E9" s="397">
        <v>1848</v>
      </c>
      <c r="F9" s="397">
        <f>Model!CB65</f>
        <v>-1843.4914713270414</v>
      </c>
      <c r="G9" s="397">
        <f>Model!CC65</f>
        <v>-1943.2771836962841</v>
      </c>
      <c r="J9" s="397">
        <f>Model!AX65</f>
        <v>-406.70491518120792</v>
      </c>
      <c r="K9" s="397">
        <f>Model!CC65</f>
        <v>-1943.2771836962841</v>
      </c>
      <c r="L9" s="397"/>
    </row>
    <row r="10" spans="1:12" s="386" customFormat="1">
      <c r="A10" s="396" t="s">
        <v>219</v>
      </c>
      <c r="B10" s="397">
        <v>1100</v>
      </c>
      <c r="C10" s="397">
        <f>Model!AW74</f>
        <v>-1093.2691296689356</v>
      </c>
      <c r="E10" s="397">
        <v>4110</v>
      </c>
      <c r="F10" s="397">
        <f>Model!CB74</f>
        <v>-4104.6377797242885</v>
      </c>
      <c r="G10" s="397">
        <f>Model!CC74</f>
        <v>-4340.9634052392003</v>
      </c>
      <c r="J10" s="397">
        <f>Model!AX74</f>
        <v>-1105.3686500553529</v>
      </c>
      <c r="K10" s="397">
        <f>Model!CC74</f>
        <v>-4340.9634052392003</v>
      </c>
      <c r="L10" s="397"/>
    </row>
    <row r="11" spans="1:12" s="386" customFormat="1">
      <c r="A11" s="396" t="s">
        <v>176</v>
      </c>
      <c r="B11" s="397">
        <v>25</v>
      </c>
      <c r="C11" s="397">
        <f>Model!AW78</f>
        <v>21.400689185230704</v>
      </c>
      <c r="E11" s="397">
        <v>967</v>
      </c>
      <c r="F11" s="397">
        <f>Model!CB78</f>
        <v>977.00803644867028</v>
      </c>
      <c r="G11" s="397">
        <f>Model!CC78</f>
        <v>1791.9791304350074</v>
      </c>
      <c r="J11" s="397">
        <f>Model!AX78</f>
        <v>293.60734726343935</v>
      </c>
      <c r="K11" s="397">
        <f>Model!CC78</f>
        <v>1791.9791304350074</v>
      </c>
      <c r="L11" s="397"/>
    </row>
    <row r="12" spans="1:12">
      <c r="A12" s="396" t="s">
        <v>212</v>
      </c>
      <c r="B12" s="397">
        <v>8</v>
      </c>
      <c r="C12" s="397">
        <f>Model!AW81</f>
        <v>1.9429869716674482</v>
      </c>
      <c r="E12" s="397">
        <v>908</v>
      </c>
      <c r="F12" s="397">
        <f>Model!CB81</f>
        <v>911.79386509274173</v>
      </c>
      <c r="G12" s="397">
        <f>Model!CC81</f>
        <v>1722.6729164750732</v>
      </c>
      <c r="J12" s="397">
        <f>Model!AX81</f>
        <v>275.85087812107406</v>
      </c>
      <c r="K12" s="397">
        <f>Model!CC81</f>
        <v>1722.6729164750732</v>
      </c>
      <c r="L12" s="397"/>
    </row>
    <row r="13" spans="1:12" s="386" customFormat="1">
      <c r="A13" s="396" t="s">
        <v>220</v>
      </c>
      <c r="B13" s="397">
        <v>5</v>
      </c>
      <c r="C13" s="397">
        <f>Model!AW84</f>
        <v>1.2046519224338179</v>
      </c>
      <c r="E13" s="397">
        <v>583</v>
      </c>
      <c r="F13" s="397">
        <f>Model!CB84</f>
        <v>609.54500317086365</v>
      </c>
      <c r="G13" s="397">
        <f>Model!CC84</f>
        <v>1412.5917915095597</v>
      </c>
      <c r="J13" s="397">
        <f>Model!AX84</f>
        <v>110.34035124842964</v>
      </c>
      <c r="K13" s="397">
        <f>Model!CC84</f>
        <v>1412.5917915095597</v>
      </c>
      <c r="L13" s="397"/>
    </row>
    <row r="14" spans="1:12" s="386" customFormat="1">
      <c r="A14" s="396" t="s">
        <v>213</v>
      </c>
      <c r="B14" s="397">
        <v>287</v>
      </c>
      <c r="C14" s="397">
        <f>Model!AW87</f>
        <v>287.17395906154815</v>
      </c>
      <c r="E14" s="397">
        <v>287</v>
      </c>
      <c r="F14" s="397">
        <f>Model!CB87</f>
        <v>287.22417602075348</v>
      </c>
      <c r="G14" s="397">
        <f>Model!CC87</f>
        <v>279.33637712700545</v>
      </c>
      <c r="J14" s="397">
        <f>Model!AX87</f>
        <v>285.7227450214657</v>
      </c>
      <c r="K14" s="397">
        <f>Model!CC87</f>
        <v>279.33637712700545</v>
      </c>
      <c r="L14" s="397"/>
    </row>
    <row r="15" spans="1:12" s="386" customFormat="1">
      <c r="A15" s="396" t="s">
        <v>214</v>
      </c>
      <c r="B15" s="398">
        <v>0.02</v>
      </c>
      <c r="C15" s="398">
        <f>Model!AW86</f>
        <v>4.1948508366513575E-3</v>
      </c>
      <c r="E15" s="398">
        <v>2.0299999999999998</v>
      </c>
      <c r="F15" s="398">
        <f>Model!CB86</f>
        <v>2.1221925383008871</v>
      </c>
      <c r="G15" s="398">
        <f>Model!CC86</f>
        <v>5.0569560829784042</v>
      </c>
      <c r="J15" s="398">
        <f>Model!AX86</f>
        <v>0.38617979552219417</v>
      </c>
      <c r="K15" s="398">
        <f>Model!CC86</f>
        <v>5.0569560829784042</v>
      </c>
      <c r="L15" s="398"/>
    </row>
    <row r="16" spans="1:12">
      <c r="A16" s="396" t="s">
        <v>215</v>
      </c>
      <c r="B16" s="399">
        <v>0.375</v>
      </c>
      <c r="C16" s="399">
        <f>Model!AW83</f>
        <v>-0.38</v>
      </c>
      <c r="E16" s="399">
        <v>0.35792951541850221</v>
      </c>
      <c r="F16" s="399">
        <f>Model!CB83</f>
        <v>-0.33148815043972168</v>
      </c>
      <c r="G16" s="399">
        <f>Model!CC83</f>
        <v>-0.1800000000000001</v>
      </c>
      <c r="J16" s="399">
        <f>Model!AX83</f>
        <v>-0.6</v>
      </c>
      <c r="K16" s="399">
        <f>Model!CC83</f>
        <v>-0.1800000000000001</v>
      </c>
      <c r="L16" s="399"/>
    </row>
    <row r="17" spans="1:12" s="386" customFormat="1">
      <c r="A17" s="394" t="s">
        <v>484</v>
      </c>
      <c r="B17" s="397"/>
      <c r="C17" s="397">
        <f>CF!AW20</f>
        <v>1587.9404192621371</v>
      </c>
      <c r="E17" s="397">
        <v>1950</v>
      </c>
      <c r="F17" s="397">
        <f>CF!CB20</f>
        <v>1970.8234449847059</v>
      </c>
      <c r="G17" s="397">
        <f>CF!CC20</f>
        <v>2597.4110695515424</v>
      </c>
      <c r="J17" s="397">
        <f>CF!AX20</f>
        <v>461.88302572256885</v>
      </c>
      <c r="K17" s="397">
        <f>CF!CC20</f>
        <v>2597.4110695515424</v>
      </c>
      <c r="L17" s="397"/>
    </row>
    <row r="19" spans="1:12" s="400" customFormat="1">
      <c r="A19" s="395" t="s">
        <v>209</v>
      </c>
      <c r="B19" s="397"/>
      <c r="C19" s="397"/>
      <c r="E19" s="397"/>
      <c r="F19" s="397"/>
      <c r="G19" s="397"/>
      <c r="J19" s="397"/>
      <c r="K19" s="397"/>
      <c r="L19" s="397"/>
    </row>
    <row r="20" spans="1:12" s="400" customFormat="1">
      <c r="A20" s="396" t="s">
        <v>380</v>
      </c>
      <c r="B20" s="397">
        <v>2625</v>
      </c>
      <c r="C20" s="397">
        <f>Model!AW9</f>
        <v>2638.1281250000002</v>
      </c>
      <c r="E20" s="397">
        <v>7625</v>
      </c>
      <c r="F20" s="397">
        <f>Model!CB9</f>
        <v>7620.0806249999996</v>
      </c>
      <c r="G20" s="397">
        <f>Model!CC9</f>
        <v>8050.3377238647909</v>
      </c>
      <c r="J20" s="397">
        <f>Model!AX9</f>
        <v>1794.9524999999999</v>
      </c>
      <c r="K20" s="397">
        <f>Model!CC9</f>
        <v>8050.3377238647909</v>
      </c>
      <c r="L20" s="397"/>
    </row>
    <row r="21" spans="1:12" s="386" customFormat="1">
      <c r="A21" s="396" t="s">
        <v>210</v>
      </c>
      <c r="B21" s="397">
        <v>575</v>
      </c>
      <c r="C21" s="397">
        <f>Model!AW11</f>
        <v>-580.38818750000019</v>
      </c>
      <c r="E21" s="397">
        <v>1713</v>
      </c>
      <c r="F21" s="397">
        <f>Model!CB11</f>
        <v>-1720.6533452181209</v>
      </c>
      <c r="G21" s="397">
        <f>Model!CC11</f>
        <v>-1827.1079801362011</v>
      </c>
      <c r="J21" s="397">
        <f>Model!AX11</f>
        <v>-378.26515771812069</v>
      </c>
      <c r="K21" s="397">
        <f>Model!CC11</f>
        <v>-1827.1079801362011</v>
      </c>
      <c r="L21" s="397"/>
    </row>
    <row r="22" spans="1:12">
      <c r="A22" s="396" t="s">
        <v>219</v>
      </c>
      <c r="B22" s="397">
        <v>930</v>
      </c>
      <c r="C22" s="397">
        <f>Model!AW17</f>
        <v>-923.34484375000011</v>
      </c>
      <c r="E22" s="397">
        <v>3420</v>
      </c>
      <c r="F22" s="397">
        <f>Model!CB17</f>
        <v>-3392.0853575083893</v>
      </c>
      <c r="G22" s="397">
        <f>Model!CC17</f>
        <v>-3601.5153161871717</v>
      </c>
      <c r="J22" s="397">
        <f>Model!AX17</f>
        <v>-903.74051375838917</v>
      </c>
      <c r="K22" s="397">
        <f>Model!CC17</f>
        <v>-3601.5153161871717</v>
      </c>
      <c r="L22" s="397"/>
    </row>
    <row r="23" spans="1:12" s="386" customFormat="1">
      <c r="A23" s="396" t="s">
        <v>176</v>
      </c>
      <c r="B23" s="397">
        <v>1120</v>
      </c>
      <c r="C23" s="397">
        <f>Model!AW21</f>
        <v>1134.3950937499999</v>
      </c>
      <c r="E23" s="397">
        <v>2492</v>
      </c>
      <c r="F23" s="397">
        <f>Model!CB21</f>
        <v>2507.3419222734892</v>
      </c>
      <c r="G23" s="397">
        <f>Model!CC21</f>
        <v>2621.714427541418</v>
      </c>
      <c r="J23" s="397">
        <f>Model!AX21</f>
        <v>512.94682852349001</v>
      </c>
      <c r="K23" s="397">
        <f>Model!CC21</f>
        <v>2621.714427541418</v>
      </c>
      <c r="L23" s="397"/>
    </row>
    <row r="24" spans="1:12" s="386" customFormat="1">
      <c r="A24" s="396" t="s">
        <v>212</v>
      </c>
      <c r="B24" s="397">
        <v>1103</v>
      </c>
      <c r="C24" s="397">
        <f>Model!AW24</f>
        <v>1114.9373915364367</v>
      </c>
      <c r="E24" s="397">
        <v>2433</v>
      </c>
      <c r="F24" s="397">
        <f>Model!CB24</f>
        <v>2442.1277509175607</v>
      </c>
      <c r="G24" s="397">
        <f>Model!CC24</f>
        <v>2552.4082135814838</v>
      </c>
      <c r="J24" s="397">
        <f>Model!AX24</f>
        <v>495.19035938112472</v>
      </c>
      <c r="K24" s="397">
        <f>Model!CC24</f>
        <v>2552.4082135814838</v>
      </c>
      <c r="L24" s="397"/>
    </row>
    <row r="25" spans="1:12">
      <c r="A25" s="396" t="s">
        <v>220</v>
      </c>
      <c r="B25" s="397">
        <v>904.46</v>
      </c>
      <c r="C25" s="397">
        <f>Model!AW30</f>
        <v>914.24866105987815</v>
      </c>
      <c r="E25" s="397">
        <v>1995.0600000000002</v>
      </c>
      <c r="F25" s="397">
        <f>Model!CB30</f>
        <v>2002.5447557523996</v>
      </c>
      <c r="G25" s="397">
        <f>Model!CC30</f>
        <v>2092.9747351368164</v>
      </c>
      <c r="J25" s="397">
        <f>Model!AX30</f>
        <v>406.05609469252227</v>
      </c>
      <c r="K25" s="397">
        <f>Model!CC30</f>
        <v>2092.9747351368164</v>
      </c>
      <c r="L25" s="397"/>
    </row>
    <row r="26" spans="1:12">
      <c r="A26" s="396" t="s">
        <v>213</v>
      </c>
      <c r="B26" s="397">
        <v>287</v>
      </c>
      <c r="C26" s="397">
        <f>Model!AW33</f>
        <v>287.17395906154815</v>
      </c>
      <c r="E26" s="397">
        <v>287</v>
      </c>
      <c r="F26" s="397">
        <f>Model!CB33</f>
        <v>287.22417602075348</v>
      </c>
      <c r="G26" s="397">
        <f>Model!CC33</f>
        <v>279.33637712700545</v>
      </c>
      <c r="J26" s="397">
        <f>Model!AX33</f>
        <v>285.7227450214657</v>
      </c>
      <c r="K26" s="397">
        <f>Model!CC33</f>
        <v>279.33637712700545</v>
      </c>
      <c r="L26" s="397"/>
    </row>
    <row r="27" spans="1:12" s="386" customFormat="1">
      <c r="A27" s="396" t="s">
        <v>214</v>
      </c>
      <c r="B27" s="398">
        <v>3.1514285714285717</v>
      </c>
      <c r="C27" s="398">
        <f>Model!AW32</f>
        <v>3.1836057282057846</v>
      </c>
      <c r="E27" s="398">
        <v>6.951428571428572</v>
      </c>
      <c r="F27" s="398">
        <f>Model!CB32</f>
        <v>6.9720619743642507</v>
      </c>
      <c r="G27" s="398">
        <f>Model!CC32</f>
        <v>7.4926680035848205</v>
      </c>
      <c r="J27" s="398">
        <f>Model!AX32</f>
        <v>1.4211542544924669</v>
      </c>
      <c r="K27" s="398">
        <f>Model!CC32</f>
        <v>7.4926680035848205</v>
      </c>
      <c r="L27" s="398"/>
    </row>
    <row r="28" spans="1:12" s="386" customFormat="1">
      <c r="A28" s="396" t="s">
        <v>215</v>
      </c>
      <c r="B28" s="399">
        <v>0.18</v>
      </c>
      <c r="C28" s="399">
        <f>Model!AW26</f>
        <v>-0.18</v>
      </c>
      <c r="E28" s="399">
        <v>0.18</v>
      </c>
      <c r="F28" s="399">
        <f>Model!CB26</f>
        <v>-0.18000000000000005</v>
      </c>
      <c r="G28" s="399">
        <f>Model!CC26</f>
        <v>-0.18000000000000005</v>
      </c>
      <c r="J28" s="399">
        <f>Model!AX26</f>
        <v>-0.18</v>
      </c>
      <c r="K28" s="399">
        <f>Model!CC26</f>
        <v>-0.18000000000000005</v>
      </c>
      <c r="L28" s="399"/>
    </row>
    <row r="29" spans="1:12">
      <c r="A29" s="396"/>
    </row>
    <row r="30" spans="1:12">
      <c r="A30" s="402" t="s">
        <v>178</v>
      </c>
    </row>
    <row r="31" spans="1:12" s="386" customFormat="1">
      <c r="A31" s="396" t="s">
        <v>483</v>
      </c>
      <c r="B31" s="397">
        <v>875</v>
      </c>
      <c r="C31" s="397">
        <f>Drivers!AW101</f>
        <v>895.6717500000002</v>
      </c>
      <c r="E31" s="397">
        <v>700</v>
      </c>
      <c r="F31" s="397">
        <f>Drivers!CB101</f>
        <v>694.94333749999987</v>
      </c>
      <c r="G31" s="397">
        <f>Drivers!CC101</f>
        <v>-25.881995505700615</v>
      </c>
      <c r="J31" s="397">
        <f>Drivers!AX101</f>
        <v>-10.728412500000331</v>
      </c>
      <c r="K31" s="397">
        <f>Drivers!CC101</f>
        <v>-25.881995505700615</v>
      </c>
      <c r="L31" s="397"/>
    </row>
    <row r="32" spans="1:12" s="386" customFormat="1">
      <c r="A32" s="396" t="s">
        <v>208</v>
      </c>
      <c r="B32" s="397">
        <f>-50+-35</f>
        <v>-85</v>
      </c>
      <c r="C32" s="397">
        <f>-Drivers!AW272</f>
        <v>82.074619356435647</v>
      </c>
      <c r="E32" s="397">
        <v>275</v>
      </c>
      <c r="F32" s="397">
        <f>-Drivers!CB272</f>
        <v>257.77691980928768</v>
      </c>
      <c r="G32" s="397">
        <f>-Drivers!CC272</f>
        <v>237.00012885771977</v>
      </c>
      <c r="J32" s="397">
        <f>-Drivers!AX272</f>
        <v>61.702300452852022</v>
      </c>
      <c r="K32" s="397">
        <f>-Drivers!CC272</f>
        <v>237.00012885771977</v>
      </c>
      <c r="L32" s="397"/>
    </row>
    <row r="33" spans="1:12">
      <c r="A33" s="396" t="s">
        <v>217</v>
      </c>
      <c r="B33" s="397">
        <v>135</v>
      </c>
      <c r="C33" s="397">
        <f>-Drivers!AW258</f>
        <v>135.24803520833333</v>
      </c>
      <c r="E33" s="397">
        <v>550</v>
      </c>
      <c r="F33" s="397">
        <f>-Drivers!CB258</f>
        <v>577.61362851553213</v>
      </c>
      <c r="G33" s="397">
        <f>-Drivers!CC258</f>
        <v>618.61716375439119</v>
      </c>
      <c r="J33" s="397">
        <f>-Drivers!AX258</f>
        <v>168.36559330719879</v>
      </c>
      <c r="K33" s="397">
        <f>-Drivers!CC258</f>
        <v>618.61716375439119</v>
      </c>
      <c r="L33" s="397"/>
    </row>
    <row r="34" spans="1:12" s="386" customFormat="1">
      <c r="A34" s="396"/>
      <c r="J34" s="387"/>
      <c r="K34" s="387"/>
    </row>
    <row r="35" spans="1:12" s="386" customFormat="1">
      <c r="A35" s="396"/>
      <c r="B35" s="394"/>
      <c r="C35" s="394"/>
      <c r="D35" s="394"/>
      <c r="E35" s="394"/>
      <c r="F35" s="394"/>
      <c r="G35" s="394"/>
      <c r="J35" s="387"/>
      <c r="K35" s="387"/>
    </row>
    <row r="36" spans="1:12">
      <c r="A36" s="396"/>
      <c r="G36" s="386"/>
    </row>
    <row r="37" spans="1:12">
      <c r="A37" s="396"/>
      <c r="B37" s="386"/>
      <c r="C37" s="386"/>
      <c r="D37" s="386"/>
      <c r="E37" s="386"/>
      <c r="F37" s="386"/>
      <c r="G37" s="386"/>
    </row>
    <row r="38" spans="1:12" s="386" customFormat="1">
      <c r="A38" s="396"/>
      <c r="G38" s="394"/>
      <c r="J38" s="387"/>
      <c r="K38" s="387"/>
    </row>
    <row r="39" spans="1:12" s="386" customFormat="1">
      <c r="A39" s="394"/>
      <c r="B39" s="394"/>
      <c r="C39" s="394"/>
      <c r="D39" s="394"/>
      <c r="E39" s="394"/>
      <c r="F39" s="394"/>
      <c r="G39" s="394"/>
      <c r="J39" s="387"/>
      <c r="K39" s="387"/>
    </row>
    <row r="40" spans="1:12">
      <c r="B40" s="386"/>
      <c r="G40" s="386"/>
    </row>
    <row r="41" spans="1:12">
      <c r="A41" s="386"/>
      <c r="B41" s="386"/>
      <c r="C41" s="386"/>
      <c r="D41" s="386"/>
      <c r="E41" s="386"/>
      <c r="F41" s="386"/>
      <c r="G41" s="386"/>
    </row>
    <row r="42" spans="1:12" s="386" customFormat="1">
      <c r="B42" s="394"/>
      <c r="G42" s="394"/>
      <c r="J42" s="387"/>
      <c r="K42" s="387"/>
    </row>
    <row r="43" spans="1:12" s="386" customFormat="1">
      <c r="B43" s="394"/>
      <c r="C43" s="394"/>
      <c r="D43" s="394"/>
      <c r="E43" s="394"/>
      <c r="F43" s="394"/>
      <c r="G43" s="394"/>
      <c r="J43" s="387"/>
      <c r="K43" s="387"/>
    </row>
    <row r="44" spans="1:12">
      <c r="A44" s="386"/>
      <c r="B44" s="386"/>
      <c r="C44" s="386"/>
      <c r="D44" s="386"/>
      <c r="E44" s="386"/>
      <c r="F44" s="386"/>
      <c r="G44" s="386"/>
    </row>
    <row r="46" spans="1:12" s="386" customFormat="1">
      <c r="A46" s="394"/>
      <c r="B46" s="394"/>
      <c r="C46" s="394"/>
      <c r="D46" s="394"/>
      <c r="E46" s="394"/>
      <c r="F46" s="394"/>
      <c r="G46" s="394"/>
      <c r="J46" s="387"/>
      <c r="K46" s="387"/>
    </row>
    <row r="47" spans="1:12" s="386" customFormat="1">
      <c r="J47" s="387"/>
      <c r="K47" s="387"/>
    </row>
    <row r="48" spans="1:12">
      <c r="A48" s="386"/>
      <c r="B48" s="386"/>
      <c r="C48" s="386"/>
      <c r="D48" s="386"/>
      <c r="E48" s="386"/>
      <c r="F48" s="386"/>
      <c r="G48" s="386"/>
    </row>
    <row r="50" spans="1:11" s="386" customFormat="1">
      <c r="A50" s="394"/>
      <c r="B50" s="394"/>
      <c r="C50" s="394"/>
      <c r="D50" s="394"/>
      <c r="E50" s="394"/>
      <c r="F50" s="394"/>
      <c r="G50" s="394"/>
      <c r="J50" s="387"/>
      <c r="K50" s="387"/>
    </row>
    <row r="51" spans="1:11" s="386" customFormat="1">
      <c r="J51" s="387"/>
      <c r="K51" s="387"/>
    </row>
    <row r="52" spans="1:11">
      <c r="A52" s="386"/>
      <c r="B52" s="386"/>
      <c r="C52" s="386"/>
      <c r="D52" s="386"/>
      <c r="E52" s="386"/>
      <c r="F52" s="386"/>
      <c r="G52" s="386"/>
    </row>
    <row r="54" spans="1:11" s="386" customFormat="1">
      <c r="A54" s="394"/>
      <c r="B54" s="394"/>
      <c r="C54" s="394"/>
      <c r="D54" s="394"/>
      <c r="E54" s="394"/>
      <c r="F54" s="394"/>
      <c r="G54" s="394"/>
      <c r="J54" s="387"/>
      <c r="K54" s="387"/>
    </row>
    <row r="55" spans="1:11" s="386" customFormat="1">
      <c r="J55" s="387"/>
      <c r="K55" s="387"/>
    </row>
    <row r="56" spans="1:11">
      <c r="A56" s="386"/>
      <c r="B56" s="386"/>
      <c r="C56" s="386"/>
      <c r="D56" s="386"/>
      <c r="E56" s="386"/>
      <c r="F56" s="386"/>
      <c r="G56" s="386"/>
    </row>
    <row r="57" spans="1:11" hidden="1" outlineLevel="1"/>
    <row r="58" spans="1:11" s="400" customFormat="1" hidden="1" outlineLevel="1">
      <c r="A58" s="394"/>
      <c r="B58" s="394"/>
      <c r="C58" s="394"/>
      <c r="D58" s="394"/>
      <c r="E58" s="394"/>
      <c r="F58" s="394"/>
      <c r="G58" s="394"/>
      <c r="J58" s="403"/>
      <c r="K58" s="403"/>
    </row>
    <row r="59" spans="1:11" s="400" customFormat="1" hidden="1" outlineLevel="1">
      <c r="J59" s="403"/>
      <c r="K59" s="403"/>
    </row>
    <row r="60" spans="1:11" hidden="1" outlineLevel="1">
      <c r="A60" s="400"/>
      <c r="B60" s="400"/>
      <c r="C60" s="400"/>
      <c r="D60" s="400"/>
      <c r="E60" s="400"/>
      <c r="F60" s="400"/>
      <c r="G60" s="400"/>
    </row>
    <row r="61" spans="1:11" collapsed="1"/>
    <row r="62" spans="1:11" s="386" customFormat="1">
      <c r="A62" s="394"/>
      <c r="B62" s="394"/>
      <c r="C62" s="394"/>
      <c r="D62" s="394"/>
      <c r="E62" s="394"/>
      <c r="F62" s="394"/>
      <c r="G62" s="394"/>
      <c r="J62" s="387"/>
      <c r="K62" s="387"/>
    </row>
    <row r="63" spans="1:11" s="386" customFormat="1">
      <c r="J63" s="387"/>
      <c r="K63" s="387"/>
    </row>
    <row r="64" spans="1:11">
      <c r="A64" s="386"/>
      <c r="B64" s="386"/>
      <c r="C64" s="386"/>
      <c r="D64" s="386"/>
      <c r="E64" s="386"/>
      <c r="F64" s="386"/>
      <c r="G64" s="386"/>
    </row>
    <row r="66" spans="1:11" s="386" customFormat="1">
      <c r="A66" s="394"/>
      <c r="B66" s="394"/>
      <c r="C66" s="394"/>
      <c r="D66" s="394"/>
      <c r="E66" s="394"/>
      <c r="F66" s="394"/>
      <c r="G66" s="394"/>
      <c r="J66" s="387"/>
      <c r="K66" s="387"/>
    </row>
    <row r="67" spans="1:11" s="386" customFormat="1">
      <c r="J67" s="387"/>
      <c r="K67" s="387"/>
    </row>
    <row r="68" spans="1:11">
      <c r="A68" s="386"/>
      <c r="B68" s="386"/>
      <c r="C68" s="386"/>
      <c r="D68" s="386"/>
      <c r="E68" s="386"/>
      <c r="F68" s="386"/>
      <c r="G68" s="386"/>
    </row>
    <row r="69" spans="1:11" hidden="1" outlineLevel="1"/>
    <row r="70" spans="1:11" s="400" customFormat="1" hidden="1" outlineLevel="1">
      <c r="A70" s="394"/>
      <c r="B70" s="394"/>
      <c r="C70" s="394"/>
      <c r="D70" s="394"/>
      <c r="E70" s="394"/>
      <c r="F70" s="394"/>
      <c r="G70" s="394"/>
      <c r="J70" s="403"/>
      <c r="K70" s="403"/>
    </row>
    <row r="71" spans="1:11" s="400" customFormat="1" hidden="1" outlineLevel="1">
      <c r="J71" s="403"/>
      <c r="K71" s="403"/>
    </row>
    <row r="72" spans="1:11" hidden="1" outlineLevel="1">
      <c r="A72" s="400"/>
      <c r="B72" s="400"/>
      <c r="C72" s="400"/>
      <c r="D72" s="400"/>
      <c r="E72" s="400"/>
      <c r="F72" s="400"/>
      <c r="G72" s="400"/>
    </row>
    <row r="73" spans="1:11" collapsed="1"/>
    <row r="74" spans="1:11" s="386" customFormat="1">
      <c r="A74" s="394"/>
      <c r="B74" s="394"/>
      <c r="C74" s="394"/>
      <c r="D74" s="394"/>
      <c r="E74" s="394"/>
      <c r="F74" s="394"/>
      <c r="G74" s="394"/>
      <c r="J74" s="387"/>
      <c r="K74" s="387"/>
    </row>
    <row r="75" spans="1:11" s="386" customFormat="1">
      <c r="J75" s="387"/>
      <c r="K75" s="387"/>
    </row>
    <row r="76" spans="1:11">
      <c r="A76" s="386"/>
      <c r="B76" s="386"/>
      <c r="C76" s="386"/>
      <c r="D76" s="386"/>
      <c r="E76" s="386"/>
      <c r="F76" s="386"/>
      <c r="G76" s="386"/>
    </row>
    <row r="78" spans="1:11" s="386" customFormat="1">
      <c r="A78" s="394"/>
      <c r="B78" s="394"/>
      <c r="C78" s="394"/>
      <c r="D78" s="394"/>
      <c r="E78" s="394"/>
      <c r="F78" s="394"/>
      <c r="G78" s="394"/>
      <c r="J78" s="387"/>
      <c r="K78" s="387"/>
    </row>
    <row r="79" spans="1:11" s="386" customFormat="1">
      <c r="J79" s="387"/>
      <c r="K79" s="387"/>
    </row>
    <row r="80" spans="1:11">
      <c r="A80" s="386"/>
      <c r="B80" s="386"/>
      <c r="C80" s="386"/>
      <c r="D80" s="386"/>
      <c r="E80" s="386"/>
      <c r="F80" s="386"/>
      <c r="G80" s="386"/>
    </row>
    <row r="82" spans="1:11" s="404" customFormat="1">
      <c r="A82" s="394"/>
      <c r="B82" s="394"/>
      <c r="C82" s="394"/>
      <c r="D82" s="394"/>
      <c r="E82" s="394"/>
      <c r="F82" s="394"/>
      <c r="G82" s="394"/>
      <c r="J82" s="405"/>
      <c r="K82" s="405"/>
    </row>
    <row r="83" spans="1:11" s="404" customFormat="1">
      <c r="J83" s="405"/>
      <c r="K83" s="405"/>
    </row>
    <row r="84" spans="1:11">
      <c r="A84" s="404"/>
      <c r="B84" s="404"/>
      <c r="C84" s="404"/>
      <c r="D84" s="404"/>
      <c r="E84" s="404"/>
      <c r="F84" s="404"/>
      <c r="G84" s="404"/>
    </row>
    <row r="86" spans="1:11" s="404" customFormat="1">
      <c r="A86" s="394"/>
      <c r="B86" s="394"/>
      <c r="C86" s="394"/>
      <c r="D86" s="394"/>
      <c r="E86" s="394"/>
      <c r="F86" s="394"/>
      <c r="G86" s="394"/>
      <c r="J86" s="405"/>
      <c r="K86" s="405"/>
    </row>
    <row r="87" spans="1:11" s="404" customFormat="1">
      <c r="J87" s="405"/>
      <c r="K87" s="405"/>
    </row>
    <row r="88" spans="1:11">
      <c r="A88" s="404"/>
      <c r="B88" s="404"/>
      <c r="C88" s="404"/>
      <c r="D88" s="404"/>
      <c r="E88" s="404"/>
      <c r="F88" s="404"/>
      <c r="G88" s="404"/>
    </row>
    <row r="90" spans="1:11" s="386" customFormat="1">
      <c r="A90" s="394"/>
      <c r="B90" s="394"/>
      <c r="C90" s="394"/>
      <c r="D90" s="394"/>
      <c r="E90" s="394"/>
      <c r="F90" s="394"/>
      <c r="G90" s="394"/>
      <c r="J90" s="387"/>
      <c r="K90" s="387"/>
    </row>
    <row r="91" spans="1:11" s="388" customFormat="1" ht="15" customHeight="1">
      <c r="A91" s="386"/>
      <c r="B91" s="386"/>
      <c r="C91" s="386"/>
      <c r="D91" s="386"/>
      <c r="E91" s="386"/>
      <c r="F91" s="386"/>
      <c r="G91" s="386"/>
      <c r="J91" s="389"/>
      <c r="K91" s="389"/>
    </row>
    <row r="92" spans="1:11" s="386" customFormat="1">
      <c r="A92" s="388"/>
      <c r="B92" s="388"/>
      <c r="C92" s="388"/>
      <c r="D92" s="388"/>
      <c r="E92" s="388"/>
      <c r="F92" s="388"/>
      <c r="G92" s="388"/>
      <c r="J92" s="387"/>
      <c r="K92" s="387"/>
    </row>
    <row r="93" spans="1:11" s="386" customFormat="1">
      <c r="J93" s="387"/>
      <c r="K93" s="387"/>
    </row>
    <row r="94" spans="1:11" s="386" customFormat="1">
      <c r="J94" s="387"/>
      <c r="K94" s="387"/>
    </row>
    <row r="95" spans="1:11">
      <c r="A95" s="386"/>
      <c r="B95" s="386"/>
      <c r="C95" s="386"/>
      <c r="D95" s="386"/>
      <c r="E95" s="386"/>
      <c r="F95" s="386"/>
      <c r="G95" s="386"/>
    </row>
    <row r="96" spans="1:11" s="386" customFormat="1">
      <c r="A96" s="394"/>
      <c r="B96" s="394"/>
      <c r="C96" s="394"/>
      <c r="D96" s="394"/>
      <c r="E96" s="394"/>
      <c r="F96" s="394"/>
      <c r="G96" s="394"/>
      <c r="J96" s="387"/>
      <c r="K96" s="387"/>
    </row>
    <row r="97" spans="1:11" s="391" customFormat="1">
      <c r="A97" s="386"/>
      <c r="B97" s="386"/>
      <c r="C97" s="386"/>
      <c r="D97" s="386"/>
      <c r="E97" s="386"/>
      <c r="F97" s="386"/>
      <c r="G97" s="386"/>
      <c r="J97" s="393"/>
      <c r="K97" s="393"/>
    </row>
    <row r="98" spans="1:11" s="386" customFormat="1">
      <c r="A98" s="391"/>
      <c r="B98" s="391"/>
      <c r="C98" s="391"/>
      <c r="D98" s="391"/>
      <c r="E98" s="391"/>
      <c r="F98" s="391"/>
      <c r="G98" s="391"/>
      <c r="J98" s="387"/>
      <c r="K98" s="387"/>
    </row>
    <row r="99" spans="1:11">
      <c r="A99" s="386"/>
      <c r="B99" s="386"/>
      <c r="C99" s="386"/>
      <c r="D99" s="386"/>
      <c r="E99" s="386"/>
      <c r="F99" s="386"/>
      <c r="G99" s="386"/>
    </row>
    <row r="100" spans="1:11" s="386" customFormat="1">
      <c r="A100" s="394"/>
      <c r="B100" s="394"/>
      <c r="C100" s="394"/>
      <c r="D100" s="394"/>
      <c r="E100" s="394"/>
      <c r="F100" s="394"/>
      <c r="G100" s="394"/>
      <c r="J100" s="387"/>
      <c r="K100" s="387"/>
    </row>
    <row r="101" spans="1:11" s="391" customFormat="1">
      <c r="A101" s="386"/>
      <c r="B101" s="386"/>
      <c r="C101" s="386"/>
      <c r="D101" s="386"/>
      <c r="E101" s="386"/>
      <c r="F101" s="386"/>
      <c r="G101" s="386"/>
      <c r="J101" s="393"/>
      <c r="K101" s="393"/>
    </row>
    <row r="102" spans="1:11" s="386" customFormat="1">
      <c r="A102" s="391"/>
      <c r="B102" s="391"/>
      <c r="C102" s="391"/>
      <c r="D102" s="391"/>
      <c r="E102" s="391"/>
      <c r="F102" s="391"/>
      <c r="G102" s="391"/>
      <c r="J102" s="387"/>
      <c r="K102" s="387"/>
    </row>
    <row r="103" spans="1:11">
      <c r="A103" s="386"/>
      <c r="B103" s="386"/>
      <c r="C103" s="386"/>
      <c r="D103" s="386"/>
      <c r="E103" s="386"/>
      <c r="F103" s="386"/>
      <c r="G103" s="386"/>
    </row>
    <row r="104" spans="1:11" s="386" customFormat="1">
      <c r="A104" s="394"/>
      <c r="B104" s="394"/>
      <c r="C104" s="394"/>
      <c r="D104" s="394"/>
      <c r="E104" s="394"/>
      <c r="F104" s="394"/>
      <c r="G104" s="394"/>
      <c r="J104" s="387"/>
      <c r="K104" s="387"/>
    </row>
    <row r="105" spans="1:11" s="391" customFormat="1">
      <c r="A105" s="386"/>
      <c r="B105" s="386"/>
      <c r="C105" s="386"/>
      <c r="D105" s="386"/>
      <c r="E105" s="386"/>
      <c r="F105" s="386"/>
      <c r="G105" s="386"/>
      <c r="J105" s="393"/>
      <c r="K105" s="393"/>
    </row>
    <row r="106" spans="1:11" s="386" customFormat="1">
      <c r="A106" s="391"/>
      <c r="B106" s="391"/>
      <c r="C106" s="391"/>
      <c r="D106" s="391"/>
      <c r="E106" s="391"/>
      <c r="F106" s="391"/>
      <c r="G106" s="391"/>
      <c r="J106" s="387"/>
      <c r="K106" s="387"/>
    </row>
    <row r="107" spans="1:11">
      <c r="A107" s="386"/>
      <c r="B107" s="386"/>
      <c r="C107" s="386"/>
      <c r="D107" s="386"/>
      <c r="E107" s="386"/>
      <c r="F107" s="386"/>
      <c r="G107" s="386"/>
    </row>
    <row r="109" spans="1:11" s="386" customFormat="1">
      <c r="A109" s="394"/>
      <c r="B109" s="394"/>
      <c r="C109" s="394"/>
      <c r="D109" s="394"/>
      <c r="E109" s="394"/>
      <c r="F109" s="394"/>
      <c r="G109" s="394"/>
      <c r="J109" s="387"/>
      <c r="K109" s="387"/>
    </row>
    <row r="110" spans="1:11" s="386" customFormat="1">
      <c r="J110" s="387"/>
      <c r="K110" s="387"/>
    </row>
    <row r="111" spans="1:11">
      <c r="A111" s="386"/>
      <c r="B111" s="386"/>
      <c r="C111" s="386"/>
      <c r="D111" s="386"/>
      <c r="E111" s="386"/>
      <c r="F111" s="386"/>
      <c r="G111" s="386"/>
    </row>
    <row r="113" spans="1:11" s="386" customFormat="1">
      <c r="A113" s="394"/>
      <c r="B113" s="394"/>
      <c r="C113" s="394"/>
      <c r="D113" s="394"/>
      <c r="E113" s="394"/>
      <c r="F113" s="394"/>
      <c r="G113" s="394"/>
      <c r="J113" s="387"/>
      <c r="K113" s="387"/>
    </row>
    <row r="114" spans="1:11" s="386" customFormat="1">
      <c r="J114" s="387"/>
      <c r="K114" s="387"/>
    </row>
    <row r="115" spans="1:11">
      <c r="A115" s="386"/>
      <c r="B115" s="386"/>
      <c r="C115" s="386"/>
      <c r="D115" s="386"/>
      <c r="E115" s="386"/>
      <c r="F115" s="386"/>
      <c r="G115" s="386"/>
    </row>
    <row r="117" spans="1:11" s="386" customFormat="1">
      <c r="A117" s="394"/>
      <c r="B117" s="394"/>
      <c r="C117" s="394"/>
      <c r="D117" s="394"/>
      <c r="E117" s="394"/>
      <c r="F117" s="394"/>
      <c r="G117" s="394"/>
      <c r="J117" s="387"/>
      <c r="K117" s="387"/>
    </row>
    <row r="118" spans="1:11" s="386" customFormat="1">
      <c r="J118" s="387"/>
      <c r="K118" s="387"/>
    </row>
    <row r="119" spans="1:11">
      <c r="A119" s="386"/>
      <c r="B119" s="386"/>
      <c r="C119" s="386"/>
      <c r="D119" s="386"/>
      <c r="E119" s="386"/>
      <c r="F119" s="386"/>
      <c r="G119" s="386"/>
    </row>
    <row r="121" spans="1:11" s="391" customFormat="1">
      <c r="A121" s="394"/>
      <c r="B121" s="394"/>
      <c r="C121" s="394"/>
      <c r="D121" s="394"/>
      <c r="E121" s="394"/>
      <c r="F121" s="394"/>
      <c r="G121" s="394"/>
      <c r="J121" s="393"/>
      <c r="K121" s="393"/>
    </row>
    <row r="122" spans="1:11" s="386" customFormat="1">
      <c r="A122" s="391"/>
      <c r="B122" s="391"/>
      <c r="C122" s="391"/>
      <c r="D122" s="391"/>
      <c r="E122" s="391"/>
      <c r="F122" s="391"/>
      <c r="G122" s="391"/>
      <c r="J122" s="387"/>
      <c r="K122" s="387"/>
    </row>
    <row r="123" spans="1:11">
      <c r="A123" s="386"/>
      <c r="B123" s="386"/>
      <c r="C123" s="386"/>
      <c r="D123" s="386"/>
      <c r="E123" s="386"/>
      <c r="F123" s="386"/>
      <c r="G123" s="386"/>
    </row>
    <row r="125" spans="1:11" s="391" customFormat="1">
      <c r="A125" s="394"/>
      <c r="B125" s="394"/>
      <c r="C125" s="394"/>
      <c r="D125" s="394"/>
      <c r="E125" s="394"/>
      <c r="F125" s="394"/>
      <c r="G125" s="394"/>
      <c r="J125" s="393"/>
      <c r="K125" s="393"/>
    </row>
    <row r="126" spans="1:11" s="386" customFormat="1">
      <c r="A126" s="391"/>
      <c r="B126" s="391"/>
      <c r="C126" s="391"/>
      <c r="D126" s="391"/>
      <c r="E126" s="391"/>
      <c r="F126" s="391"/>
      <c r="G126" s="391"/>
      <c r="J126" s="387"/>
      <c r="K126" s="387"/>
    </row>
    <row r="127" spans="1:11">
      <c r="A127" s="386"/>
      <c r="B127" s="386"/>
      <c r="C127" s="386"/>
      <c r="D127" s="386"/>
      <c r="E127" s="386"/>
      <c r="F127" s="386"/>
      <c r="G127" s="386"/>
    </row>
    <row r="129" spans="1:11" s="391" customFormat="1">
      <c r="A129" s="394"/>
      <c r="B129" s="394"/>
      <c r="C129" s="394"/>
      <c r="D129" s="394"/>
      <c r="E129" s="394"/>
      <c r="F129" s="394"/>
      <c r="G129" s="394"/>
      <c r="J129" s="393"/>
      <c r="K129" s="393"/>
    </row>
    <row r="130" spans="1:11" s="386" customFormat="1">
      <c r="A130" s="391"/>
      <c r="B130" s="391"/>
      <c r="C130" s="391"/>
      <c r="D130" s="391"/>
      <c r="E130" s="391"/>
      <c r="F130" s="391"/>
      <c r="G130" s="391"/>
      <c r="J130" s="387"/>
      <c r="K130" s="387"/>
    </row>
    <row r="131" spans="1:11">
      <c r="A131" s="386"/>
      <c r="B131" s="386"/>
      <c r="C131" s="386"/>
      <c r="D131" s="386"/>
      <c r="E131" s="386"/>
      <c r="F131" s="386"/>
      <c r="G131" s="386"/>
    </row>
    <row r="133" spans="1:11" s="391" customFormat="1">
      <c r="A133" s="394"/>
      <c r="B133" s="394"/>
      <c r="C133" s="394"/>
      <c r="D133" s="394"/>
      <c r="E133" s="394"/>
      <c r="F133" s="394"/>
      <c r="G133" s="394"/>
      <c r="J133" s="393"/>
      <c r="K133" s="393"/>
    </row>
    <row r="134" spans="1:11" s="386" customFormat="1">
      <c r="A134" s="391"/>
      <c r="B134" s="391"/>
      <c r="C134" s="391"/>
      <c r="D134" s="391"/>
      <c r="E134" s="391"/>
      <c r="F134" s="391"/>
      <c r="G134" s="391"/>
      <c r="J134" s="387"/>
      <c r="K134" s="387"/>
    </row>
    <row r="135" spans="1:11">
      <c r="A135" s="386"/>
      <c r="B135" s="386"/>
      <c r="C135" s="386"/>
      <c r="D135" s="386"/>
      <c r="E135" s="386"/>
      <c r="F135" s="386"/>
      <c r="G135" s="386"/>
    </row>
    <row r="137" spans="1:11" s="391" customFormat="1">
      <c r="A137" s="394"/>
      <c r="B137" s="394"/>
      <c r="C137" s="394"/>
      <c r="D137" s="394"/>
      <c r="E137" s="394"/>
      <c r="F137" s="394"/>
      <c r="G137" s="394"/>
      <c r="J137" s="393"/>
      <c r="K137" s="393"/>
    </row>
    <row r="138" spans="1:11" s="386" customFormat="1">
      <c r="A138" s="391"/>
      <c r="B138" s="391"/>
      <c r="C138" s="391"/>
      <c r="D138" s="391"/>
      <c r="E138" s="391"/>
      <c r="F138" s="391"/>
      <c r="G138" s="391"/>
      <c r="J138" s="387"/>
      <c r="K138" s="387"/>
    </row>
    <row r="139" spans="1:11">
      <c r="A139" s="386"/>
      <c r="B139" s="386"/>
      <c r="C139" s="386"/>
      <c r="D139" s="386"/>
      <c r="E139" s="386"/>
      <c r="F139" s="386"/>
      <c r="G139" s="386"/>
    </row>
    <row r="141" spans="1:11" s="386" customFormat="1">
      <c r="A141" s="394"/>
      <c r="B141" s="394"/>
      <c r="C141" s="394"/>
      <c r="D141" s="394"/>
      <c r="E141" s="394"/>
      <c r="F141" s="394"/>
      <c r="G141" s="394"/>
      <c r="J141" s="387"/>
      <c r="K141" s="387"/>
    </row>
    <row r="142" spans="1:11" s="386" customFormat="1">
      <c r="J142" s="387"/>
      <c r="K142" s="387"/>
    </row>
    <row r="143" spans="1:11">
      <c r="A143" s="386"/>
      <c r="B143" s="386"/>
      <c r="C143" s="386"/>
      <c r="D143" s="386"/>
      <c r="E143" s="386"/>
      <c r="F143" s="386"/>
      <c r="G143" s="386"/>
    </row>
    <row r="145" spans="1:11" s="391" customFormat="1">
      <c r="A145" s="394"/>
      <c r="B145" s="394"/>
      <c r="C145" s="394"/>
      <c r="D145" s="394"/>
      <c r="E145" s="394"/>
      <c r="F145" s="394"/>
      <c r="G145" s="394"/>
      <c r="J145" s="393"/>
      <c r="K145" s="393"/>
    </row>
    <row r="146" spans="1:11" s="386" customFormat="1">
      <c r="A146" s="391"/>
      <c r="B146" s="391"/>
      <c r="C146" s="391"/>
      <c r="D146" s="391"/>
      <c r="E146" s="391"/>
      <c r="F146" s="391"/>
      <c r="G146" s="391"/>
      <c r="J146" s="387"/>
      <c r="K146" s="387"/>
    </row>
    <row r="147" spans="1:11">
      <c r="A147" s="386"/>
      <c r="B147" s="386"/>
      <c r="C147" s="386"/>
      <c r="D147" s="386"/>
      <c r="E147" s="386"/>
      <c r="F147" s="386"/>
      <c r="G147" s="386"/>
    </row>
    <row r="149" spans="1:11" s="391" customFormat="1">
      <c r="A149" s="394"/>
      <c r="B149" s="394"/>
      <c r="C149" s="394"/>
      <c r="D149" s="394"/>
      <c r="E149" s="394"/>
      <c r="F149" s="394"/>
      <c r="G149" s="394"/>
      <c r="J149" s="393"/>
      <c r="K149" s="393"/>
    </row>
    <row r="150" spans="1:11" s="386" customFormat="1">
      <c r="A150" s="391"/>
      <c r="B150" s="391"/>
      <c r="C150" s="391"/>
      <c r="D150" s="391"/>
      <c r="E150" s="391"/>
      <c r="F150" s="391"/>
      <c r="G150" s="391"/>
      <c r="J150" s="387"/>
      <c r="K150" s="387"/>
    </row>
    <row r="151" spans="1:11">
      <c r="A151" s="386"/>
      <c r="B151" s="386"/>
      <c r="C151" s="386"/>
      <c r="D151" s="386"/>
      <c r="E151" s="386"/>
      <c r="F151" s="386"/>
      <c r="G151" s="386"/>
    </row>
    <row r="153" spans="1:11" s="391" customFormat="1">
      <c r="A153" s="394"/>
      <c r="B153" s="394"/>
      <c r="C153" s="394"/>
      <c r="D153" s="394"/>
      <c r="E153" s="394"/>
      <c r="F153" s="394"/>
      <c r="G153" s="394"/>
      <c r="J153" s="393"/>
      <c r="K153" s="393"/>
    </row>
    <row r="154" spans="1:11" s="386" customFormat="1">
      <c r="A154" s="391"/>
      <c r="B154" s="391"/>
      <c r="C154" s="391"/>
      <c r="D154" s="391"/>
      <c r="E154" s="391"/>
      <c r="F154" s="391"/>
      <c r="G154" s="391"/>
      <c r="J154" s="387"/>
      <c r="K154" s="387"/>
    </row>
    <row r="155" spans="1:11">
      <c r="A155" s="386"/>
      <c r="B155" s="386"/>
      <c r="C155" s="386"/>
      <c r="D155" s="386"/>
      <c r="E155" s="386"/>
      <c r="F155" s="386"/>
      <c r="G155" s="386"/>
    </row>
    <row r="157" spans="1:11" s="391" customFormat="1">
      <c r="A157" s="394"/>
      <c r="B157" s="394"/>
      <c r="C157" s="394"/>
      <c r="D157" s="394"/>
      <c r="E157" s="394"/>
      <c r="F157" s="394"/>
      <c r="G157" s="394"/>
      <c r="J157" s="393"/>
      <c r="K157" s="393"/>
    </row>
    <row r="158" spans="1:11" s="386" customFormat="1">
      <c r="A158" s="391"/>
      <c r="B158" s="391"/>
      <c r="C158" s="391"/>
      <c r="D158" s="391"/>
      <c r="E158" s="391"/>
      <c r="F158" s="391"/>
      <c r="G158" s="391"/>
      <c r="J158" s="387"/>
      <c r="K158" s="387"/>
    </row>
    <row r="159" spans="1:11">
      <c r="A159" s="386"/>
      <c r="B159" s="386"/>
      <c r="C159" s="386"/>
      <c r="D159" s="386"/>
      <c r="E159" s="386"/>
      <c r="F159" s="386"/>
      <c r="G159" s="386"/>
    </row>
    <row r="161" spans="1:11" s="404" customFormat="1">
      <c r="A161" s="394"/>
      <c r="B161" s="394"/>
      <c r="C161" s="394"/>
      <c r="D161" s="394"/>
      <c r="E161" s="394"/>
      <c r="F161" s="394"/>
      <c r="G161" s="394"/>
      <c r="J161" s="405"/>
      <c r="K161" s="405"/>
    </row>
    <row r="162" spans="1:11" s="404" customFormat="1">
      <c r="J162" s="405"/>
      <c r="K162" s="405"/>
    </row>
    <row r="163" spans="1:11">
      <c r="A163" s="404"/>
      <c r="B163" s="404"/>
      <c r="C163" s="404"/>
      <c r="D163" s="404"/>
      <c r="E163" s="404"/>
      <c r="F163" s="404"/>
      <c r="G163" s="404"/>
    </row>
    <row r="165" spans="1:11" s="404" customFormat="1">
      <c r="A165" s="394"/>
      <c r="B165" s="394"/>
      <c r="C165" s="394"/>
      <c r="D165" s="394"/>
      <c r="E165" s="394"/>
      <c r="F165" s="394"/>
      <c r="G165" s="394"/>
      <c r="J165" s="405"/>
      <c r="K165" s="405"/>
    </row>
    <row r="166" spans="1:11" s="404" customFormat="1">
      <c r="J166" s="405"/>
      <c r="K166" s="405"/>
    </row>
    <row r="167" spans="1:11">
      <c r="A167" s="404"/>
      <c r="B167" s="404"/>
      <c r="C167" s="404"/>
      <c r="D167" s="404"/>
      <c r="E167" s="404"/>
      <c r="F167" s="404"/>
      <c r="G167" s="404"/>
    </row>
    <row r="169" spans="1:11" s="391" customFormat="1">
      <c r="A169" s="394"/>
      <c r="B169" s="394"/>
      <c r="C169" s="394"/>
      <c r="D169" s="394"/>
      <c r="E169" s="394"/>
      <c r="F169" s="394"/>
      <c r="G169" s="394"/>
      <c r="J169" s="393"/>
      <c r="K169" s="393"/>
    </row>
    <row r="170" spans="1:11" s="386" customFormat="1">
      <c r="A170" s="391"/>
      <c r="B170" s="391"/>
      <c r="C170" s="391"/>
      <c r="D170" s="391"/>
      <c r="E170" s="391"/>
      <c r="F170" s="391"/>
      <c r="G170" s="391"/>
      <c r="J170" s="387"/>
      <c r="K170" s="387"/>
    </row>
    <row r="171" spans="1:11">
      <c r="A171" s="386"/>
      <c r="B171" s="386"/>
      <c r="C171" s="386"/>
      <c r="D171" s="386"/>
      <c r="E171" s="386"/>
      <c r="F171" s="386"/>
      <c r="G171" s="386"/>
    </row>
    <row r="173" spans="1:11" s="391" customFormat="1">
      <c r="A173" s="394"/>
      <c r="B173" s="394"/>
      <c r="C173" s="394"/>
      <c r="D173" s="394"/>
      <c r="E173" s="394"/>
      <c r="F173" s="394"/>
      <c r="G173" s="394"/>
      <c r="J173" s="393"/>
      <c r="K173" s="393"/>
    </row>
    <row r="174" spans="1:11" s="386" customFormat="1">
      <c r="A174" s="391"/>
      <c r="B174" s="391"/>
      <c r="C174" s="391"/>
      <c r="D174" s="391"/>
      <c r="E174" s="391"/>
      <c r="F174" s="391"/>
      <c r="G174" s="391"/>
      <c r="J174" s="387"/>
      <c r="K174" s="387"/>
    </row>
    <row r="175" spans="1:11">
      <c r="A175" s="386"/>
      <c r="B175" s="386"/>
      <c r="C175" s="386"/>
      <c r="D175" s="386"/>
      <c r="E175" s="386"/>
      <c r="F175" s="386"/>
      <c r="G175" s="386"/>
    </row>
  </sheetData>
  <mergeCells count="1">
    <mergeCell ref="B5:F5"/>
  </mergeCells>
  <phoneticPr fontId="23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FdsFormulaCache xmlns="urn:fdsformulacache" version="2" timestamp="1632925396"><![CDATA[{"EA-US^FE_TIMESERIES(NETSALES,MEAN,2021/1C,2021/1C,FQ,'BKRACTMED=1,WIN=0,UKCURRENCY=GBX,DATE=NOW')":1490.0,"EA-US^FE_TIMESERIES(EBITR,MEAN,2021/1C,2021/1C,FQ,'WIN=0,UKCURRENCY=GBX,DATE=NOW')":204.8,"EA-US^FE_TIMESERIES(EAG,MEAN,2021,2021,FY,'WIN=0,UKCURRENCY=GBX,DATE=NOW')":2.1071806,"EA-US^FE_TIMESERIES(EBIT_ADJ,MEAN,2021,2021,FY,'BKRACTMED=1,WIN=0,UKCURRENCY=GBX,DATE=NOW')":2328.5635,"EA-US^FE_TIMESERIES(EAG,MEAN,2021/2C,2021/2C,FQ,'WIN=0,UKCURRENCY=GBX,DATE=NOW')":0.40491742,"EA-US^FE_TIMESERIES(EBIT_ADJ,MEAN,2021/2C,2021/2C,FQ,'BKRACTMED=1,WIN=0,UKCURRENCY=GBX,DATE=NOW')":232.31,"EA-US^FE_TIMESERIES(TOTALREV,MEAN,2022,2022,FY,'WIN=0,UKCURRENCY=GBX,DATE=NOW')":7792.169,"EA-US^FE_TIMESERIES(TOTALREV,MEAN,2021/3FQ,2021/3FQ,FQ,'WIN=0,UKCURRENCY=GBX,DATE=NOW')":"#NUM","EA^IC_ESTIMATE(SALES,MEAN,QTR,2021/3C,0)":1514.232,"EA-US^FE_TIMESERIES(CFO,MEAN,2021,2021,Y,'WIN=0,UKCURRENCY=GBX,DATE=NOW')":1985.909,"EA-US^FE_TIMESERIES(TOTALREV,MEAN,2021/2C,2021/2C,FQ,'WIN=0,UKCURRENCY=GBX,DATE=NOW')":1453.0625,"EA^IC_ESTIMATE(SALES,MEAN,QTR,2021/3FQ,0)":"#NUM","EA-US^FE_TIMESERIES(FCF,MEAN,2021/1C,2021/1C,FQ,'WIN=0,UKCURRENCY=GBX,DATE=NOW')":340.0,"EA-US^FE_TIMESERIES(EBITDA_ADJ,MEAN,2021/2C,2021/2C,FQ,'BKRACTMED=1,WIN=0,UKCURRENCY=GBX,DATE=NOW')":288.9389,"EA^IC_ESTIMATE(SALES,MEAN,QTR,2021/1C,0)":null,"EA-US^FE_TIMESERIES(FCF,MEAN,2021/2C,2021/2C,FQ,'WIN=0,UKCURRENCY=GBX,DATE=NOW')":125.166664,"EA-US^FE_TIMESERIES(EAG,MEAN,2021,2021,Y,'WIN=0,UKCURRENCY=GBX,DATE=NOW')":2.0494626,"EA-US^FE_TIMESERIES(TOTALREV,MEAN,2021,2021,FY,'WIN=0,UKCURRENCY=GBX,DATE=NOW')":7085.454,"EA-US^FE_TIMESERIES(NETSALES,MEAN,2021,2021,FY,'BKRACTMED=1,WIN=0,UKCURRENCY=GBX,DATE=NOW')":7467.981,"EA-US^FE_TIMESERIES(EBITDA_ADJ,MEAN,2021,2021,FY,'BKRACTMED=1,WIN=0,UKCURRENCY=GBX,DATE=NOW')":2600.579,"EA-US^FE_TIMESERIES(EBG,MEAN,2021/2C,2021/2C,FQ,'BKRACTMED=1,WIN=0,UKCURRENCY=GBX,DATE=NOW')":0.62444556,"EA^IC_ESTIMATE(SALES,MEAN,QTR,2021/2C,0)":1275.7,"EA-US^FE_TIMESERIES(TOTALREV,MEAN,2021,2021,Y,'WIN=0,UKCURRENCY=GBX,DATE=NOW')":7122.231,"EA-US^FE_TIMESERIES(NETSALES,MEAN,2022,2022,FY,'BKRACTMED=1,WIN=0,UKCURRENCY=GBX,DATE=NOW')":7892.8906,"EA-US^FE_TIMESERIES(TOTALREV,MEAN,2021/3C,2021/3C,FQ,'WIN=0,UKCURRENCY=GBX,DATE=NOW')":1398.1,"EA-US^FE_TIMESERIES(EBITR,MEAN,2021/2C,2021/2C,FQ,'WIN=0,UKCURRENCY=GBX,DATE=NOW')":226.325,"EA-US^FE_TIMESERIES(EAG,MEAN,2021/3FQ,2021/3FQ,FQ,'WIN=0,UKCURRENCY=GBX,DATE=NOW')":"#NUM","EA-US^FE_TIMESERIES(EBG,MEAN,2021/1C,2021/1C,FQ,'BKRACTMED=1,WIN=0,UKCURRENCY=GBX,DATE=NOW')":1.226027,"EA-US^FE_TIMESERIES(FCF,MEAN,2021,2021,FY,'WIN=0,UKCURRENCY=GBX,DATE=NOW')":1667.7142,"EA-US^FE_TIMESERIES(TOTALREV,MEAN,2021/1C,2021/1C,FQ,'WIN=0,UKCURRENCY=GBX,DATE=NOW')":1346.0,"EA-US^FE_TIMESERIES(NETSALES,MEAN,2021/2C,2021/2C,FQ,'BKRACTMED=1,WIN=0,UKCURRENCY=GBX,DATE=NOW')":1276.1333,"EA-US^FE_TIMESERIES(EBITDA_ADJ,MEAN,2021/1C,2021/1C,FQ,'BKRACTMED=1,WIN=0,UKCURRENCY=GBX,DATE=NOW')":504.0,"EA-US^FE_TIMESERIES(EBIT_ADJ,MEAN,2021/1C,2021/1C,FQ,'BKRACTMED=1,WIN=0,UKCURRENCY=GBX,DATE=NOW')":446.0,"EA-US^FE_TIMESERIES(EBITR,MEAN,2021,2021,FY,'WIN=0,UKCURRENCY=GBX,DATE=NOW')":1153.2844,"EA^IC_ESTIMATE(EPS,MEAN,QTR,2021/2C,0)":0.655,"EA-US^FE_TIMESERIES(EBITDA_ADJ,MEAN,2022,2022,FY,'BKRACTMED=1,WIN=0,UKCURRENCY=GBX,DATE=NOW')":2790.2852,"EA-US^FE_TIMESERIES(EBIT_ADJ,MEAN,2022,2022,FY,'BKRACTMED=1,WIN=0,UKCURRENCY=GBX,DATE=NOW')":2599.422,"EA-US^FE_TIMESERIES(EBITR,MEAN,2022,2022,FY,'WIN=0,UKCURRENCY=GBX,DATE=NOW')":1806.4012,"EA-US^FE_TIMESERIES(FCF,MEAN,2022,2022,FY,'WIN=0,UKCURRENCY=GBX,DATE=NOW')":2119.2144,"EA-US^FE_TIMESERIES(EBG,MEAN,2022,2022,FY,'BKRACTMED=1,WIN=0,UKCURRENCY=GBX,DATE=NOW')":7.194671,"EA-US^FE_TIMESERIES(EAG,MEAN,2022,2022,FY,'WIN=0,UKCURRENCY=GBX,DATE=NOW')":4.6787043,"EA-US^FE_TIMESERIES(EAG,MEAN,2021/3C,2021/3C,FQ,'WIN=0,UKCURRENCY=GBX,DATE=NOW')":-0.0239134,"EA^IC_ESTIMATE(EPS,MEAN,QTR,2021/3C,0)":0.854,"EA-US^FE_TIMESERIES(EBG,MEAN,2021,2021,FY,'BKRACTMED=1,WIN=0,UKCURRENCY=GBX,DATE=NOW')":6.4649425,"EA^IC_ESTIMATE(EPS,MEAN,QTR,2021/3FQ,0)":"#NUM","EA^IC_ESTIMATE(EPS,MEAN,QTR,2021/3F,0)":3.505,"EA-US^FE_TIMESERIES(EAG,MEAN,2021/3F,2021/3F,FQ,'WIN=0,UKCURRENCY=GBX,DATE=NOW')":1.8567204,"EA^IC_ESTIMATE(SALES,MEAN,QTR,2021/3F,0)":2884.248,"EA-US^FE_TIMESERIES(TOTALREV,MEAN,2021/3F,2021/3F,FQ,'WIN=0,UKCURRENCY=GBX,DATE=NOW')":2468.9111,"EA-US^FE_TIMESERIES(BFNG,MEAN,2021/1C,2021/1C,Q,'WIN=0,UKCURRENCY=GBX,DATE=NOW')":76.0,"EA-US^FE_TIMESERIES(NETBG,MEAN,2021/1C,2021/1C,Q,'WIN=0,UKCURRENCY=GBX,DATE=NOW')":357.82285,"EA-US^FE_TIMESERIES(EAG,MEAN,2021/1C,2021/1C,FQ,'WIN=0,UKCURRENCY=GBX,DATE=NOW')":0.26,"EA^IC_ESTIMATE(EPS,MEAN,QTR,2021/1C,0)":null,"EA-US^FE_ESTIMATE(EPS,MEAN,ANN_ROLL,+1,NOW,,,'')":6.4649425,"EA-US^FE_ESTIMATE(EPS_NONGAAP,MEAN,ANN_ROLL,+1,NOW,,,'')":5.325,"EA-US^FE_ESTIMATE(EPS_NONGAAP,MEAN,QTR_ROLL,+1,NOW,,,'')":0.315,"EA-US^FE_ESTIMATE(EPSAD,MEAN,QTR_ROLL,+1,NOW,,,'')":null,"EA-US^FE_TIMESERIES(EPS,MEAN,2021/3F,2021/3F,FQ,'WIN=0,UKCURRENCY=GBX,DATE=NOW')":3.477531}]]></FdsFormulaCache>
</file>

<file path=customXml/itemProps1.xml><?xml version="1.0" encoding="utf-8"?>
<ds:datastoreItem xmlns:ds="http://schemas.openxmlformats.org/officeDocument/2006/customXml" ds:itemID="{1D9FFA95-6CC6-4041-A061-E2838A4D0CD4}">
  <ds:schemaRefs>
    <ds:schemaRef ds:uri="urn:fdsformulacach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Model</vt:lpstr>
      <vt:lpstr>Drivers</vt:lpstr>
      <vt:lpstr>BS</vt:lpstr>
      <vt:lpstr>CF</vt:lpstr>
      <vt:lpstr>Debt</vt:lpstr>
      <vt:lpstr>Valuation</vt:lpstr>
      <vt:lpstr>Pipeline</vt:lpstr>
      <vt:lpstr>Guide</vt:lpstr>
      <vt:lpstr>Pipeline</vt:lpstr>
      <vt:lpstr>Pipeline_</vt:lpstr>
    </vt:vector>
  </TitlesOfParts>
  <LinksUpToDate>false</LinksUpToDate>
  <SharedDoc>false</SharedDoc>
  <HyperlinkBase>https://gind.swissbank.com/gind/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Sheridan</dc:creator>
  <cp:lastModifiedBy>evan domingos - 2023</cp:lastModifiedBy>
  <cp:lastPrinted>2021-11-04T04:12:33Z</cp:lastPrinted>
  <dcterms:created xsi:type="dcterms:W3CDTF">2012-08-04T17:33:06Z</dcterms:created>
  <dcterms:modified xsi:type="dcterms:W3CDTF">2023-05-24T11:41:32Z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1033</vt:lpwstr>
  </property>
  <property fmtid="{D5CDD505-2E9C-101B-9397-08002B2CF9AE}" pid="3" name="Create_Backup">
    <vt:lpwstr>3</vt:lpwstr>
  </property>
  <property fmtid="{D5CDD505-2E9C-101B-9397-08002B2CF9AE}" pid="4" name="Workbook_Font">
    <vt:lpwstr>Frutiger 45 Light</vt:lpwstr>
  </property>
  <property fmtid="{D5CDD505-2E9C-101B-9397-08002B2CF9AE}" pid="5" name="Workbook_FontSize">
    <vt:lpwstr>10</vt:lpwstr>
  </property>
  <property fmtid="{D5CDD505-2E9C-101B-9397-08002B2CF9AE}" pid="6" name="Average_Translated">
    <vt:lpwstr>Average</vt:lpwstr>
  </property>
  <property fmtid="{D5CDD505-2E9C-101B-9397-08002B2CF9AE}" pid="7" name="Thick_Lines">
    <vt:lpwstr>0</vt:lpwstr>
  </property>
  <property fmtid="{D5CDD505-2E9C-101B-9397-08002B2CF9AE}" pid="8" name="Num_Categories_On_XAxis">
    <vt:lpwstr>6</vt:lpwstr>
  </property>
  <property fmtid="{D5CDD505-2E9C-101B-9397-08002B2CF9AE}" pid="9" name="Share_PX_Label">
    <vt:lpwstr>Stock Price</vt:lpwstr>
  </property>
  <property fmtid="{D5CDD505-2E9C-101B-9397-08002B2CF9AE}" pid="10" name="Volume_Label">
    <vt:lpwstr>Volume (000s)</vt:lpwstr>
  </property>
  <property fmtid="{D5CDD505-2E9C-101B-9397-08002B2CF9AE}" pid="11" name="Stock_Volume_XAxis_Label">
    <vt:lpwstr>Closing Date</vt:lpwstr>
  </property>
  <property fmtid="{D5CDD505-2E9C-101B-9397-08002B2CF9AE}" pid="12" name="Pie_Chart_Labels">
    <vt:lpwstr>-1</vt:lpwstr>
  </property>
  <property fmtid="{D5CDD505-2E9C-101B-9397-08002B2CF9AE}" pid="13" name="Pie_Chart_Legend">
    <vt:lpwstr>0</vt:lpwstr>
  </property>
  <property fmtid="{D5CDD505-2E9C-101B-9397-08002B2CF9AE}" pid="14" name="Annotation_Add_Date">
    <vt:lpwstr>-1</vt:lpwstr>
  </property>
  <property fmtid="{D5CDD505-2E9C-101B-9397-08002B2CF9AE}" pid="15" name="Annotation_Date_Bold">
    <vt:lpwstr>-1</vt:lpwstr>
  </property>
  <property fmtid="{D5CDD505-2E9C-101B-9397-08002B2CF9AE}" pid="16" name="Annotation_Date_Format">
    <vt:lpwstr>F1</vt:lpwstr>
  </property>
  <property fmtid="{D5CDD505-2E9C-101B-9397-08002B2CF9AE}" pid="17" name="Chart_Format">
    <vt:lpwstr>1</vt:lpwstr>
  </property>
  <property fmtid="{D5CDD505-2E9C-101B-9397-08002B2CF9AE}" pid="18" name="AK_Version">
    <vt:lpwstr>2.0.8</vt:lpwstr>
  </property>
  <property fmtid="{D5CDD505-2E9C-101B-9397-08002B2CF9AE}" pid="19" name="ShowGridlines">
    <vt:lpwstr>-1</vt:lpwstr>
  </property>
  <property fmtid="{D5CDD505-2E9C-101B-9397-08002B2CF9AE}" pid="20" name="ShowYAxis">
    <vt:lpwstr>-1</vt:lpwstr>
  </property>
  <property fmtid="{D5CDD505-2E9C-101B-9397-08002B2CF9AE}" pid="21" name="UseStackWhiteBorder">
    <vt:lpwstr>0</vt:lpwstr>
  </property>
  <property fmtid="{D5CDD505-2E9C-101B-9397-08002B2CF9AE}" pid="22" name="UseDashStyle">
    <vt:lpwstr>0</vt:lpwstr>
  </property>
  <property fmtid="{D5CDD505-2E9C-101B-9397-08002B2CF9AE}" pid="23" name="{A44787D4-0540-4523-9961-78E4036D8C6D}">
    <vt:lpwstr>{AF7AE1EA-14CF-4619-A379-6B879BBCD649}</vt:lpwstr>
  </property>
  <property fmtid="{D5CDD505-2E9C-101B-9397-08002B2CF9AE}" pid="24" name="=fdsSearchOrder">
    <vt:i4>0</vt:i4>
  </property>
</Properties>
</file>