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83BA227E-4F9C-7245-9DF7-3FCE86551693}" xr6:coauthVersionLast="47" xr6:coauthVersionMax="47" xr10:uidLastSave="{00000000-0000-0000-0000-000000000000}"/>
  <bookViews>
    <workbookView xWindow="1100" yWindow="820" windowWidth="28040" windowHeight="18820" activeTab="1" xr2:uid="{704F00E0-DE4F-E045-A0AE-86EE075BA335}"/>
  </bookViews>
  <sheets>
    <sheet name="Main" sheetId="2" r:id="rId1"/>
    <sheet name="Model" sheetId="1" r:id="rId2"/>
    <sheet name="Valu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54" i="1" l="1"/>
  <c r="C27" i="3"/>
  <c r="C16" i="3"/>
  <c r="C17" i="3"/>
  <c r="C20" i="3"/>
  <c r="C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F14" i="3"/>
  <c r="F15" i="3"/>
  <c r="F16" i="3"/>
  <c r="F17" i="3"/>
  <c r="F18" i="3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F12" i="3"/>
  <c r="F13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F11" i="3"/>
  <c r="C18" i="3" l="1"/>
  <c r="AV7" i="1"/>
  <c r="AP7" i="1"/>
  <c r="AQ7" i="1" s="1"/>
  <c r="AR7" i="1" s="1"/>
  <c r="AS7" i="1" s="1"/>
  <c r="AT7" i="1" s="1"/>
  <c r="AU7" i="1" s="1"/>
  <c r="AO7" i="1"/>
  <c r="AD69" i="1" l="1"/>
  <c r="AE69" i="1"/>
  <c r="AF69" i="1"/>
  <c r="AC69" i="1"/>
  <c r="K69" i="1"/>
  <c r="L69" i="1"/>
  <c r="M69" i="1"/>
  <c r="N69" i="1"/>
  <c r="O69" i="1"/>
  <c r="P69" i="1"/>
  <c r="Q69" i="1"/>
  <c r="R69" i="1"/>
  <c r="S69" i="1"/>
  <c r="J69" i="1"/>
  <c r="Q100" i="1"/>
  <c r="Q96" i="1"/>
  <c r="Q89" i="1"/>
  <c r="Q85" i="1"/>
  <c r="Q90" i="1" s="1"/>
  <c r="Q108" i="1"/>
  <c r="S108" i="1"/>
  <c r="S89" i="1"/>
  <c r="S100" i="1"/>
  <c r="S96" i="1"/>
  <c r="S85" i="1"/>
  <c r="S90" i="1" s="1"/>
  <c r="AI61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T44" i="1"/>
  <c r="U44" i="1"/>
  <c r="V44" i="1"/>
  <c r="W44" i="1"/>
  <c r="X44" i="1"/>
  <c r="Y44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G59" i="1"/>
  <c r="AH59" i="1"/>
  <c r="AG60" i="1"/>
  <c r="AH60" i="1"/>
  <c r="AH58" i="1"/>
  <c r="AG58" i="1"/>
  <c r="AG47" i="1"/>
  <c r="AH47" i="1"/>
  <c r="AG48" i="1"/>
  <c r="AH48" i="1"/>
  <c r="AG49" i="1"/>
  <c r="AH49" i="1"/>
  <c r="AG50" i="1"/>
  <c r="AH50" i="1"/>
  <c r="AG51" i="1"/>
  <c r="AH51" i="1"/>
  <c r="AH46" i="1"/>
  <c r="AG46" i="1"/>
  <c r="AG40" i="1"/>
  <c r="AH40" i="1"/>
  <c r="AG41" i="1"/>
  <c r="AH41" i="1"/>
  <c r="AG42" i="1"/>
  <c r="AH42" i="1"/>
  <c r="AG43" i="1"/>
  <c r="AH43" i="1"/>
  <c r="AH39" i="1"/>
  <c r="AG39" i="1"/>
  <c r="T31" i="1"/>
  <c r="T35" i="1" s="1"/>
  <c r="AK8" i="1"/>
  <c r="AJ8" i="1"/>
  <c r="AI8" i="1"/>
  <c r="V11" i="1"/>
  <c r="W11" i="1"/>
  <c r="X11" i="1"/>
  <c r="Y11" i="1"/>
  <c r="U11" i="1"/>
  <c r="D51" i="2"/>
  <c r="D53" i="2" s="1"/>
  <c r="D43" i="2"/>
  <c r="D45" i="2" s="1"/>
  <c r="AH7" i="1" s="1"/>
  <c r="AI7" i="1" s="1"/>
  <c r="AJ7" i="1" s="1"/>
  <c r="AK7" i="1" s="1"/>
  <c r="AL7" i="1" s="1"/>
  <c r="AM7" i="1" s="1"/>
  <c r="S101" i="1" l="1"/>
  <c r="Q101" i="1"/>
  <c r="S110" i="1"/>
  <c r="S111" i="1" s="1"/>
  <c r="Q110" i="1"/>
  <c r="Q111" i="1" s="1"/>
  <c r="U7" i="1"/>
  <c r="U9" i="1" s="1"/>
  <c r="U12" i="1" s="1"/>
  <c r="U31" i="1" s="1"/>
  <c r="AH44" i="1"/>
  <c r="AN7" i="1"/>
  <c r="AM9" i="1"/>
  <c r="AM31" i="1" s="1"/>
  <c r="AM33" i="1" s="1"/>
  <c r="AM35" i="1" s="1"/>
  <c r="AH61" i="1"/>
  <c r="AH52" i="1"/>
  <c r="AG44" i="1"/>
  <c r="AG52" i="1"/>
  <c r="AG61" i="1"/>
  <c r="Y7" i="1"/>
  <c r="Y9" i="1" s="1"/>
  <c r="Y12" i="1" s="1"/>
  <c r="Y31" i="1" s="1"/>
  <c r="Y33" i="1" s="1"/>
  <c r="AK9" i="1"/>
  <c r="AK31" i="1" s="1"/>
  <c r="V7" i="1"/>
  <c r="V9" i="1" s="1"/>
  <c r="V12" i="1" s="1"/>
  <c r="V31" i="1" s="1"/>
  <c r="AI9" i="1"/>
  <c r="AI31" i="1" s="1"/>
  <c r="AJ9" i="1"/>
  <c r="AJ31" i="1" s="1"/>
  <c r="AL9" i="1"/>
  <c r="AL31" i="1" s="1"/>
  <c r="W7" i="1"/>
  <c r="W9" i="1" s="1"/>
  <c r="W12" i="1" s="1"/>
  <c r="W31" i="1" s="1"/>
  <c r="X7" i="1"/>
  <c r="X9" i="1" s="1"/>
  <c r="X12" i="1" s="1"/>
  <c r="X31" i="1" s="1"/>
  <c r="D24" i="2"/>
  <c r="AD31" i="1"/>
  <c r="AD35" i="1" s="1"/>
  <c r="AE31" i="1"/>
  <c r="AE35" i="1" s="1"/>
  <c r="AF31" i="1"/>
  <c r="AF35" i="1" s="1"/>
  <c r="AC31" i="1"/>
  <c r="AC35" i="1" s="1"/>
  <c r="K31" i="1"/>
  <c r="K35" i="1" s="1"/>
  <c r="L31" i="1"/>
  <c r="L35" i="1" s="1"/>
  <c r="M31" i="1"/>
  <c r="M35" i="1" s="1"/>
  <c r="N31" i="1"/>
  <c r="N35" i="1" s="1"/>
  <c r="O31" i="1"/>
  <c r="O35" i="1" s="1"/>
  <c r="P31" i="1"/>
  <c r="P35" i="1" s="1"/>
  <c r="Q31" i="1"/>
  <c r="Q35" i="1" s="1"/>
  <c r="R31" i="1"/>
  <c r="S31" i="1"/>
  <c r="S35" i="1" s="1"/>
  <c r="J31" i="1"/>
  <c r="J35" i="1" s="1"/>
  <c r="K61" i="1"/>
  <c r="L61" i="1"/>
  <c r="N61" i="1"/>
  <c r="O61" i="1"/>
  <c r="P61" i="1"/>
  <c r="R61" i="1"/>
  <c r="S61" i="1"/>
  <c r="J61" i="1"/>
  <c r="M71" i="1"/>
  <c r="M67" i="1"/>
  <c r="M60" i="1"/>
  <c r="M58" i="1"/>
  <c r="M46" i="1"/>
  <c r="M47" i="1"/>
  <c r="M48" i="1"/>
  <c r="M49" i="1"/>
  <c r="M50" i="1"/>
  <c r="M51" i="1"/>
  <c r="M39" i="1"/>
  <c r="M40" i="1"/>
  <c r="M41" i="1"/>
  <c r="M42" i="1"/>
  <c r="M43" i="1"/>
  <c r="Q67" i="1"/>
  <c r="Q59" i="1"/>
  <c r="Q60" i="1"/>
  <c r="Q58" i="1"/>
  <c r="Q46" i="1"/>
  <c r="Q47" i="1"/>
  <c r="Q48" i="1"/>
  <c r="Q49" i="1"/>
  <c r="Q50" i="1"/>
  <c r="Q51" i="1"/>
  <c r="Q39" i="1"/>
  <c r="Q40" i="1"/>
  <c r="Q41" i="1"/>
  <c r="Q42" i="1"/>
  <c r="Q43" i="1"/>
  <c r="Q71" i="1"/>
  <c r="J52" i="1"/>
  <c r="J44" i="1"/>
  <c r="K52" i="1"/>
  <c r="K44" i="1"/>
  <c r="L52" i="1"/>
  <c r="L44" i="1"/>
  <c r="N52" i="1"/>
  <c r="N44" i="1"/>
  <c r="P52" i="1"/>
  <c r="R52" i="1"/>
  <c r="O52" i="1"/>
  <c r="S52" i="1"/>
  <c r="P44" i="1"/>
  <c r="R44" i="1"/>
  <c r="S44" i="1"/>
  <c r="O44" i="1"/>
  <c r="AD52" i="1"/>
  <c r="AE52" i="1"/>
  <c r="AF52" i="1"/>
  <c r="AC52" i="1"/>
  <c r="AD44" i="1"/>
  <c r="AE44" i="1"/>
  <c r="AF44" i="1"/>
  <c r="AC44" i="1"/>
  <c r="AD61" i="1"/>
  <c r="AE61" i="1"/>
  <c r="AF61" i="1"/>
  <c r="AC61" i="1"/>
  <c r="AV9" i="1" l="1"/>
  <c r="AV31" i="1" s="1"/>
  <c r="AV33" i="1" s="1"/>
  <c r="AV35" i="1" s="1"/>
  <c r="AO9" i="1"/>
  <c r="AO31" i="1" s="1"/>
  <c r="AO33" i="1" s="1"/>
  <c r="AO35" i="1" s="1"/>
  <c r="AU9" i="1"/>
  <c r="AU31" i="1" s="1"/>
  <c r="AU33" i="1" s="1"/>
  <c r="AN9" i="1"/>
  <c r="AN31" i="1" s="1"/>
  <c r="AN33" i="1" s="1"/>
  <c r="AN35" i="1" s="1"/>
  <c r="AT9" i="1"/>
  <c r="AT31" i="1" s="1"/>
  <c r="AT33" i="1" s="1"/>
  <c r="AT35" i="1" s="1"/>
  <c r="AP9" i="1"/>
  <c r="AP31" i="1" s="1"/>
  <c r="AP33" i="1" s="1"/>
  <c r="AP35" i="1" s="1"/>
  <c r="AR9" i="1"/>
  <c r="AR31" i="1" s="1"/>
  <c r="AR33" i="1" s="1"/>
  <c r="AR35" i="1" s="1"/>
  <c r="AQ9" i="1"/>
  <c r="AQ31" i="1" s="1"/>
  <c r="AQ33" i="1" s="1"/>
  <c r="AQ35" i="1" s="1"/>
  <c r="AS9" i="1"/>
  <c r="AS31" i="1" s="1"/>
  <c r="AS33" i="1" s="1"/>
  <c r="AS35" i="1" s="1"/>
  <c r="AL33" i="1"/>
  <c r="AL35" i="1" s="1"/>
  <c r="AJ33" i="1"/>
  <c r="AJ35" i="1" s="1"/>
  <c r="AK33" i="1"/>
  <c r="AK35" i="1" s="1"/>
  <c r="Y35" i="1"/>
  <c r="AG54" i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H31" i="1"/>
  <c r="V33" i="1"/>
  <c r="V35" i="1" s="1"/>
  <c r="X33" i="1"/>
  <c r="X35" i="1"/>
  <c r="W33" i="1"/>
  <c r="W35" i="1" s="1"/>
  <c r="R35" i="1"/>
  <c r="AG31" i="1"/>
  <c r="U33" i="1"/>
  <c r="AG33" i="1" s="1"/>
  <c r="L54" i="1"/>
  <c r="L56" i="1" s="1"/>
  <c r="L63" i="1" s="1"/>
  <c r="L68" i="1" s="1"/>
  <c r="AC54" i="1"/>
  <c r="AC56" i="1" s="1"/>
  <c r="AC63" i="1" s="1"/>
  <c r="AC68" i="1" s="1"/>
  <c r="N54" i="1"/>
  <c r="N56" i="1" s="1"/>
  <c r="N63" i="1" s="1"/>
  <c r="N68" i="1" s="1"/>
  <c r="O54" i="1"/>
  <c r="O56" i="1" s="1"/>
  <c r="O63" i="1" s="1"/>
  <c r="O68" i="1" s="1"/>
  <c r="AF54" i="1"/>
  <c r="AF56" i="1" s="1"/>
  <c r="AF63" i="1" s="1"/>
  <c r="AF68" i="1" s="1"/>
  <c r="AE54" i="1"/>
  <c r="AE56" i="1" s="1"/>
  <c r="AE63" i="1" s="1"/>
  <c r="AE68" i="1" s="1"/>
  <c r="R54" i="1"/>
  <c r="AD54" i="1"/>
  <c r="AD56" i="1" s="1"/>
  <c r="AD63" i="1" s="1"/>
  <c r="AD68" i="1" s="1"/>
  <c r="P54" i="1"/>
  <c r="P56" i="1" s="1"/>
  <c r="P63" i="1" s="1"/>
  <c r="P68" i="1" s="1"/>
  <c r="S54" i="1"/>
  <c r="K54" i="1"/>
  <c r="K56" i="1" s="1"/>
  <c r="K63" i="1" s="1"/>
  <c r="K68" i="1" s="1"/>
  <c r="J54" i="1"/>
  <c r="J56" i="1" s="1"/>
  <c r="J63" i="1" s="1"/>
  <c r="J68" i="1" s="1"/>
  <c r="M61" i="1"/>
  <c r="Q61" i="1"/>
  <c r="M44" i="1"/>
  <c r="Q44" i="1"/>
  <c r="M52" i="1"/>
  <c r="Q52" i="1"/>
  <c r="AU35" i="1" l="1"/>
  <c r="AJ56" i="1"/>
  <c r="AJ63" i="1" s="1"/>
  <c r="S56" i="1"/>
  <c r="S63" i="1" s="1"/>
  <c r="S68" i="1" s="1"/>
  <c r="T54" i="1"/>
  <c r="AM56" i="1"/>
  <c r="AM63" i="1" s="1"/>
  <c r="AN56" i="1"/>
  <c r="AN63" i="1" s="1"/>
  <c r="AK56" i="1"/>
  <c r="AK63" i="1" s="1"/>
  <c r="AO56" i="1"/>
  <c r="AO63" i="1" s="1"/>
  <c r="AL56" i="1"/>
  <c r="AL63" i="1" s="1"/>
  <c r="AP56" i="1"/>
  <c r="AP63" i="1" s="1"/>
  <c r="R56" i="1"/>
  <c r="R63" i="1" s="1"/>
  <c r="R68" i="1" s="1"/>
  <c r="U35" i="1"/>
  <c r="AH33" i="1"/>
  <c r="AH35" i="1" s="1"/>
  <c r="AG35" i="1"/>
  <c r="Q54" i="1"/>
  <c r="Q56" i="1" s="1"/>
  <c r="Q63" i="1" s="1"/>
  <c r="Q68" i="1" s="1"/>
  <c r="M54" i="1"/>
  <c r="M56" i="1" s="1"/>
  <c r="M63" i="1" s="1"/>
  <c r="M68" i="1" s="1"/>
  <c r="U54" i="1" l="1"/>
  <c r="V54" i="1" s="1"/>
  <c r="T56" i="1"/>
  <c r="T63" i="1" s="1"/>
  <c r="T68" i="1" s="1"/>
  <c r="AQ56" i="1"/>
  <c r="AQ63" i="1" s="1"/>
  <c r="AH34" i="1"/>
  <c r="AH56" i="1"/>
  <c r="AH63" i="1" s="1"/>
  <c r="AG34" i="1"/>
  <c r="AG56" i="1"/>
  <c r="AG63" i="1" s="1"/>
  <c r="AI33" i="1"/>
  <c r="W54" i="1" l="1"/>
  <c r="V56" i="1"/>
  <c r="V63" i="1" s="1"/>
  <c r="V68" i="1" s="1"/>
  <c r="U56" i="1"/>
  <c r="U63" i="1" s="1"/>
  <c r="U68" i="1" s="1"/>
  <c r="AR56" i="1"/>
  <c r="AR63" i="1" s="1"/>
  <c r="AI35" i="1"/>
  <c r="AI56" i="1" s="1"/>
  <c r="AI63" i="1" s="1"/>
  <c r="X54" i="1" l="1"/>
  <c r="W56" i="1"/>
  <c r="W63" i="1" s="1"/>
  <c r="W68" i="1" s="1"/>
  <c r="AS56" i="1"/>
  <c r="AS63" i="1" s="1"/>
  <c r="Y54" i="1" l="1"/>
  <c r="Y56" i="1" s="1"/>
  <c r="Y63" i="1" s="1"/>
  <c r="Y68" i="1" s="1"/>
  <c r="X56" i="1"/>
  <c r="X63" i="1" s="1"/>
  <c r="X68" i="1" s="1"/>
  <c r="AT56" i="1"/>
  <c r="AT63" i="1" s="1"/>
  <c r="AV56" i="1" l="1"/>
  <c r="AU56" i="1"/>
  <c r="AU63" i="1" s="1"/>
  <c r="AV63" i="1" l="1"/>
  <c r="X15" i="3"/>
  <c r="AV68" i="1" l="1"/>
  <c r="X18" i="3" s="1"/>
  <c r="C26" i="3" s="1"/>
  <c r="C28" i="3" s="1"/>
  <c r="C29" i="3" s="1"/>
  <c r="X17" i="3"/>
</calcChain>
</file>

<file path=xl/sharedStrings.xml><?xml version="1.0" encoding="utf-8"?>
<sst xmlns="http://schemas.openxmlformats.org/spreadsheetml/2006/main" count="223" uniqueCount="175">
  <si>
    <t>Research &amp; Development</t>
  </si>
  <si>
    <t xml:space="preserve">General &amp; Administrative </t>
  </si>
  <si>
    <t>Interest Income, Net</t>
  </si>
  <si>
    <t>Other Income</t>
  </si>
  <si>
    <t xml:space="preserve">Net Other Income </t>
  </si>
  <si>
    <t xml:space="preserve"> </t>
  </si>
  <si>
    <t>Net Income</t>
  </si>
  <si>
    <t>Clinical &amp; Preclinical</t>
  </si>
  <si>
    <t xml:space="preserve">Drug Manufacturing &amp; Formulation </t>
  </si>
  <si>
    <t>Personnel Expenses</t>
  </si>
  <si>
    <t>Stock-based Compensation</t>
  </si>
  <si>
    <t>Regulatory &amp; Other</t>
  </si>
  <si>
    <t>Check</t>
  </si>
  <si>
    <t>Change in fair value of warrant liabilities</t>
  </si>
  <si>
    <t>Legal &amp; Professional Fees</t>
  </si>
  <si>
    <t>Commercial Expenses</t>
  </si>
  <si>
    <t>Insurance Expenses</t>
  </si>
  <si>
    <t>Other Expenses</t>
  </si>
  <si>
    <t>2Q2019A</t>
  </si>
  <si>
    <t>1Q2019A</t>
  </si>
  <si>
    <t>3Q2019A</t>
  </si>
  <si>
    <t>4Q2019A</t>
  </si>
  <si>
    <t>1Q2020A</t>
  </si>
  <si>
    <t>2Q202A</t>
  </si>
  <si>
    <t>3Q2020A</t>
  </si>
  <si>
    <t>4Q2020A</t>
  </si>
  <si>
    <t>1Q2021A</t>
  </si>
  <si>
    <t>2Q2021A</t>
  </si>
  <si>
    <t>3Q2021A</t>
  </si>
  <si>
    <t>4Q2021A</t>
  </si>
  <si>
    <t>1Q2022A</t>
  </si>
  <si>
    <t>2Q2022A</t>
  </si>
  <si>
    <t>3Q2022A</t>
  </si>
  <si>
    <t>4Q2022A</t>
  </si>
  <si>
    <t>1Q2023A</t>
  </si>
  <si>
    <t>2Q2023A</t>
  </si>
  <si>
    <t>License Revenue</t>
  </si>
  <si>
    <t>Applied Therapeutics</t>
  </si>
  <si>
    <t>APLT</t>
  </si>
  <si>
    <t>HC Net Income</t>
  </si>
  <si>
    <t>EBT</t>
  </si>
  <si>
    <t>Total Operating Expenses</t>
  </si>
  <si>
    <t>Operating Expenses</t>
  </si>
  <si>
    <t>Total Revenues</t>
  </si>
  <si>
    <t>EBIT</t>
  </si>
  <si>
    <t>Provision for income taxes</t>
  </si>
  <si>
    <t>AT-007</t>
  </si>
  <si>
    <t xml:space="preserve">Galactosemia </t>
  </si>
  <si>
    <t xml:space="preserve">Revenue Build </t>
  </si>
  <si>
    <t>SORD</t>
  </si>
  <si>
    <t>PMM2-CDG</t>
  </si>
  <si>
    <t>AT-001</t>
  </si>
  <si>
    <t>Diabetic Cardiomyopathy</t>
  </si>
  <si>
    <t>Diabetic Peripheral Nueropathy</t>
  </si>
  <si>
    <t>AT-003</t>
  </si>
  <si>
    <t>Diabetic Retinopathy</t>
  </si>
  <si>
    <t>Drivers</t>
  </si>
  <si>
    <t xml:space="preserve">Gross Margin (%) </t>
  </si>
  <si>
    <t>3Q2023E</t>
  </si>
  <si>
    <t>4Q2023E</t>
  </si>
  <si>
    <t>FY2023E</t>
  </si>
  <si>
    <t>FY2024E</t>
  </si>
  <si>
    <t>FY2025E</t>
  </si>
  <si>
    <t>FY2026E</t>
  </si>
  <si>
    <t>FY2027E</t>
  </si>
  <si>
    <t>FY2028E</t>
  </si>
  <si>
    <t>FY2019A</t>
  </si>
  <si>
    <t>FY2020A</t>
  </si>
  <si>
    <t>FY2021A</t>
  </si>
  <si>
    <t>FY2022A</t>
  </si>
  <si>
    <t>Assumptions</t>
  </si>
  <si>
    <t xml:space="preserve">Indication </t>
  </si>
  <si>
    <t xml:space="preserve">Success Probability </t>
  </si>
  <si>
    <t>Timeline</t>
  </si>
  <si>
    <t>Stage</t>
  </si>
  <si>
    <t>NDA</t>
  </si>
  <si>
    <t xml:space="preserve">Market Entry </t>
  </si>
  <si>
    <t>1Q2024E</t>
  </si>
  <si>
    <t>Revenue Build</t>
  </si>
  <si>
    <t xml:space="preserve">Annual Patients </t>
  </si>
  <si>
    <t xml:space="preserve">NDA </t>
  </si>
  <si>
    <t>Patent Duration (Years)</t>
  </si>
  <si>
    <t>Patent Expiry</t>
  </si>
  <si>
    <t>3Q2037E</t>
  </si>
  <si>
    <t xml:space="preserve">Monthly Cost </t>
  </si>
  <si>
    <t>Low</t>
  </si>
  <si>
    <t xml:space="preserve">High </t>
  </si>
  <si>
    <t xml:space="preserve">Total Addressable Market </t>
  </si>
  <si>
    <t>Growth</t>
  </si>
  <si>
    <t>Rollout</t>
  </si>
  <si>
    <t>Year 1</t>
  </si>
  <si>
    <t>Year 2</t>
  </si>
  <si>
    <t>Year 3</t>
  </si>
  <si>
    <t>Year 4</t>
  </si>
  <si>
    <t>Patent Period</t>
  </si>
  <si>
    <t>Customers</t>
  </si>
  <si>
    <t>Price</t>
  </si>
  <si>
    <t>Market Share Target ($)</t>
  </si>
  <si>
    <t>Market Share Target (%)</t>
  </si>
  <si>
    <t>Post Patent Period</t>
  </si>
  <si>
    <t>$/Month</t>
  </si>
  <si>
    <t>$/Month/Patient</t>
  </si>
  <si>
    <t>Patients</t>
  </si>
  <si>
    <t>% of Target</t>
  </si>
  <si>
    <t xml:space="preserve">Risk Adjustment </t>
  </si>
  <si>
    <t>Risk-Adjusted Net Sales</t>
  </si>
  <si>
    <t>Net Sales</t>
  </si>
  <si>
    <t>FY2029E</t>
  </si>
  <si>
    <t>FY2030E</t>
  </si>
  <si>
    <t>FY2031E</t>
  </si>
  <si>
    <t>FY2032E</t>
  </si>
  <si>
    <t>FY2033E</t>
  </si>
  <si>
    <t>FY2034E</t>
  </si>
  <si>
    <t>FY2035E</t>
  </si>
  <si>
    <t>FY2036E</t>
  </si>
  <si>
    <t>FY2037E</t>
  </si>
  <si>
    <t>FY2038E</t>
  </si>
  <si>
    <t xml:space="preserve">Sales Target </t>
  </si>
  <si>
    <t>2Q2024E</t>
  </si>
  <si>
    <t>3Q2024E</t>
  </si>
  <si>
    <t>4Q2024E</t>
  </si>
  <si>
    <t xml:space="preserve">Cost of Goods Sold  </t>
  </si>
  <si>
    <t xml:space="preserve">Gross Margin </t>
  </si>
  <si>
    <t>Balance Sheet</t>
  </si>
  <si>
    <t>Cash &amp; Cash Equivalents</t>
  </si>
  <si>
    <t>Investments</t>
  </si>
  <si>
    <t>Prepaid Expenses &amp; Other Current Assets</t>
  </si>
  <si>
    <t>Clinical Benefit, Safety, PK and PD Study of AT-007 in Pediatric Subjects With Classic Galactosemia</t>
  </si>
  <si>
    <t>Safety and Pharmacokinetics of AT-007 in Healthy Subjects and in Adult Subjects With Classic Galactosemia</t>
  </si>
  <si>
    <t xml:space="preserve">Phase </t>
  </si>
  <si>
    <t>1/2</t>
  </si>
  <si>
    <t>Status</t>
  </si>
  <si>
    <t>Results Posted</t>
  </si>
  <si>
    <t>3</t>
  </si>
  <si>
    <t>Completed; Results Pending</t>
  </si>
  <si>
    <t>Total Current Assets</t>
  </si>
  <si>
    <t>Operating lease right-of-use asset</t>
  </si>
  <si>
    <t>Security deposits &amp; leasehold improvements</t>
  </si>
  <si>
    <t>Total Assets</t>
  </si>
  <si>
    <t>Current portion of operating lease liabilities</t>
  </si>
  <si>
    <t>Accounts payable</t>
  </si>
  <si>
    <t>Accrued expenses &amp; other current liabilities</t>
  </si>
  <si>
    <t>Warrant liability</t>
  </si>
  <si>
    <t>Total Current Liabilities</t>
  </si>
  <si>
    <t>Noncurrent portion of operating lease liabilities</t>
  </si>
  <si>
    <t>Clinical holdback - long-term portion</t>
  </si>
  <si>
    <t>Total noncurrent liabilities</t>
  </si>
  <si>
    <t>Total Liabilities</t>
  </si>
  <si>
    <t>Preferred Stock</t>
  </si>
  <si>
    <t xml:space="preserve">Common Stock </t>
  </si>
  <si>
    <t>Accumulated other comprehensive  gain</t>
  </si>
  <si>
    <t>Accumulated deficit</t>
  </si>
  <si>
    <t>Total stockholders' equity</t>
  </si>
  <si>
    <t>Total liabilties &amp; stockholders' equity</t>
  </si>
  <si>
    <t>Total noncurrent assets</t>
  </si>
  <si>
    <t>Additional paid-in-capital</t>
  </si>
  <si>
    <t>P&amp;L GAAP</t>
  </si>
  <si>
    <t>Total Gross Income</t>
  </si>
  <si>
    <t>Valuation</t>
  </si>
  <si>
    <t>Last Share Price</t>
  </si>
  <si>
    <t>Basic Shares</t>
  </si>
  <si>
    <t>MC</t>
  </si>
  <si>
    <t>NTM Diluted Shares</t>
  </si>
  <si>
    <t>Debt</t>
  </si>
  <si>
    <t>Cash &amp; Equivalents</t>
  </si>
  <si>
    <t>Enterprise Value</t>
  </si>
  <si>
    <t>Discount</t>
  </si>
  <si>
    <t>^TNX</t>
  </si>
  <si>
    <t>ERP</t>
  </si>
  <si>
    <t>Terminal Growth Rate</t>
  </si>
  <si>
    <t>NPV Target</t>
  </si>
  <si>
    <t>Enterprise Value ($m)</t>
  </si>
  <si>
    <t>Cash ($m)</t>
  </si>
  <si>
    <t>Equity Value ($m)</t>
  </si>
  <si>
    <t>Weighted-average common stock outstanding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</si>
</sst>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9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Helvetica"/>
      <family val="2"/>
    </font>
    <font>
      <sz val="10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99A2B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0" applyNumberFormat="1"/>
    <xf numFmtId="6" fontId="0" fillId="0" borderId="0" xfId="0" applyNumberFormat="1"/>
    <xf numFmtId="0" fontId="0" fillId="2" borderId="0" xfId="0" applyFill="1"/>
    <xf numFmtId="0" fontId="2" fillId="2" borderId="0" xfId="0" applyFont="1" applyFill="1"/>
    <xf numFmtId="9" fontId="0" fillId="0" borderId="0" xfId="1" applyFont="1"/>
    <xf numFmtId="8" fontId="0" fillId="0" borderId="0" xfId="0" applyNumberFormat="1"/>
    <xf numFmtId="1" fontId="0" fillId="0" borderId="0" xfId="0" applyNumberFormat="1"/>
    <xf numFmtId="0" fontId="4" fillId="3" borderId="0" xfId="0" applyFont="1" applyFill="1"/>
    <xf numFmtId="0" fontId="0" fillId="3" borderId="0" xfId="0" applyFill="1"/>
    <xf numFmtId="0" fontId="5" fillId="3" borderId="0" xfId="0" applyFont="1" applyFill="1"/>
    <xf numFmtId="9" fontId="0" fillId="3" borderId="0" xfId="0" applyNumberFormat="1" applyFill="1"/>
    <xf numFmtId="6" fontId="0" fillId="3" borderId="0" xfId="0" applyNumberFormat="1" applyFill="1"/>
    <xf numFmtId="10" fontId="0" fillId="3" borderId="0" xfId="0" applyNumberFormat="1" applyFill="1"/>
    <xf numFmtId="0" fontId="6" fillId="0" borderId="0" xfId="0" applyFont="1"/>
    <xf numFmtId="0" fontId="0" fillId="3" borderId="0" xfId="0" applyFont="1" applyFill="1"/>
    <xf numFmtId="0" fontId="2" fillId="3" borderId="0" xfId="0" applyFont="1" applyFill="1"/>
    <xf numFmtId="0" fontId="6" fillId="3" borderId="0" xfId="0" applyFont="1" applyFill="1"/>
    <xf numFmtId="16" fontId="0" fillId="3" borderId="0" xfId="0" quotePrefix="1" applyNumberFormat="1" applyFill="1"/>
    <xf numFmtId="9" fontId="7" fillId="3" borderId="0" xfId="3" applyNumberFormat="1" applyFill="1"/>
    <xf numFmtId="0" fontId="7" fillId="0" borderId="0" xfId="3"/>
    <xf numFmtId="0" fontId="0" fillId="3" borderId="0" xfId="0" quotePrefix="1" applyFill="1"/>
    <xf numFmtId="0" fontId="7" fillId="3" borderId="0" xfId="3" applyFill="1"/>
    <xf numFmtId="0" fontId="8" fillId="2" borderId="0" xfId="0" applyFont="1" applyFill="1"/>
    <xf numFmtId="0" fontId="0" fillId="0" borderId="0" xfId="0" applyFont="1"/>
    <xf numFmtId="1" fontId="2" fillId="0" borderId="0" xfId="0" applyNumberFormat="1" applyFont="1"/>
    <xf numFmtId="2" fontId="0" fillId="0" borderId="0" xfId="0" applyNumberFormat="1"/>
    <xf numFmtId="0" fontId="9" fillId="3" borderId="1" xfId="0" applyFont="1" applyFill="1" applyBorder="1"/>
    <xf numFmtId="0" fontId="9" fillId="3" borderId="0" xfId="0" applyFont="1" applyFill="1"/>
    <xf numFmtId="0" fontId="10" fillId="3" borderId="0" xfId="0" applyFont="1" applyFill="1"/>
    <xf numFmtId="0" fontId="10" fillId="3" borderId="1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8" fontId="10" fillId="3" borderId="0" xfId="0" applyNumberFormat="1" applyFont="1" applyFill="1" applyBorder="1"/>
    <xf numFmtId="169" fontId="10" fillId="3" borderId="0" xfId="0" applyNumberFormat="1" applyFont="1" applyFill="1" applyBorder="1"/>
    <xf numFmtId="1" fontId="10" fillId="3" borderId="0" xfId="0" applyNumberFormat="1" applyFont="1" applyFill="1" applyBorder="1"/>
    <xf numFmtId="9" fontId="10" fillId="3" borderId="0" xfId="0" applyNumberFormat="1" applyFont="1" applyFill="1" applyBorder="1"/>
    <xf numFmtId="0" fontId="10" fillId="3" borderId="0" xfId="0" quotePrefix="1" applyFont="1" applyFill="1" applyBorder="1"/>
    <xf numFmtId="0" fontId="9" fillId="2" borderId="0" xfId="0" applyFont="1" applyFill="1" applyBorder="1"/>
    <xf numFmtId="44" fontId="9" fillId="3" borderId="0" xfId="2" applyNumberFormat="1" applyFont="1" applyFill="1" applyBorder="1"/>
    <xf numFmtId="1" fontId="0" fillId="3" borderId="2" xfId="0" applyNumberFormat="1" applyFont="1" applyFill="1" applyBorder="1"/>
    <xf numFmtId="1" fontId="0" fillId="3" borderId="3" xfId="0" applyNumberFormat="1" applyFont="1" applyFill="1" applyBorder="1"/>
    <xf numFmtId="1" fontId="2" fillId="3" borderId="0" xfId="0" applyNumberFormat="1" applyFont="1" applyFill="1"/>
    <xf numFmtId="1" fontId="0" fillId="3" borderId="0" xfId="0" applyNumberFormat="1" applyFill="1"/>
    <xf numFmtId="1" fontId="2" fillId="3" borderId="2" xfId="0" applyNumberFormat="1" applyFont="1" applyFill="1" applyBorder="1"/>
    <xf numFmtId="1" fontId="2" fillId="3" borderId="3" xfId="0" applyNumberFormat="1" applyFont="1" applyFill="1" applyBorder="1"/>
    <xf numFmtId="44" fontId="0" fillId="3" borderId="0" xfId="0" applyNumberFormat="1" applyFill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A2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assic.clinicaltrials.gov/ct2/show/record/NCT04902781?view=record" TargetMode="External"/><Relationship Id="rId1" Type="http://schemas.openxmlformats.org/officeDocument/2006/relationships/hyperlink" Target="https://classic.clinicaltrials.gov/ct2/history/NCT04117711?V_5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8847-F4E3-2A4A-A975-92A199F8925A}">
  <dimension ref="B5:D54"/>
  <sheetViews>
    <sheetView topLeftCell="A3" zoomScale="81" zoomScaleNormal="100" workbookViewId="0">
      <selection activeCell="M31" sqref="M31"/>
    </sheetView>
  </sheetViews>
  <sheetFormatPr baseColWidth="10" defaultRowHeight="16" x14ac:dyDescent="0.2"/>
  <cols>
    <col min="1" max="1" width="10.83203125" style="11"/>
    <col min="2" max="2" width="23.6640625" style="11" bestFit="1" customWidth="1"/>
    <col min="3" max="3" width="15" style="11" bestFit="1" customWidth="1"/>
    <col min="4" max="4" width="13" style="11" bestFit="1" customWidth="1"/>
    <col min="5" max="16384" width="10.83203125" style="11"/>
  </cols>
  <sheetData>
    <row r="5" spans="2:4" ht="31" x14ac:dyDescent="0.35">
      <c r="B5" s="10" t="s">
        <v>70</v>
      </c>
    </row>
    <row r="7" spans="2:4" ht="21" x14ac:dyDescent="0.25">
      <c r="B7" s="12" t="s">
        <v>46</v>
      </c>
    </row>
    <row r="8" spans="2:4" x14ac:dyDescent="0.2">
      <c r="B8" s="11" t="s">
        <v>71</v>
      </c>
      <c r="D8" s="11" t="s">
        <v>47</v>
      </c>
    </row>
    <row r="9" spans="2:4" x14ac:dyDescent="0.2">
      <c r="B9" s="11" t="s">
        <v>72</v>
      </c>
      <c r="D9" s="13">
        <v>0.9</v>
      </c>
    </row>
    <row r="10" spans="2:4" x14ac:dyDescent="0.2">
      <c r="B10" s="11" t="s">
        <v>74</v>
      </c>
      <c r="D10" s="13" t="s">
        <v>75</v>
      </c>
    </row>
    <row r="11" spans="2:4" x14ac:dyDescent="0.2">
      <c r="B11" s="17"/>
      <c r="D11" s="13"/>
    </row>
    <row r="12" spans="2:4" x14ac:dyDescent="0.2">
      <c r="B12" s="17" t="s">
        <v>129</v>
      </c>
      <c r="C12" s="20" t="s">
        <v>130</v>
      </c>
      <c r="D12" s="13"/>
    </row>
    <row r="13" spans="2:4" x14ac:dyDescent="0.2">
      <c r="B13" s="22" t="s">
        <v>128</v>
      </c>
      <c r="D13" s="21"/>
    </row>
    <row r="14" spans="2:4" x14ac:dyDescent="0.2">
      <c r="B14" s="17" t="s">
        <v>131</v>
      </c>
      <c r="C14" s="11" t="s">
        <v>132</v>
      </c>
      <c r="D14" s="13"/>
    </row>
    <row r="15" spans="2:4" x14ac:dyDescent="0.2">
      <c r="B15" s="17"/>
      <c r="D15" s="13"/>
    </row>
    <row r="16" spans="2:4" x14ac:dyDescent="0.2">
      <c r="B16" s="17" t="s">
        <v>129</v>
      </c>
      <c r="C16" s="23" t="s">
        <v>133</v>
      </c>
      <c r="D16" s="13"/>
    </row>
    <row r="17" spans="2:4" x14ac:dyDescent="0.2">
      <c r="B17" s="24" t="s">
        <v>127</v>
      </c>
      <c r="D17" s="13"/>
    </row>
    <row r="18" spans="2:4" x14ac:dyDescent="0.2">
      <c r="B18" s="19" t="s">
        <v>131</v>
      </c>
      <c r="C18" s="11" t="s">
        <v>134</v>
      </c>
      <c r="D18" s="13"/>
    </row>
    <row r="19" spans="2:4" x14ac:dyDescent="0.2">
      <c r="B19" s="16"/>
      <c r="D19" s="13"/>
    </row>
    <row r="21" spans="2:4" x14ac:dyDescent="0.2">
      <c r="B21" s="6" t="s">
        <v>73</v>
      </c>
      <c r="C21" s="5"/>
      <c r="D21" s="5"/>
    </row>
    <row r="22" spans="2:4" x14ac:dyDescent="0.2">
      <c r="B22" s="11" t="s">
        <v>80</v>
      </c>
      <c r="D22" s="11" t="s">
        <v>59</v>
      </c>
    </row>
    <row r="23" spans="2:4" x14ac:dyDescent="0.2">
      <c r="B23" s="11" t="s">
        <v>76</v>
      </c>
      <c r="D23" s="11" t="s">
        <v>77</v>
      </c>
    </row>
    <row r="24" spans="2:4" x14ac:dyDescent="0.2">
      <c r="B24" s="11" t="s">
        <v>81</v>
      </c>
      <c r="D24" s="11">
        <f>2037-2023</f>
        <v>14</v>
      </c>
    </row>
    <row r="25" spans="2:4" x14ac:dyDescent="0.2">
      <c r="B25" s="11" t="s">
        <v>82</v>
      </c>
      <c r="D25" s="11" t="s">
        <v>83</v>
      </c>
    </row>
    <row r="27" spans="2:4" x14ac:dyDescent="0.2">
      <c r="B27" s="6" t="s">
        <v>78</v>
      </c>
      <c r="C27" s="5"/>
      <c r="D27" s="5"/>
    </row>
    <row r="28" spans="2:4" x14ac:dyDescent="0.2">
      <c r="B28" s="11" t="s">
        <v>79</v>
      </c>
      <c r="D28" s="11">
        <v>3000</v>
      </c>
    </row>
    <row r="29" spans="2:4" x14ac:dyDescent="0.2">
      <c r="B29" s="11" t="s">
        <v>84</v>
      </c>
    </row>
    <row r="30" spans="2:4" x14ac:dyDescent="0.2">
      <c r="B30" s="11" t="s">
        <v>85</v>
      </c>
      <c r="D30" s="14">
        <v>2000</v>
      </c>
    </row>
    <row r="31" spans="2:4" x14ac:dyDescent="0.2">
      <c r="B31" s="11" t="s">
        <v>86</v>
      </c>
      <c r="D31" s="14">
        <v>5000</v>
      </c>
    </row>
    <row r="32" spans="2:4" x14ac:dyDescent="0.2">
      <c r="D32" s="14"/>
    </row>
    <row r="34" spans="2:4" x14ac:dyDescent="0.2">
      <c r="B34" s="6" t="s">
        <v>89</v>
      </c>
      <c r="C34" s="6"/>
      <c r="D34" s="6" t="s">
        <v>103</v>
      </c>
    </row>
    <row r="35" spans="2:4" x14ac:dyDescent="0.2">
      <c r="B35" s="11" t="s">
        <v>90</v>
      </c>
      <c r="D35" s="13">
        <v>0.3</v>
      </c>
    </row>
    <row r="36" spans="2:4" x14ac:dyDescent="0.2">
      <c r="B36" s="11" t="s">
        <v>91</v>
      </c>
      <c r="D36" s="13">
        <v>0.6</v>
      </c>
    </row>
    <row r="37" spans="2:4" x14ac:dyDescent="0.2">
      <c r="B37" s="11" t="s">
        <v>92</v>
      </c>
      <c r="D37" s="13">
        <v>0.9</v>
      </c>
    </row>
    <row r="38" spans="2:4" x14ac:dyDescent="0.2">
      <c r="B38" s="11" t="s">
        <v>93</v>
      </c>
      <c r="D38" s="13">
        <v>1</v>
      </c>
    </row>
    <row r="40" spans="2:4" x14ac:dyDescent="0.2">
      <c r="B40" s="6" t="s">
        <v>94</v>
      </c>
      <c r="C40" s="6"/>
      <c r="D40" s="6"/>
    </row>
    <row r="41" spans="2:4" x14ac:dyDescent="0.2">
      <c r="B41" s="11" t="s">
        <v>95</v>
      </c>
      <c r="C41" s="11" t="s">
        <v>102</v>
      </c>
      <c r="D41" s="11">
        <v>3000</v>
      </c>
    </row>
    <row r="42" spans="2:4" x14ac:dyDescent="0.2">
      <c r="B42" s="11" t="s">
        <v>96</v>
      </c>
      <c r="C42" s="11" t="s">
        <v>101</v>
      </c>
      <c r="D42" s="14">
        <v>5000</v>
      </c>
    </row>
    <row r="43" spans="2:4" x14ac:dyDescent="0.2">
      <c r="B43" s="11" t="s">
        <v>87</v>
      </c>
      <c r="C43" s="11" t="s">
        <v>100</v>
      </c>
      <c r="D43" s="14">
        <f>D42*D41</f>
        <v>15000000</v>
      </c>
    </row>
    <row r="44" spans="2:4" x14ac:dyDescent="0.2">
      <c r="B44" s="11" t="s">
        <v>98</v>
      </c>
      <c r="C44" s="13"/>
      <c r="D44" s="13">
        <v>0.5</v>
      </c>
    </row>
    <row r="45" spans="2:4" x14ac:dyDescent="0.2">
      <c r="B45" s="11" t="s">
        <v>97</v>
      </c>
      <c r="C45" s="11" t="s">
        <v>100</v>
      </c>
      <c r="D45" s="14">
        <f>D44*D43</f>
        <v>7500000</v>
      </c>
    </row>
    <row r="46" spans="2:4" x14ac:dyDescent="0.2">
      <c r="B46" s="11" t="s">
        <v>88</v>
      </c>
      <c r="D46" s="13">
        <v>0.03</v>
      </c>
    </row>
    <row r="48" spans="2:4" x14ac:dyDescent="0.2">
      <c r="B48" s="6" t="s">
        <v>99</v>
      </c>
      <c r="C48" s="5"/>
      <c r="D48" s="5"/>
    </row>
    <row r="49" spans="2:4" x14ac:dyDescent="0.2">
      <c r="B49" s="11" t="s">
        <v>95</v>
      </c>
      <c r="C49" s="11" t="s">
        <v>102</v>
      </c>
      <c r="D49" s="11">
        <v>3000</v>
      </c>
    </row>
    <row r="50" spans="2:4" x14ac:dyDescent="0.2">
      <c r="B50" s="11" t="s">
        <v>96</v>
      </c>
      <c r="C50" s="11" t="s">
        <v>101</v>
      </c>
      <c r="D50" s="14">
        <v>5000</v>
      </c>
    </row>
    <row r="51" spans="2:4" x14ac:dyDescent="0.2">
      <c r="B51" s="11" t="s">
        <v>87</v>
      </c>
      <c r="C51" s="11" t="s">
        <v>100</v>
      </c>
      <c r="D51" s="14">
        <f>D50*D49</f>
        <v>15000000</v>
      </c>
    </row>
    <row r="52" spans="2:4" x14ac:dyDescent="0.2">
      <c r="B52" s="11" t="s">
        <v>98</v>
      </c>
      <c r="C52" s="13"/>
      <c r="D52" s="13">
        <v>0.25</v>
      </c>
    </row>
    <row r="53" spans="2:4" x14ac:dyDescent="0.2">
      <c r="B53" s="11" t="s">
        <v>97</v>
      </c>
      <c r="C53" s="11" t="s">
        <v>100</v>
      </c>
      <c r="D53" s="14">
        <f>D52*D51</f>
        <v>3750000</v>
      </c>
    </row>
    <row r="54" spans="2:4" x14ac:dyDescent="0.2">
      <c r="B54" s="11" t="s">
        <v>88</v>
      </c>
      <c r="D54" s="15">
        <v>5.0000000000000001E-3</v>
      </c>
    </row>
  </sheetData>
  <hyperlinks>
    <hyperlink ref="B13" r:id="rId1" xr:uid="{671B7884-8D00-B741-BEA0-5327B1DB523D}"/>
    <hyperlink ref="B17" r:id="rId2" xr:uid="{FF23C9AE-2BA0-7A49-A86F-168947182E69}"/>
  </hyperlinks>
  <pageMargins left="0.7" right="0.7" top="0.75" bottom="0.75" header="0.3" footer="0.3"/>
  <ignoredErrors>
    <ignoredError sqref="C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A5CE-9ADD-764B-99D3-298DB73B0F47}">
  <dimension ref="A1:AV111"/>
  <sheetViews>
    <sheetView tabSelected="1" zoomScale="125" workbookViewId="0">
      <pane xSplit="9" ySplit="3" topLeftCell="AF61" activePane="bottomRight" state="frozen"/>
      <selection pane="topRight" activeCell="J1" sqref="J1"/>
      <selection pane="bottomLeft" activeCell="A3" sqref="A3"/>
      <selection pane="bottomRight" activeCell="AH73" sqref="AH73"/>
    </sheetView>
  </sheetViews>
  <sheetFormatPr baseColWidth="10" defaultRowHeight="16" outlineLevelCol="1" x14ac:dyDescent="0.2"/>
  <cols>
    <col min="1" max="1" width="28.83203125" customWidth="1"/>
    <col min="2" max="9" width="0" hidden="1" customWidth="1" outlineLevel="1"/>
    <col min="10" max="10" width="10.83203125" collapsed="1"/>
    <col min="21" max="21" width="12" bestFit="1" customWidth="1"/>
    <col min="34" max="35" width="12" bestFit="1" customWidth="1"/>
  </cols>
  <sheetData>
    <row r="1" spans="1:48" x14ac:dyDescent="0.2">
      <c r="A1" t="s">
        <v>37</v>
      </c>
    </row>
    <row r="2" spans="1:48" x14ac:dyDescent="0.2">
      <c r="A2" t="s">
        <v>38</v>
      </c>
    </row>
    <row r="3" spans="1:48" x14ac:dyDescent="0.2">
      <c r="B3" t="s">
        <v>19</v>
      </c>
      <c r="C3" t="s">
        <v>18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58</v>
      </c>
      <c r="U3" t="s">
        <v>59</v>
      </c>
      <c r="V3" t="s">
        <v>77</v>
      </c>
      <c r="W3" t="s">
        <v>118</v>
      </c>
      <c r="X3" t="s">
        <v>119</v>
      </c>
      <c r="Y3" t="s">
        <v>120</v>
      </c>
      <c r="AC3" t="s">
        <v>66</v>
      </c>
      <c r="AD3" t="s">
        <v>67</v>
      </c>
      <c r="AE3" t="s">
        <v>68</v>
      </c>
      <c r="AF3" t="s">
        <v>69</v>
      </c>
      <c r="AG3" t="s">
        <v>60</v>
      </c>
      <c r="AH3" t="s">
        <v>61</v>
      </c>
      <c r="AI3" t="s">
        <v>62</v>
      </c>
      <c r="AJ3" t="s">
        <v>63</v>
      </c>
      <c r="AK3" t="s">
        <v>64</v>
      </c>
      <c r="AL3" t="s">
        <v>65</v>
      </c>
      <c r="AM3" t="s">
        <v>107</v>
      </c>
      <c r="AN3" t="s">
        <v>108</v>
      </c>
      <c r="AO3" t="s">
        <v>109</v>
      </c>
      <c r="AP3" t="s">
        <v>110</v>
      </c>
      <c r="AQ3" t="s">
        <v>111</v>
      </c>
      <c r="AR3" t="s">
        <v>112</v>
      </c>
      <c r="AS3" t="s">
        <v>113</v>
      </c>
      <c r="AT3" t="s">
        <v>114</v>
      </c>
      <c r="AU3" t="s">
        <v>115</v>
      </c>
      <c r="AV3" t="s">
        <v>116</v>
      </c>
    </row>
    <row r="4" spans="1:48" s="6" customFormat="1" x14ac:dyDescent="0.2">
      <c r="A4" s="6" t="s">
        <v>48</v>
      </c>
    </row>
    <row r="5" spans="1:48" x14ac:dyDescent="0.2">
      <c r="A5" s="2" t="s">
        <v>46</v>
      </c>
    </row>
    <row r="6" spans="1:48" x14ac:dyDescent="0.2">
      <c r="A6" t="s">
        <v>47</v>
      </c>
    </row>
    <row r="7" spans="1:48" x14ac:dyDescent="0.2">
      <c r="A7" t="s">
        <v>117</v>
      </c>
      <c r="U7" s="4">
        <f>Main!D45*3/1000</f>
        <v>22500</v>
      </c>
      <c r="V7" s="4">
        <f>AH7/4</f>
        <v>22500</v>
      </c>
      <c r="W7" s="4">
        <f>AH7/4</f>
        <v>22500</v>
      </c>
      <c r="X7" s="4">
        <f>AH7/4</f>
        <v>22500</v>
      </c>
      <c r="Y7" s="4">
        <f>AH7/4</f>
        <v>22500</v>
      </c>
      <c r="AH7" s="4">
        <f>Main!D45*12/1000</f>
        <v>90000</v>
      </c>
      <c r="AI7" s="4">
        <f>AH7*(1+Main!$D$46)</f>
        <v>92700</v>
      </c>
      <c r="AJ7" s="4">
        <f>AI7*(1+Main!$D$46)</f>
        <v>95481</v>
      </c>
      <c r="AK7" s="4">
        <f>AJ7*(1+Main!$D$46)</f>
        <v>98345.430000000008</v>
      </c>
      <c r="AL7" s="4">
        <f>AK7*(1+Main!$D$46)</f>
        <v>101295.79290000001</v>
      </c>
      <c r="AM7" s="4">
        <f>AL7*(1+Main!$D$46)</f>
        <v>104334.66668700002</v>
      </c>
      <c r="AN7" s="4">
        <f>AM7*(1+Main!$D$46)</f>
        <v>107464.70668761003</v>
      </c>
      <c r="AO7" s="4">
        <f>AN7*(1+Main!$D$46)*AO8</f>
        <v>110688.64788823834</v>
      </c>
      <c r="AP7" s="4">
        <f>AO7*(1+Main!$D$46)*AP8</f>
        <v>114009.30732488549</v>
      </c>
      <c r="AQ7" s="4">
        <f>AP7*(1+Main!$D$46)*AQ8</f>
        <v>117429.58654463205</v>
      </c>
      <c r="AR7" s="4">
        <f>AQ7*(1+Main!$D$46)*AR8</f>
        <v>120952.47414097101</v>
      </c>
      <c r="AS7" s="4">
        <f>AR7*(1+Main!$D$46)*AS8</f>
        <v>124581.04836520014</v>
      </c>
      <c r="AT7" s="4">
        <f>AS7*(1+Main!$D$46)*AT8</f>
        <v>128318.47981615615</v>
      </c>
      <c r="AU7" s="4">
        <f>AT7*(1+Main!$D$46)*AU8</f>
        <v>132168.03421064085</v>
      </c>
      <c r="AV7" s="4">
        <f>AU7*(1+Main!$D$46)*AV8*Main!D52/Main!D44</f>
        <v>68066.537618480041</v>
      </c>
    </row>
    <row r="8" spans="1:48" x14ac:dyDescent="0.2">
      <c r="A8" t="s">
        <v>103</v>
      </c>
      <c r="U8" s="7">
        <v>0.05</v>
      </c>
      <c r="V8" s="3">
        <v>0.15</v>
      </c>
      <c r="W8" s="3">
        <v>0.25</v>
      </c>
      <c r="X8" s="3">
        <v>0.35</v>
      </c>
      <c r="Y8" s="3">
        <v>0.4</v>
      </c>
      <c r="AI8" s="3">
        <f>Main!D36</f>
        <v>0.6</v>
      </c>
      <c r="AJ8" s="3">
        <f>Main!D37</f>
        <v>0.9</v>
      </c>
      <c r="AK8" s="3">
        <f>Main!D38</f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</row>
    <row r="9" spans="1:48" x14ac:dyDescent="0.2">
      <c r="A9" t="s">
        <v>106</v>
      </c>
      <c r="U9" s="4">
        <f>U8*U7</f>
        <v>1125</v>
      </c>
      <c r="V9" s="4">
        <f t="shared" ref="V9:Y9" si="0">V8*V7</f>
        <v>3375</v>
      </c>
      <c r="W9" s="4">
        <f t="shared" si="0"/>
        <v>5625</v>
      </c>
      <c r="X9" s="4">
        <f t="shared" si="0"/>
        <v>7874.9999999999991</v>
      </c>
      <c r="Y9" s="4">
        <f t="shared" si="0"/>
        <v>9000</v>
      </c>
      <c r="AI9" s="4">
        <f>AI8*AI7</f>
        <v>55620</v>
      </c>
      <c r="AJ9" s="4">
        <f t="shared" ref="AJ9:AV9" si="1">AJ8*AJ7</f>
        <v>85932.900000000009</v>
      </c>
      <c r="AK9" s="4">
        <f t="shared" si="1"/>
        <v>98345.430000000008</v>
      </c>
      <c r="AL9" s="4">
        <f t="shared" si="1"/>
        <v>101295.79290000001</v>
      </c>
      <c r="AM9" s="4">
        <f t="shared" si="1"/>
        <v>104334.66668700002</v>
      </c>
      <c r="AN9" s="4">
        <f t="shared" si="1"/>
        <v>107464.70668761003</v>
      </c>
      <c r="AO9" s="4">
        <f t="shared" si="1"/>
        <v>110688.64788823834</v>
      </c>
      <c r="AP9" s="4">
        <f t="shared" si="1"/>
        <v>114009.30732488549</v>
      </c>
      <c r="AQ9" s="4">
        <f t="shared" si="1"/>
        <v>117429.58654463205</v>
      </c>
      <c r="AR9" s="4">
        <f t="shared" si="1"/>
        <v>120952.47414097101</v>
      </c>
      <c r="AS9" s="4">
        <f t="shared" si="1"/>
        <v>124581.04836520014</v>
      </c>
      <c r="AT9" s="4">
        <f t="shared" si="1"/>
        <v>128318.47981615615</v>
      </c>
      <c r="AU9" s="4">
        <f t="shared" si="1"/>
        <v>132168.03421064085</v>
      </c>
      <c r="AV9" s="4">
        <f t="shared" si="1"/>
        <v>68066.537618480041</v>
      </c>
    </row>
    <row r="11" spans="1:48" x14ac:dyDescent="0.2">
      <c r="A11" t="s">
        <v>104</v>
      </c>
      <c r="U11" s="3">
        <f>Main!$D$9</f>
        <v>0.9</v>
      </c>
      <c r="V11" s="3">
        <f>Main!$D$9</f>
        <v>0.9</v>
      </c>
      <c r="W11" s="3">
        <f>Main!$D$9</f>
        <v>0.9</v>
      </c>
      <c r="X11" s="3">
        <f>Main!$D$9</f>
        <v>0.9</v>
      </c>
      <c r="Y11" s="3">
        <f>Main!$D$9</f>
        <v>0.9</v>
      </c>
    </row>
    <row r="12" spans="1:48" x14ac:dyDescent="0.2">
      <c r="A12" t="s">
        <v>105</v>
      </c>
      <c r="U12" s="4">
        <f>U11*U9</f>
        <v>1012.5</v>
      </c>
      <c r="V12" s="4">
        <f t="shared" ref="V12:Y12" si="2">V11*V9</f>
        <v>3037.5</v>
      </c>
      <c r="W12" s="4">
        <f t="shared" si="2"/>
        <v>5062.5</v>
      </c>
      <c r="X12" s="4">
        <f t="shared" si="2"/>
        <v>7087.4999999999991</v>
      </c>
      <c r="Y12" s="4">
        <f t="shared" si="2"/>
        <v>8100</v>
      </c>
    </row>
    <row r="13" spans="1:48" x14ac:dyDescent="0.2">
      <c r="U13" s="4"/>
      <c r="V13" s="4"/>
      <c r="W13" s="4"/>
      <c r="X13" s="4"/>
      <c r="Y13" s="4"/>
    </row>
    <row r="14" spans="1:48" x14ac:dyDescent="0.2">
      <c r="A14" t="s">
        <v>49</v>
      </c>
    </row>
    <row r="16" spans="1:48" x14ac:dyDescent="0.2">
      <c r="A16" t="s">
        <v>50</v>
      </c>
    </row>
    <row r="19" spans="1:48" x14ac:dyDescent="0.2">
      <c r="A19" s="2" t="s">
        <v>51</v>
      </c>
    </row>
    <row r="20" spans="1:48" x14ac:dyDescent="0.2">
      <c r="A20" t="s">
        <v>52</v>
      </c>
    </row>
    <row r="21" spans="1:48" x14ac:dyDescent="0.2">
      <c r="A21" t="s">
        <v>53</v>
      </c>
    </row>
    <row r="23" spans="1:48" x14ac:dyDescent="0.2">
      <c r="A23" s="2" t="s">
        <v>54</v>
      </c>
    </row>
    <row r="24" spans="1:48" x14ac:dyDescent="0.2">
      <c r="A24" t="s">
        <v>55</v>
      </c>
    </row>
    <row r="27" spans="1:48" x14ac:dyDescent="0.2">
      <c r="A27" t="s">
        <v>36</v>
      </c>
      <c r="R27" s="1">
        <v>10660</v>
      </c>
    </row>
    <row r="28" spans="1:48" x14ac:dyDescent="0.2">
      <c r="R28" s="1"/>
    </row>
    <row r="29" spans="1:48" s="6" customFormat="1" x14ac:dyDescent="0.2">
      <c r="A29" s="6" t="s">
        <v>156</v>
      </c>
      <c r="R29" s="25"/>
    </row>
    <row r="30" spans="1:48" x14ac:dyDescent="0.2">
      <c r="R30" s="1"/>
    </row>
    <row r="31" spans="1:48" s="2" customFormat="1" x14ac:dyDescent="0.2">
      <c r="A31" s="2" t="s">
        <v>43</v>
      </c>
      <c r="J31" s="2">
        <f>J27</f>
        <v>0</v>
      </c>
      <c r="K31" s="2">
        <f>K27</f>
        <v>0</v>
      </c>
      <c r="L31" s="2">
        <f>L27</f>
        <v>0</v>
      </c>
      <c r="M31" s="2">
        <f>M27</f>
        <v>0</v>
      </c>
      <c r="N31" s="2">
        <f>N27</f>
        <v>0</v>
      </c>
      <c r="O31" s="2">
        <f>O27</f>
        <v>0</v>
      </c>
      <c r="P31" s="2">
        <f>P27</f>
        <v>0</v>
      </c>
      <c r="Q31" s="2">
        <f>Q27</f>
        <v>0</v>
      </c>
      <c r="R31" s="2">
        <f>R27</f>
        <v>10660</v>
      </c>
      <c r="S31" s="2">
        <f>S27</f>
        <v>0</v>
      </c>
      <c r="T31" s="2">
        <f>T27</f>
        <v>0</v>
      </c>
      <c r="U31" s="27">
        <f>U27+U12</f>
        <v>1012.5</v>
      </c>
      <c r="V31" s="27">
        <f>V27+V12</f>
        <v>3037.5</v>
      </c>
      <c r="W31" s="27">
        <f>W27+W12</f>
        <v>5062.5</v>
      </c>
      <c r="X31" s="27">
        <f>X27+X12</f>
        <v>7087.4999999999991</v>
      </c>
      <c r="Y31" s="27">
        <f>Y27+Y12</f>
        <v>8100</v>
      </c>
      <c r="AC31" s="2">
        <f>AC27</f>
        <v>0</v>
      </c>
      <c r="AD31" s="2">
        <f>AD27</f>
        <v>0</v>
      </c>
      <c r="AE31" s="2">
        <f>AE27</f>
        <v>0</v>
      </c>
      <c r="AF31" s="2">
        <f>AF27</f>
        <v>0</v>
      </c>
      <c r="AG31" s="27">
        <f>SUM(R31:U31)</f>
        <v>11672.5</v>
      </c>
      <c r="AH31" s="27">
        <f>SUM(V31:Y31)</f>
        <v>23287.5</v>
      </c>
      <c r="AI31" s="27">
        <f>AI27+AI9</f>
        <v>55620</v>
      </c>
      <c r="AJ31" s="27">
        <f>AJ27+AJ9</f>
        <v>85932.900000000009</v>
      </c>
      <c r="AK31" s="27">
        <f>AK27+AK9</f>
        <v>98345.430000000008</v>
      </c>
      <c r="AL31" s="27">
        <f>AL27+AL9</f>
        <v>101295.79290000001</v>
      </c>
      <c r="AM31" s="27">
        <f>AM27+AM9</f>
        <v>104334.66668700002</v>
      </c>
      <c r="AN31" s="27">
        <f>AN27+AN9</f>
        <v>107464.70668761003</v>
      </c>
      <c r="AO31" s="27">
        <f>AO27+AO9</f>
        <v>110688.64788823834</v>
      </c>
      <c r="AP31" s="27">
        <f>AP27+AP9</f>
        <v>114009.30732488549</v>
      </c>
      <c r="AQ31" s="27">
        <f>AQ27+AQ9</f>
        <v>117429.58654463205</v>
      </c>
      <c r="AR31" s="27">
        <f>AR27+AR9</f>
        <v>120952.47414097101</v>
      </c>
      <c r="AS31" s="27">
        <f>AS27+AS9</f>
        <v>124581.04836520014</v>
      </c>
      <c r="AT31" s="27">
        <f>AT27+AT9</f>
        <v>128318.47981615615</v>
      </c>
      <c r="AU31" s="27">
        <f>AU27+AU9</f>
        <v>132168.03421064085</v>
      </c>
      <c r="AV31" s="27">
        <f>AV27+AV9</f>
        <v>68066.537618480041</v>
      </c>
    </row>
    <row r="32" spans="1:48" x14ac:dyDescent="0.2">
      <c r="R32" s="1"/>
    </row>
    <row r="33" spans="1:48" x14ac:dyDescent="0.2">
      <c r="A33" t="s">
        <v>121</v>
      </c>
      <c r="R33" s="1"/>
      <c r="U33" s="9">
        <f>U31*(1-U34)</f>
        <v>101.24999999999997</v>
      </c>
      <c r="V33" s="9">
        <f t="shared" ref="V33:Y33" si="3">V31*(1-V34)</f>
        <v>303.74999999999994</v>
      </c>
      <c r="W33" s="9">
        <f t="shared" si="3"/>
        <v>506.24999999999989</v>
      </c>
      <c r="X33" s="9">
        <f t="shared" si="3"/>
        <v>708.74999999999977</v>
      </c>
      <c r="Y33" s="9">
        <f t="shared" si="3"/>
        <v>809.99999999999977</v>
      </c>
      <c r="AG33" s="9">
        <f>SUM(R33:U33)</f>
        <v>101.24999999999997</v>
      </c>
      <c r="AH33" s="9">
        <f>SUM(V33:Y33)</f>
        <v>2328.7499999999991</v>
      </c>
      <c r="AI33" s="9">
        <f t="shared" ref="AI33" si="4">AI31*(1-AI34)</f>
        <v>5561.9999999999991</v>
      </c>
      <c r="AJ33" s="9">
        <f t="shared" ref="AJ33" si="5">AJ31*(1-AJ34)</f>
        <v>8593.2899999999991</v>
      </c>
      <c r="AK33" s="9">
        <f t="shared" ref="AK33" si="6">AK31*(1-AK34)</f>
        <v>9834.5429999999978</v>
      </c>
      <c r="AL33" s="9">
        <f t="shared" ref="AL33" si="7">AL31*(1-AL34)</f>
        <v>10129.57929</v>
      </c>
      <c r="AM33" s="9">
        <f t="shared" ref="AM33" si="8">AM31*(1-AM34)</f>
        <v>10433.466668699999</v>
      </c>
      <c r="AN33" s="9">
        <f t="shared" ref="AN33" si="9">AN31*(1-AN34)</f>
        <v>10746.470668761</v>
      </c>
      <c r="AO33" s="9">
        <f t="shared" ref="AO33" si="10">AO31*(1-AO34)</f>
        <v>11068.864788823832</v>
      </c>
      <c r="AP33" s="9">
        <f t="shared" ref="AP33" si="11">AP31*(1-AP34)</f>
        <v>11400.930732488547</v>
      </c>
      <c r="AQ33" s="9">
        <f t="shared" ref="AQ33" si="12">AQ31*(1-AQ34)</f>
        <v>11742.958654463202</v>
      </c>
      <c r="AR33" s="9">
        <f t="shared" ref="AR33" si="13">AR31*(1-AR34)</f>
        <v>12095.247414097099</v>
      </c>
      <c r="AS33" s="9">
        <f t="shared" ref="AS33" si="14">AS31*(1-AS34)</f>
        <v>12458.104836520011</v>
      </c>
      <c r="AT33" s="9">
        <f t="shared" ref="AT33" si="15">AT31*(1-AT34)</f>
        <v>12831.847981615612</v>
      </c>
      <c r="AU33" s="9">
        <f t="shared" ref="AU33" si="16">AU31*(1-AU34)</f>
        <v>13216.803421064082</v>
      </c>
      <c r="AV33" s="9">
        <f t="shared" ref="AV33" si="17">AV31*(1-AV34)</f>
        <v>6806.6537618480024</v>
      </c>
    </row>
    <row r="34" spans="1:48" x14ac:dyDescent="0.2">
      <c r="A34" t="s">
        <v>122</v>
      </c>
      <c r="R34" s="1"/>
      <c r="U34" s="3">
        <v>0.9</v>
      </c>
      <c r="V34" s="3">
        <v>0.9</v>
      </c>
      <c r="W34" s="3">
        <v>0.9</v>
      </c>
      <c r="X34" s="3">
        <v>0.9</v>
      </c>
      <c r="Y34" s="3">
        <v>0.9</v>
      </c>
      <c r="AG34" s="7">
        <f>AG35/AG31</f>
        <v>0.99132576568858433</v>
      </c>
      <c r="AH34" s="7">
        <f>AH35/AH31</f>
        <v>0.9</v>
      </c>
      <c r="AI34" s="7">
        <v>0.9</v>
      </c>
      <c r="AJ34" s="7">
        <v>0.9</v>
      </c>
      <c r="AK34" s="7">
        <v>0.9</v>
      </c>
      <c r="AL34" s="7">
        <v>0.9</v>
      </c>
      <c r="AM34" s="7">
        <v>0.9</v>
      </c>
      <c r="AN34" s="7">
        <v>0.9</v>
      </c>
      <c r="AO34" s="7">
        <v>0.9</v>
      </c>
      <c r="AP34" s="7">
        <v>0.9</v>
      </c>
      <c r="AQ34" s="7">
        <v>0.9</v>
      </c>
      <c r="AR34" s="7">
        <v>0.9</v>
      </c>
      <c r="AS34" s="7">
        <v>0.9</v>
      </c>
      <c r="AT34" s="7">
        <v>0.9</v>
      </c>
      <c r="AU34" s="7">
        <v>0.9</v>
      </c>
      <c r="AV34" s="7">
        <v>0.9</v>
      </c>
    </row>
    <row r="35" spans="1:48" x14ac:dyDescent="0.2">
      <c r="A35" s="2" t="s">
        <v>157</v>
      </c>
      <c r="J35">
        <f t="shared" ref="J35:S35" si="18">J31-J33</f>
        <v>0</v>
      </c>
      <c r="K35">
        <f t="shared" si="18"/>
        <v>0</v>
      </c>
      <c r="L35">
        <f t="shared" si="18"/>
        <v>0</v>
      </c>
      <c r="M35">
        <f t="shared" si="18"/>
        <v>0</v>
      </c>
      <c r="N35">
        <f t="shared" si="18"/>
        <v>0</v>
      </c>
      <c r="O35">
        <f t="shared" si="18"/>
        <v>0</v>
      </c>
      <c r="P35">
        <f t="shared" si="18"/>
        <v>0</v>
      </c>
      <c r="Q35">
        <f t="shared" si="18"/>
        <v>0</v>
      </c>
      <c r="R35">
        <f t="shared" si="18"/>
        <v>10660</v>
      </c>
      <c r="S35">
        <f t="shared" si="18"/>
        <v>0</v>
      </c>
      <c r="T35">
        <f t="shared" ref="T35:X35" si="19">T31-T33</f>
        <v>0</v>
      </c>
      <c r="U35" s="9">
        <f t="shared" si="19"/>
        <v>911.25</v>
      </c>
      <c r="V35" s="9">
        <f t="shared" si="19"/>
        <v>2733.75</v>
      </c>
      <c r="W35" s="9">
        <f t="shared" si="19"/>
        <v>4556.25</v>
      </c>
      <c r="X35" s="9">
        <f t="shared" si="19"/>
        <v>6378.7499999999991</v>
      </c>
      <c r="Y35" s="9">
        <f>Y31-Y33</f>
        <v>7290</v>
      </c>
      <c r="AC35">
        <f>AC31-AC33</f>
        <v>0</v>
      </c>
      <c r="AD35">
        <f t="shared" ref="AD35:AF35" si="20">AD31-AD33</f>
        <v>0</v>
      </c>
      <c r="AE35">
        <f t="shared" si="20"/>
        <v>0</v>
      </c>
      <c r="AF35">
        <f t="shared" si="20"/>
        <v>0</v>
      </c>
      <c r="AG35" s="9">
        <f>AG31-AG33</f>
        <v>11571.25</v>
      </c>
      <c r="AH35" s="9">
        <f>AH31-AH33</f>
        <v>20958.75</v>
      </c>
      <c r="AI35" s="9">
        <f t="shared" ref="AI35:AV35" si="21">AI31-AI33</f>
        <v>50058</v>
      </c>
      <c r="AJ35" s="9">
        <f t="shared" si="21"/>
        <v>77339.610000000015</v>
      </c>
      <c r="AK35" s="9">
        <f t="shared" si="21"/>
        <v>88510.887000000017</v>
      </c>
      <c r="AL35" s="9">
        <f t="shared" si="21"/>
        <v>91166.213610000021</v>
      </c>
      <c r="AM35" s="9">
        <f t="shared" si="21"/>
        <v>93901.20001830002</v>
      </c>
      <c r="AN35" s="9">
        <f t="shared" si="21"/>
        <v>96718.236018849027</v>
      </c>
      <c r="AO35" s="9">
        <f t="shared" si="21"/>
        <v>99619.783099414504</v>
      </c>
      <c r="AP35" s="9">
        <f t="shared" si="21"/>
        <v>102608.37659239695</v>
      </c>
      <c r="AQ35" s="9">
        <f t="shared" si="21"/>
        <v>105686.62789016885</v>
      </c>
      <c r="AR35" s="9">
        <f t="shared" si="21"/>
        <v>108857.22672687391</v>
      </c>
      <c r="AS35" s="9">
        <f t="shared" si="21"/>
        <v>112122.94352868013</v>
      </c>
      <c r="AT35" s="9">
        <f t="shared" si="21"/>
        <v>115486.63183454053</v>
      </c>
      <c r="AU35" s="9">
        <f t="shared" si="21"/>
        <v>118951.23078957677</v>
      </c>
      <c r="AV35" s="9">
        <f t="shared" si="21"/>
        <v>61259.883856632041</v>
      </c>
    </row>
    <row r="36" spans="1:48" x14ac:dyDescent="0.2">
      <c r="R36" s="1"/>
    </row>
    <row r="37" spans="1:48" x14ac:dyDescent="0.2">
      <c r="A37" s="2" t="s">
        <v>42</v>
      </c>
    </row>
    <row r="38" spans="1:48" x14ac:dyDescent="0.2">
      <c r="A38" s="2"/>
    </row>
    <row r="39" spans="1:48" x14ac:dyDescent="0.2">
      <c r="A39" t="s">
        <v>7</v>
      </c>
      <c r="J39" s="1">
        <v>6454</v>
      </c>
      <c r="K39" s="1">
        <v>10172</v>
      </c>
      <c r="L39" s="1">
        <v>11778</v>
      </c>
      <c r="M39">
        <f t="shared" ref="M39:M43" si="22">AE39-L39-K39-J39</f>
        <v>11919</v>
      </c>
      <c r="N39" s="1">
        <v>11528</v>
      </c>
      <c r="O39" s="1">
        <v>12402</v>
      </c>
      <c r="P39" s="1">
        <v>10035</v>
      </c>
      <c r="Q39">
        <f t="shared" ref="Q39:Q43" si="23">AF39-P39-O39-N39</f>
        <v>8963</v>
      </c>
      <c r="R39" s="1">
        <v>11816</v>
      </c>
      <c r="S39" s="1">
        <v>8744</v>
      </c>
      <c r="U39" s="1"/>
      <c r="V39" s="1"/>
      <c r="W39" s="1"/>
      <c r="X39" s="1"/>
      <c r="Y39" s="1"/>
      <c r="Z39" s="1"/>
      <c r="AC39" s="1">
        <v>17436</v>
      </c>
      <c r="AD39" s="1">
        <v>28736</v>
      </c>
      <c r="AE39" s="1">
        <v>40323</v>
      </c>
      <c r="AF39" s="1">
        <v>42928</v>
      </c>
      <c r="AG39" s="9">
        <f>SUM(R39:U39)</f>
        <v>20560</v>
      </c>
      <c r="AH39" s="9">
        <f>SUM(V39:Y39)</f>
        <v>0</v>
      </c>
    </row>
    <row r="40" spans="1:48" x14ac:dyDescent="0.2">
      <c r="A40" t="s">
        <v>8</v>
      </c>
      <c r="J40" s="1">
        <v>5820</v>
      </c>
      <c r="K40" s="1">
        <v>2316</v>
      </c>
      <c r="L40" s="1">
        <v>3172</v>
      </c>
      <c r="M40">
        <f t="shared" si="22"/>
        <v>602</v>
      </c>
      <c r="N40" s="1">
        <v>231</v>
      </c>
      <c r="O40" s="1">
        <v>136</v>
      </c>
      <c r="P40" s="1">
        <v>236</v>
      </c>
      <c r="Q40">
        <f t="shared" si="23"/>
        <v>354</v>
      </c>
      <c r="R40" s="1">
        <v>1271</v>
      </c>
      <c r="S40" s="1">
        <v>540</v>
      </c>
      <c r="U40" s="1"/>
      <c r="V40" s="1"/>
      <c r="W40" s="1"/>
      <c r="X40" s="1"/>
      <c r="Y40" s="1"/>
      <c r="Z40" s="1"/>
      <c r="AC40" s="1">
        <v>9069</v>
      </c>
      <c r="AD40" s="1">
        <v>24424</v>
      </c>
      <c r="AE40" s="1">
        <v>11910</v>
      </c>
      <c r="AF40" s="1">
        <v>957</v>
      </c>
      <c r="AG40" s="9">
        <f t="shared" ref="AG40:AG43" si="24">SUM(R40:U40)</f>
        <v>1811</v>
      </c>
      <c r="AH40" s="9">
        <f t="shared" ref="AH40:AH43" si="25">SUM(V40:Y40)</f>
        <v>0</v>
      </c>
    </row>
    <row r="41" spans="1:48" x14ac:dyDescent="0.2">
      <c r="A41" t="s">
        <v>9</v>
      </c>
      <c r="J41" s="1">
        <v>1092</v>
      </c>
      <c r="K41" s="1">
        <v>1270</v>
      </c>
      <c r="L41" s="1">
        <v>1368</v>
      </c>
      <c r="M41">
        <f t="shared" si="22"/>
        <v>1799</v>
      </c>
      <c r="N41" s="1">
        <v>1937</v>
      </c>
      <c r="O41" s="1">
        <v>1578</v>
      </c>
      <c r="P41" s="1">
        <v>1416</v>
      </c>
      <c r="Q41">
        <f t="shared" si="23"/>
        <v>1717</v>
      </c>
      <c r="R41" s="1">
        <v>1700</v>
      </c>
      <c r="S41" s="1">
        <v>1408</v>
      </c>
      <c r="U41" s="1"/>
      <c r="V41" s="1"/>
      <c r="W41" s="1"/>
      <c r="X41" s="1"/>
      <c r="Y41" s="1"/>
      <c r="Z41" s="1"/>
      <c r="AC41" s="1">
        <v>2728</v>
      </c>
      <c r="AD41" s="1">
        <v>3351</v>
      </c>
      <c r="AE41" s="1">
        <v>5529</v>
      </c>
      <c r="AF41" s="1">
        <v>6648</v>
      </c>
      <c r="AG41" s="9">
        <f t="shared" si="24"/>
        <v>3108</v>
      </c>
      <c r="AH41" s="9">
        <f t="shared" si="25"/>
        <v>0</v>
      </c>
    </row>
    <row r="42" spans="1:48" x14ac:dyDescent="0.2">
      <c r="A42" t="s">
        <v>10</v>
      </c>
      <c r="J42" s="1">
        <v>799</v>
      </c>
      <c r="K42" s="1">
        <v>533</v>
      </c>
      <c r="L42" s="1">
        <v>642</v>
      </c>
      <c r="M42">
        <f t="shared" si="22"/>
        <v>785</v>
      </c>
      <c r="N42" s="1">
        <v>856</v>
      </c>
      <c r="O42" s="1">
        <v>788</v>
      </c>
      <c r="P42" s="1">
        <v>1178</v>
      </c>
      <c r="Q42">
        <f t="shared" si="23"/>
        <v>797</v>
      </c>
      <c r="R42" s="1">
        <v>862</v>
      </c>
      <c r="S42" s="1">
        <v>752</v>
      </c>
      <c r="U42" s="1"/>
      <c r="V42" s="1"/>
      <c r="W42" s="1"/>
      <c r="X42" s="1"/>
      <c r="Y42" s="1"/>
      <c r="Z42" s="1"/>
      <c r="AC42" s="1">
        <v>2762</v>
      </c>
      <c r="AD42" s="1">
        <v>2580</v>
      </c>
      <c r="AE42" s="1">
        <v>2759</v>
      </c>
      <c r="AF42" s="1">
        <v>3619</v>
      </c>
      <c r="AG42" s="9">
        <f t="shared" si="24"/>
        <v>1614</v>
      </c>
      <c r="AH42" s="9">
        <f t="shared" si="25"/>
        <v>0</v>
      </c>
    </row>
    <row r="43" spans="1:48" x14ac:dyDescent="0.2">
      <c r="A43" t="s">
        <v>11</v>
      </c>
      <c r="J43" s="1">
        <v>283</v>
      </c>
      <c r="K43" s="1">
        <v>511</v>
      </c>
      <c r="L43" s="1">
        <v>637</v>
      </c>
      <c r="M43">
        <f t="shared" si="22"/>
        <v>618</v>
      </c>
      <c r="N43" s="1">
        <v>478</v>
      </c>
      <c r="O43" s="1">
        <v>492</v>
      </c>
      <c r="P43" s="1">
        <v>251</v>
      </c>
      <c r="Q43">
        <f t="shared" si="23"/>
        <v>261</v>
      </c>
      <c r="R43" s="1">
        <v>286</v>
      </c>
      <c r="S43" s="1">
        <v>439</v>
      </c>
      <c r="U43" s="1"/>
      <c r="V43" s="1"/>
      <c r="W43" s="1"/>
      <c r="X43" s="1"/>
      <c r="Y43" s="1"/>
      <c r="Z43" s="1"/>
      <c r="AC43" s="1">
        <v>355</v>
      </c>
      <c r="AD43" s="1">
        <v>2697</v>
      </c>
      <c r="AE43" s="1">
        <v>2049</v>
      </c>
      <c r="AF43" s="1">
        <v>1482</v>
      </c>
      <c r="AG43" s="9">
        <f t="shared" si="24"/>
        <v>725</v>
      </c>
      <c r="AH43" s="9">
        <f t="shared" si="25"/>
        <v>0</v>
      </c>
    </row>
    <row r="44" spans="1:48" s="2" customFormat="1" x14ac:dyDescent="0.2">
      <c r="A44" s="2" t="s">
        <v>0</v>
      </c>
      <c r="J44" s="2">
        <f t="shared" ref="J44:O44" si="26">J43+J42+J41+J40+J39</f>
        <v>14448</v>
      </c>
      <c r="K44" s="2">
        <f t="shared" si="26"/>
        <v>14802</v>
      </c>
      <c r="L44" s="2">
        <f t="shared" si="26"/>
        <v>17597</v>
      </c>
      <c r="M44" s="2">
        <f t="shared" si="26"/>
        <v>15723</v>
      </c>
      <c r="N44" s="2">
        <f t="shared" si="26"/>
        <v>15030</v>
      </c>
      <c r="O44" s="2">
        <f t="shared" si="26"/>
        <v>15396</v>
      </c>
      <c r="P44" s="2">
        <f t="shared" ref="P44:S44" si="27">P43+P42+P41+P40+P39</f>
        <v>13116</v>
      </c>
      <c r="Q44" s="2">
        <f t="shared" si="27"/>
        <v>12092</v>
      </c>
      <c r="R44" s="2">
        <f t="shared" si="27"/>
        <v>15935</v>
      </c>
      <c r="S44" s="2">
        <f t="shared" si="27"/>
        <v>11883</v>
      </c>
      <c r="T44" s="2">
        <f t="shared" ref="T44" si="28">T43+T42+T41+T40+T39</f>
        <v>0</v>
      </c>
      <c r="U44" s="2">
        <f t="shared" ref="U44" si="29">U43+U42+U41+U40+U39</f>
        <v>0</v>
      </c>
      <c r="V44" s="2">
        <f t="shared" ref="V44" si="30">V43+V42+V41+V40+V39</f>
        <v>0</v>
      </c>
      <c r="W44" s="2">
        <f t="shared" ref="W44" si="31">W43+W42+W41+W40+W39</f>
        <v>0</v>
      </c>
      <c r="X44" s="2">
        <f t="shared" ref="X44" si="32">X43+X42+X41+X40+X39</f>
        <v>0</v>
      </c>
      <c r="Y44" s="2">
        <f t="shared" ref="Y44" si="33">Y43+Y42+Y41+Y40+Y39</f>
        <v>0</v>
      </c>
      <c r="AC44" s="2">
        <f>AC43+AC42+AC41+AC40+AC39</f>
        <v>32350</v>
      </c>
      <c r="AD44" s="2">
        <f t="shared" ref="AD44:AF44" si="34">AD43+AD42+AD41+AD40+AD39</f>
        <v>61788</v>
      </c>
      <c r="AE44" s="2">
        <f t="shared" si="34"/>
        <v>62570</v>
      </c>
      <c r="AF44" s="2">
        <f t="shared" si="34"/>
        <v>55634</v>
      </c>
      <c r="AG44" s="2">
        <f t="shared" ref="AG44" si="35">AG43+AG42+AG41+AG40+AG39</f>
        <v>27818</v>
      </c>
      <c r="AH44" s="2">
        <f t="shared" ref="AH44" si="36">AH43+AH42+AH41+AH40+AH39</f>
        <v>0</v>
      </c>
      <c r="AI44" s="2">
        <f t="shared" ref="AI44" si="37">AI43+AI42+AI41+AI40+AI39</f>
        <v>0</v>
      </c>
      <c r="AJ44" s="2">
        <f t="shared" ref="AJ44" si="38">AJ43+AJ42+AJ41+AJ40+AJ39</f>
        <v>0</v>
      </c>
      <c r="AK44" s="2">
        <f t="shared" ref="AK44" si="39">AK43+AK42+AK41+AK40+AK39</f>
        <v>0</v>
      </c>
      <c r="AL44" s="2">
        <f t="shared" ref="AL44" si="40">AL43+AL42+AL41+AL40+AL39</f>
        <v>0</v>
      </c>
      <c r="AM44" s="2">
        <f t="shared" ref="AM44" si="41">AM43+AM42+AM41+AM40+AM39</f>
        <v>0</v>
      </c>
      <c r="AN44" s="2">
        <f t="shared" ref="AN44" si="42">AN43+AN42+AN41+AN40+AN39</f>
        <v>0</v>
      </c>
      <c r="AO44" s="2">
        <f t="shared" ref="AO44" si="43">AO43+AO42+AO41+AO40+AO39</f>
        <v>0</v>
      </c>
      <c r="AP44" s="2">
        <f t="shared" ref="AP44" si="44">AP43+AP42+AP41+AP40+AP39</f>
        <v>0</v>
      </c>
      <c r="AQ44" s="2">
        <f t="shared" ref="AQ44" si="45">AQ43+AQ42+AQ41+AQ40+AQ39</f>
        <v>0</v>
      </c>
      <c r="AR44" s="2">
        <f t="shared" ref="AR44" si="46">AR43+AR42+AR41+AR40+AR39</f>
        <v>0</v>
      </c>
      <c r="AS44" s="2">
        <f t="shared" ref="AS44" si="47">AS43+AS42+AS41+AS40+AS39</f>
        <v>0</v>
      </c>
      <c r="AT44" s="2">
        <f t="shared" ref="AT44" si="48">AT43+AT42+AT41+AT40+AT39</f>
        <v>0</v>
      </c>
      <c r="AU44" s="2">
        <f t="shared" ref="AU44" si="49">AU43+AU42+AU41+AU40+AU39</f>
        <v>0</v>
      </c>
      <c r="AV44" s="2">
        <f t="shared" ref="AV44" si="50">AV43+AV42+AV41+AV40+AV39</f>
        <v>0</v>
      </c>
    </row>
    <row r="46" spans="1:48" x14ac:dyDescent="0.2">
      <c r="A46" t="s">
        <v>14</v>
      </c>
      <c r="J46" s="1">
        <v>1771</v>
      </c>
      <c r="K46" s="1">
        <v>1826</v>
      </c>
      <c r="L46" s="1">
        <v>1511</v>
      </c>
      <c r="M46">
        <f t="shared" ref="M46:M51" si="51">AE46-L46-K46-J46</f>
        <v>1232</v>
      </c>
      <c r="N46" s="1">
        <v>1619</v>
      </c>
      <c r="O46" s="1">
        <v>1359</v>
      </c>
      <c r="P46" s="1">
        <v>1341</v>
      </c>
      <c r="Q46">
        <f t="shared" ref="Q46:Q51" si="52">AF46-P46-O46-N46</f>
        <v>2535</v>
      </c>
      <c r="R46" s="1">
        <v>1487</v>
      </c>
      <c r="S46" s="1">
        <v>1605</v>
      </c>
      <c r="U46" s="1"/>
      <c r="V46" s="1"/>
      <c r="W46" s="1"/>
      <c r="X46" s="1"/>
      <c r="Y46" s="1"/>
      <c r="Z46" s="1"/>
      <c r="AC46" s="1">
        <v>4397</v>
      </c>
      <c r="AD46" s="1">
        <v>8451</v>
      </c>
      <c r="AE46" s="1">
        <v>6340</v>
      </c>
      <c r="AF46" s="1">
        <v>6854</v>
      </c>
      <c r="AG46" s="9">
        <f>SUM(R46:U46)</f>
        <v>3092</v>
      </c>
      <c r="AH46" s="9">
        <f>SUM(V46:Y46)</f>
        <v>0</v>
      </c>
    </row>
    <row r="47" spans="1:48" x14ac:dyDescent="0.2">
      <c r="A47" t="s">
        <v>15</v>
      </c>
      <c r="J47" s="1">
        <v>1932</v>
      </c>
      <c r="K47" s="1">
        <v>2695</v>
      </c>
      <c r="L47" s="1">
        <v>3111</v>
      </c>
      <c r="M47">
        <f t="shared" si="51"/>
        <v>3603</v>
      </c>
      <c r="N47" s="1">
        <v>1288</v>
      </c>
      <c r="O47" s="1">
        <v>241</v>
      </c>
      <c r="P47" s="1">
        <v>315</v>
      </c>
      <c r="Q47">
        <f t="shared" si="52"/>
        <v>349</v>
      </c>
      <c r="R47" s="1">
        <v>143</v>
      </c>
      <c r="S47" s="1">
        <v>228</v>
      </c>
      <c r="U47" s="1"/>
      <c r="V47" s="1"/>
      <c r="W47" s="1"/>
      <c r="X47" s="1"/>
      <c r="Y47" s="1"/>
      <c r="Z47" s="1"/>
      <c r="AC47" s="1"/>
      <c r="AD47" s="1">
        <v>5746</v>
      </c>
      <c r="AE47" s="1">
        <v>11341</v>
      </c>
      <c r="AF47" s="1">
        <v>2193</v>
      </c>
      <c r="AG47" s="9">
        <f t="shared" ref="AG47:AG51" si="53">SUM(R47:U47)</f>
        <v>371</v>
      </c>
      <c r="AH47" s="9">
        <f t="shared" ref="AH47:AH51" si="54">SUM(V47:Y47)</f>
        <v>0</v>
      </c>
    </row>
    <row r="48" spans="1:48" x14ac:dyDescent="0.2">
      <c r="A48" t="s">
        <v>9</v>
      </c>
      <c r="J48" s="1">
        <v>1544</v>
      </c>
      <c r="K48" s="1">
        <v>1725</v>
      </c>
      <c r="L48" s="1">
        <v>1653</v>
      </c>
      <c r="M48">
        <f t="shared" si="51"/>
        <v>1695</v>
      </c>
      <c r="N48" s="1">
        <v>1768</v>
      </c>
      <c r="O48" s="1">
        <v>1294</v>
      </c>
      <c r="P48" s="1">
        <v>1157</v>
      </c>
      <c r="Q48">
        <f t="shared" si="52"/>
        <v>1318</v>
      </c>
      <c r="R48" s="1">
        <v>1227</v>
      </c>
      <c r="S48" s="1">
        <v>889</v>
      </c>
      <c r="U48" s="1"/>
      <c r="V48" s="1"/>
      <c r="W48" s="1"/>
      <c r="X48" s="1"/>
      <c r="Y48" s="1"/>
      <c r="Z48" s="1"/>
      <c r="AC48" s="1">
        <v>1462</v>
      </c>
      <c r="AD48" s="1">
        <v>5651</v>
      </c>
      <c r="AE48" s="1">
        <v>6617</v>
      </c>
      <c r="AF48" s="1">
        <v>5537</v>
      </c>
      <c r="AG48" s="9">
        <f t="shared" si="53"/>
        <v>2116</v>
      </c>
      <c r="AH48" s="9">
        <f t="shared" si="54"/>
        <v>0</v>
      </c>
    </row>
    <row r="49" spans="1:48" x14ac:dyDescent="0.2">
      <c r="A49" t="s">
        <v>10</v>
      </c>
      <c r="J49" s="1">
        <v>2182</v>
      </c>
      <c r="K49" s="1">
        <v>2169</v>
      </c>
      <c r="L49" s="1">
        <v>2003</v>
      </c>
      <c r="M49">
        <f t="shared" si="51"/>
        <v>2064</v>
      </c>
      <c r="N49" s="1">
        <v>1221</v>
      </c>
      <c r="O49" s="1">
        <v>1443</v>
      </c>
      <c r="P49" s="1">
        <v>1678</v>
      </c>
      <c r="Q49">
        <f t="shared" si="52"/>
        <v>1201</v>
      </c>
      <c r="R49" s="1">
        <v>1192</v>
      </c>
      <c r="S49" s="1">
        <v>1091</v>
      </c>
      <c r="U49" s="1"/>
      <c r="V49" s="1"/>
      <c r="W49" s="1"/>
      <c r="X49" s="1"/>
      <c r="Y49" s="1"/>
      <c r="Z49" s="1"/>
      <c r="AC49" s="1">
        <v>3409</v>
      </c>
      <c r="AD49" s="1">
        <v>5446</v>
      </c>
      <c r="AE49" s="1">
        <v>8418</v>
      </c>
      <c r="AF49" s="1">
        <v>5543</v>
      </c>
      <c r="AG49" s="9">
        <f t="shared" si="53"/>
        <v>2283</v>
      </c>
      <c r="AH49" s="9">
        <f t="shared" si="54"/>
        <v>0</v>
      </c>
    </row>
    <row r="50" spans="1:48" x14ac:dyDescent="0.2">
      <c r="A50" t="s">
        <v>16</v>
      </c>
      <c r="J50" s="1">
        <v>1010</v>
      </c>
      <c r="K50" s="1">
        <v>1084</v>
      </c>
      <c r="L50" s="1">
        <v>1152</v>
      </c>
      <c r="M50">
        <f t="shared" si="51"/>
        <v>1153</v>
      </c>
      <c r="N50" s="1">
        <v>1125</v>
      </c>
      <c r="O50" s="1">
        <v>945</v>
      </c>
      <c r="P50" s="1">
        <v>810</v>
      </c>
      <c r="Q50">
        <f t="shared" si="52"/>
        <v>802</v>
      </c>
      <c r="R50" s="1">
        <v>798</v>
      </c>
      <c r="S50" s="1">
        <v>607</v>
      </c>
      <c r="U50" s="1"/>
      <c r="V50" s="1"/>
      <c r="W50" s="1"/>
      <c r="X50" s="1"/>
      <c r="Y50" s="1"/>
      <c r="Z50" s="1"/>
      <c r="AC50" s="1">
        <v>1993</v>
      </c>
      <c r="AD50" s="1">
        <v>3764</v>
      </c>
      <c r="AE50" s="1">
        <v>4399</v>
      </c>
      <c r="AF50" s="1">
        <v>3682</v>
      </c>
      <c r="AG50" s="9">
        <f t="shared" si="53"/>
        <v>1405</v>
      </c>
      <c r="AH50" s="9">
        <f t="shared" si="54"/>
        <v>0</v>
      </c>
    </row>
    <row r="51" spans="1:48" x14ac:dyDescent="0.2">
      <c r="A51" t="s">
        <v>17</v>
      </c>
      <c r="J51" s="1">
        <v>1312</v>
      </c>
      <c r="K51" s="1">
        <v>1574</v>
      </c>
      <c r="L51" s="1">
        <v>1403</v>
      </c>
      <c r="M51">
        <f t="shared" si="51"/>
        <v>1644</v>
      </c>
      <c r="N51" s="1">
        <v>1050</v>
      </c>
      <c r="O51" s="1">
        <v>843</v>
      </c>
      <c r="P51" s="1">
        <v>939</v>
      </c>
      <c r="Q51">
        <f t="shared" si="52"/>
        <v>675</v>
      </c>
      <c r="R51" s="1">
        <v>736</v>
      </c>
      <c r="S51" s="1">
        <v>873</v>
      </c>
      <c r="U51" s="1"/>
      <c r="V51" s="1"/>
      <c r="W51" s="1"/>
      <c r="X51" s="1"/>
      <c r="Y51" s="1"/>
      <c r="Z51" s="1"/>
      <c r="AC51" s="1">
        <v>1971</v>
      </c>
      <c r="AD51" s="1">
        <v>3620</v>
      </c>
      <c r="AE51" s="1">
        <v>5933</v>
      </c>
      <c r="AF51" s="1">
        <v>3507</v>
      </c>
      <c r="AG51" s="9">
        <f t="shared" si="53"/>
        <v>1609</v>
      </c>
      <c r="AH51" s="9">
        <f t="shared" si="54"/>
        <v>0</v>
      </c>
    </row>
    <row r="52" spans="1:48" s="2" customFormat="1" x14ac:dyDescent="0.2">
      <c r="A52" s="2" t="s">
        <v>1</v>
      </c>
      <c r="J52" s="2">
        <f t="shared" ref="J52:S52" si="55">J51+J50+J49+J48+J47+J46</f>
        <v>9751</v>
      </c>
      <c r="K52" s="2">
        <f t="shared" si="55"/>
        <v>11073</v>
      </c>
      <c r="L52" s="2">
        <f t="shared" si="55"/>
        <v>10833</v>
      </c>
      <c r="M52" s="2">
        <f t="shared" si="55"/>
        <v>11391</v>
      </c>
      <c r="N52" s="2">
        <f t="shared" si="55"/>
        <v>8071</v>
      </c>
      <c r="O52" s="2">
        <f t="shared" si="55"/>
        <v>6125</v>
      </c>
      <c r="P52" s="2">
        <f t="shared" si="55"/>
        <v>6240</v>
      </c>
      <c r="Q52" s="2">
        <f t="shared" si="55"/>
        <v>6880</v>
      </c>
      <c r="R52" s="2">
        <f t="shared" si="55"/>
        <v>5583</v>
      </c>
      <c r="S52" s="2">
        <f t="shared" si="55"/>
        <v>5293</v>
      </c>
      <c r="AC52" s="2">
        <f t="shared" ref="AC52:AV52" si="56">AC51+AC50+AC49+AC48+AC47+AC46</f>
        <v>13232</v>
      </c>
      <c r="AD52" s="2">
        <f t="shared" si="56"/>
        <v>32678</v>
      </c>
      <c r="AE52" s="2">
        <f t="shared" si="56"/>
        <v>43048</v>
      </c>
      <c r="AF52" s="2">
        <f t="shared" si="56"/>
        <v>27316</v>
      </c>
      <c r="AG52" s="2">
        <f t="shared" si="56"/>
        <v>10876</v>
      </c>
      <c r="AH52" s="2">
        <f t="shared" si="56"/>
        <v>0</v>
      </c>
      <c r="AI52" s="2">
        <f t="shared" si="56"/>
        <v>0</v>
      </c>
      <c r="AJ52" s="2">
        <f t="shared" si="56"/>
        <v>0</v>
      </c>
      <c r="AK52" s="2">
        <f t="shared" si="56"/>
        <v>0</v>
      </c>
      <c r="AL52" s="2">
        <f t="shared" si="56"/>
        <v>0</v>
      </c>
      <c r="AM52" s="2">
        <f t="shared" si="56"/>
        <v>0</v>
      </c>
      <c r="AN52" s="2">
        <f t="shared" si="56"/>
        <v>0</v>
      </c>
      <c r="AO52" s="2">
        <f t="shared" si="56"/>
        <v>0</v>
      </c>
      <c r="AP52" s="2">
        <f t="shared" si="56"/>
        <v>0</v>
      </c>
      <c r="AQ52" s="2">
        <f t="shared" si="56"/>
        <v>0</v>
      </c>
      <c r="AR52" s="2">
        <f t="shared" si="56"/>
        <v>0</v>
      </c>
      <c r="AS52" s="2">
        <f t="shared" si="56"/>
        <v>0</v>
      </c>
      <c r="AT52" s="2">
        <f t="shared" si="56"/>
        <v>0</v>
      </c>
      <c r="AU52" s="2">
        <f t="shared" si="56"/>
        <v>0</v>
      </c>
      <c r="AV52" s="2">
        <f t="shared" si="56"/>
        <v>0</v>
      </c>
    </row>
    <row r="54" spans="1:48" s="2" customFormat="1" x14ac:dyDescent="0.2">
      <c r="A54" s="2" t="s">
        <v>41</v>
      </c>
      <c r="J54" s="2">
        <f t="shared" ref="J54:S54" si="57">J44+J52</f>
        <v>24199</v>
      </c>
      <c r="K54" s="2">
        <f t="shared" si="57"/>
        <v>25875</v>
      </c>
      <c r="L54" s="2">
        <f t="shared" si="57"/>
        <v>28430</v>
      </c>
      <c r="M54" s="2">
        <f t="shared" si="57"/>
        <v>27114</v>
      </c>
      <c r="N54" s="2">
        <f t="shared" si="57"/>
        <v>23101</v>
      </c>
      <c r="O54" s="2">
        <f t="shared" si="57"/>
        <v>21521</v>
      </c>
      <c r="P54" s="2">
        <f t="shared" si="57"/>
        <v>19356</v>
      </c>
      <c r="Q54" s="2">
        <f t="shared" si="57"/>
        <v>18972</v>
      </c>
      <c r="R54" s="2">
        <f t="shared" si="57"/>
        <v>21518</v>
      </c>
      <c r="S54" s="2">
        <f t="shared" si="57"/>
        <v>17176</v>
      </c>
      <c r="T54" s="2">
        <f>S54</f>
        <v>17176</v>
      </c>
      <c r="U54" s="2">
        <f t="shared" ref="U54:Y54" si="58">T54</f>
        <v>17176</v>
      </c>
      <c r="V54" s="2">
        <f t="shared" si="58"/>
        <v>17176</v>
      </c>
      <c r="W54" s="2">
        <f t="shared" si="58"/>
        <v>17176</v>
      </c>
      <c r="X54" s="2">
        <f t="shared" si="58"/>
        <v>17176</v>
      </c>
      <c r="Y54" s="2">
        <f t="shared" si="58"/>
        <v>17176</v>
      </c>
      <c r="AC54" s="2">
        <f>AC44+AC52</f>
        <v>45582</v>
      </c>
      <c r="AD54" s="2">
        <f>AD44+AD52</f>
        <v>94466</v>
      </c>
      <c r="AE54" s="2">
        <f>AE44+AE52</f>
        <v>105618</v>
      </c>
      <c r="AF54" s="2">
        <f>AF44+AF52</f>
        <v>82950</v>
      </c>
      <c r="AG54" s="2">
        <f>AG44+AG52</f>
        <v>38694</v>
      </c>
      <c r="AH54" s="27">
        <f>AG54*1.03</f>
        <v>39854.82</v>
      </c>
      <c r="AI54" s="27">
        <f t="shared" ref="AI54:AV54" si="59">AH54*1.03</f>
        <v>41050.464599999999</v>
      </c>
      <c r="AJ54" s="27">
        <f t="shared" si="59"/>
        <v>42281.978538000003</v>
      </c>
      <c r="AK54" s="27">
        <f t="shared" si="59"/>
        <v>43550.437894140006</v>
      </c>
      <c r="AL54" s="27">
        <f t="shared" si="59"/>
        <v>44856.951030964206</v>
      </c>
      <c r="AM54" s="27">
        <f t="shared" si="59"/>
        <v>46202.659561893131</v>
      </c>
      <c r="AN54" s="27">
        <f t="shared" si="59"/>
        <v>47588.739348749928</v>
      </c>
      <c r="AO54" s="27">
        <f t="shared" si="59"/>
        <v>49016.401529212424</v>
      </c>
      <c r="AP54" s="27">
        <f t="shared" si="59"/>
        <v>50486.893575088798</v>
      </c>
      <c r="AQ54" s="27">
        <f t="shared" si="59"/>
        <v>52001.500382341466</v>
      </c>
      <c r="AR54" s="27">
        <f t="shared" si="59"/>
        <v>53561.545393811713</v>
      </c>
      <c r="AS54" s="27">
        <f t="shared" si="59"/>
        <v>55168.391755626064</v>
      </c>
      <c r="AT54" s="27">
        <f t="shared" si="59"/>
        <v>56823.443508294848</v>
      </c>
      <c r="AU54" s="27">
        <f t="shared" si="59"/>
        <v>58528.146813543695</v>
      </c>
      <c r="AV54" s="27">
        <f>AU54*0.8</f>
        <v>46822.517450834959</v>
      </c>
    </row>
    <row r="55" spans="1:48" s="2" customFormat="1" x14ac:dyDescent="0.2"/>
    <row r="56" spans="1:48" x14ac:dyDescent="0.2">
      <c r="A56" s="2" t="s">
        <v>44</v>
      </c>
      <c r="J56">
        <f t="shared" ref="J56:S56" si="60">J35-J54</f>
        <v>-24199</v>
      </c>
      <c r="K56">
        <f t="shared" si="60"/>
        <v>-25875</v>
      </c>
      <c r="L56">
        <f t="shared" si="60"/>
        <v>-28430</v>
      </c>
      <c r="M56">
        <f t="shared" si="60"/>
        <v>-27114</v>
      </c>
      <c r="N56">
        <f t="shared" si="60"/>
        <v>-23101</v>
      </c>
      <c r="O56">
        <f t="shared" si="60"/>
        <v>-21521</v>
      </c>
      <c r="P56">
        <f t="shared" si="60"/>
        <v>-19356</v>
      </c>
      <c r="Q56">
        <f t="shared" si="60"/>
        <v>-18972</v>
      </c>
      <c r="R56">
        <f t="shared" si="60"/>
        <v>-10858</v>
      </c>
      <c r="S56">
        <f t="shared" si="60"/>
        <v>-17176</v>
      </c>
      <c r="T56">
        <f t="shared" ref="T56:Y56" si="61">T35-T54</f>
        <v>-17176</v>
      </c>
      <c r="U56">
        <f t="shared" si="61"/>
        <v>-16264.75</v>
      </c>
      <c r="V56">
        <f t="shared" si="61"/>
        <v>-14442.25</v>
      </c>
      <c r="W56">
        <f t="shared" si="61"/>
        <v>-12619.75</v>
      </c>
      <c r="X56">
        <f t="shared" si="61"/>
        <v>-10797.25</v>
      </c>
      <c r="Y56">
        <f t="shared" si="61"/>
        <v>-9886</v>
      </c>
      <c r="AC56">
        <f t="shared" ref="AC56:AV56" si="62">AC35-AC54</f>
        <v>-45582</v>
      </c>
      <c r="AD56">
        <f t="shared" si="62"/>
        <v>-94466</v>
      </c>
      <c r="AE56">
        <f t="shared" si="62"/>
        <v>-105618</v>
      </c>
      <c r="AF56">
        <f t="shared" si="62"/>
        <v>-82950</v>
      </c>
      <c r="AG56" s="9">
        <f t="shared" si="62"/>
        <v>-27122.75</v>
      </c>
      <c r="AH56" s="9">
        <f t="shared" si="62"/>
        <v>-18896.07</v>
      </c>
      <c r="AI56" s="9">
        <f t="shared" si="62"/>
        <v>9007.5354000000007</v>
      </c>
      <c r="AJ56" s="9">
        <f t="shared" si="62"/>
        <v>35057.631462000012</v>
      </c>
      <c r="AK56" s="9">
        <f t="shared" si="62"/>
        <v>44960.449105860011</v>
      </c>
      <c r="AL56" s="9">
        <f t="shared" si="62"/>
        <v>46309.262579035814</v>
      </c>
      <c r="AM56" s="9">
        <f t="shared" si="62"/>
        <v>47698.540456406889</v>
      </c>
      <c r="AN56" s="9">
        <f t="shared" si="62"/>
        <v>49129.496670099099</v>
      </c>
      <c r="AO56" s="9">
        <f t="shared" si="62"/>
        <v>50603.38157020208</v>
      </c>
      <c r="AP56" s="9">
        <f t="shared" si="62"/>
        <v>52121.48301730815</v>
      </c>
      <c r="AQ56" s="9">
        <f t="shared" si="62"/>
        <v>53685.127507827383</v>
      </c>
      <c r="AR56" s="9">
        <f t="shared" si="62"/>
        <v>55295.681333062195</v>
      </c>
      <c r="AS56" s="9">
        <f t="shared" si="62"/>
        <v>56954.551773054067</v>
      </c>
      <c r="AT56" s="9">
        <f t="shared" si="62"/>
        <v>58663.188326245683</v>
      </c>
      <c r="AU56" s="9">
        <f t="shared" si="62"/>
        <v>60423.083976033078</v>
      </c>
      <c r="AV56" s="9">
        <f t="shared" si="62"/>
        <v>14437.366405797082</v>
      </c>
    </row>
    <row r="58" spans="1:48" x14ac:dyDescent="0.2">
      <c r="A58" t="s">
        <v>2</v>
      </c>
      <c r="J58" s="1">
        <v>76</v>
      </c>
      <c r="K58" s="1">
        <v>169</v>
      </c>
      <c r="L58" s="1">
        <v>76</v>
      </c>
      <c r="M58">
        <f t="shared" ref="M58:M60" si="63">AE58-L58-K58-J58</f>
        <v>234</v>
      </c>
      <c r="N58" s="1">
        <v>76</v>
      </c>
      <c r="O58" s="1">
        <v>111</v>
      </c>
      <c r="P58" s="1">
        <v>227</v>
      </c>
      <c r="Q58">
        <f t="shared" ref="Q58:Q60" si="64">AF58-P58-O58-N58</f>
        <v>271</v>
      </c>
      <c r="R58" s="1">
        <v>221</v>
      </c>
      <c r="S58" s="1">
        <v>408</v>
      </c>
      <c r="U58" s="1"/>
      <c r="V58" s="1"/>
      <c r="W58" s="1"/>
      <c r="X58" s="1"/>
      <c r="Y58" s="1"/>
      <c r="Z58" s="1"/>
      <c r="AC58" s="1">
        <v>93</v>
      </c>
      <c r="AD58" s="1">
        <v>559</v>
      </c>
      <c r="AE58" s="1">
        <v>555</v>
      </c>
      <c r="AF58" s="1">
        <v>685</v>
      </c>
      <c r="AG58" s="9">
        <f t="shared" ref="AG58" si="65">SUM(R58:U58)</f>
        <v>629</v>
      </c>
      <c r="AH58" s="9">
        <f t="shared" ref="AH58" si="66">SUM(V58:Y58)</f>
        <v>0</v>
      </c>
    </row>
    <row r="59" spans="1:48" x14ac:dyDescent="0.2">
      <c r="A59" t="s">
        <v>13</v>
      </c>
      <c r="O59" s="1">
        <v>-4357</v>
      </c>
      <c r="P59" s="1">
        <v>36</v>
      </c>
      <c r="Q59">
        <f t="shared" si="64"/>
        <v>4255</v>
      </c>
      <c r="R59" s="1">
        <v>469</v>
      </c>
      <c r="S59" s="1">
        <v>-12804</v>
      </c>
      <c r="U59" s="1"/>
      <c r="V59" s="1"/>
      <c r="W59" s="1"/>
      <c r="X59" s="1"/>
      <c r="Y59" s="1"/>
      <c r="Z59" s="1"/>
      <c r="AF59" s="1">
        <v>-66</v>
      </c>
      <c r="AG59" s="9">
        <f t="shared" ref="AG59:AG60" si="67">SUM(R59:U59)</f>
        <v>-12335</v>
      </c>
      <c r="AH59" s="9">
        <f t="shared" ref="AH59:AH60" si="68">SUM(V59:Y59)</f>
        <v>0</v>
      </c>
    </row>
    <row r="60" spans="1:48" x14ac:dyDescent="0.2">
      <c r="A60" t="s">
        <v>3</v>
      </c>
      <c r="J60" s="1">
        <v>-56</v>
      </c>
      <c r="K60" s="1">
        <v>-122</v>
      </c>
      <c r="L60" s="1">
        <v>-64</v>
      </c>
      <c r="M60">
        <f t="shared" si="63"/>
        <v>-279</v>
      </c>
      <c r="N60" s="1">
        <v>-96</v>
      </c>
      <c r="O60" s="1">
        <v>-90</v>
      </c>
      <c r="P60" s="1">
        <v>-8</v>
      </c>
      <c r="Q60">
        <f t="shared" si="64"/>
        <v>17</v>
      </c>
      <c r="R60" s="1">
        <v>31</v>
      </c>
      <c r="S60" s="1">
        <v>-5</v>
      </c>
      <c r="U60" s="1"/>
      <c r="V60" s="1"/>
      <c r="W60" s="1"/>
      <c r="X60" s="1"/>
      <c r="Y60" s="1"/>
      <c r="Z60" s="1"/>
      <c r="AC60" s="1">
        <v>-24</v>
      </c>
      <c r="AD60" s="1">
        <v>-54</v>
      </c>
      <c r="AE60" s="1">
        <v>-521</v>
      </c>
      <c r="AF60" s="1">
        <v>-177</v>
      </c>
      <c r="AG60" s="9">
        <f t="shared" si="67"/>
        <v>26</v>
      </c>
      <c r="AH60" s="9">
        <f t="shared" si="68"/>
        <v>0</v>
      </c>
    </row>
    <row r="61" spans="1:48" s="2" customFormat="1" x14ac:dyDescent="0.2">
      <c r="A61" s="2" t="s">
        <v>4</v>
      </c>
      <c r="J61" s="2">
        <f>J58+J59+J60</f>
        <v>20</v>
      </c>
      <c r="K61" s="2">
        <f t="shared" ref="K61:S61" si="69">K58+K59+K60</f>
        <v>47</v>
      </c>
      <c r="L61" s="2">
        <f t="shared" si="69"/>
        <v>12</v>
      </c>
      <c r="M61" s="2">
        <f t="shared" si="69"/>
        <v>-45</v>
      </c>
      <c r="N61" s="2">
        <f t="shared" si="69"/>
        <v>-20</v>
      </c>
      <c r="O61" s="2">
        <f t="shared" si="69"/>
        <v>-4336</v>
      </c>
      <c r="P61" s="2">
        <f t="shared" si="69"/>
        <v>255</v>
      </c>
      <c r="Q61" s="2">
        <f t="shared" si="69"/>
        <v>4543</v>
      </c>
      <c r="R61" s="2">
        <f t="shared" si="69"/>
        <v>721</v>
      </c>
      <c r="S61" s="2">
        <f t="shared" si="69"/>
        <v>-12401</v>
      </c>
      <c r="AC61" s="2">
        <f>AC60+AC59+AC58</f>
        <v>69</v>
      </c>
      <c r="AD61" s="2">
        <f t="shared" ref="AD61:AH61" si="70">AD60+AD59+AD58</f>
        <v>505</v>
      </c>
      <c r="AE61" s="2">
        <f t="shared" si="70"/>
        <v>34</v>
      </c>
      <c r="AF61" s="2">
        <f t="shared" si="70"/>
        <v>442</v>
      </c>
      <c r="AG61" s="2">
        <f t="shared" si="70"/>
        <v>-11680</v>
      </c>
      <c r="AH61" s="2">
        <f t="shared" si="70"/>
        <v>0</v>
      </c>
      <c r="AI61" s="2">
        <f>AI60+AI59+AI58</f>
        <v>0</v>
      </c>
      <c r="AJ61" s="2">
        <f t="shared" ref="AJ61" si="71">AJ60+AJ59+AJ58</f>
        <v>0</v>
      </c>
      <c r="AK61" s="2">
        <f t="shared" ref="AK61" si="72">AK60+AK59+AK58</f>
        <v>0</v>
      </c>
      <c r="AL61" s="2">
        <f t="shared" ref="AL61" si="73">AL60+AL59+AL58</f>
        <v>0</v>
      </c>
      <c r="AM61" s="2">
        <f t="shared" ref="AM61" si="74">AM60+AM59+AM58</f>
        <v>0</v>
      </c>
      <c r="AN61" s="2">
        <f t="shared" ref="AN61" si="75">AN60+AN59+AN58</f>
        <v>0</v>
      </c>
      <c r="AO61" s="2">
        <f t="shared" ref="AO61" si="76">AO60+AO59+AO58</f>
        <v>0</v>
      </c>
      <c r="AP61" s="2">
        <f t="shared" ref="AP61" si="77">AP60+AP59+AP58</f>
        <v>0</v>
      </c>
      <c r="AQ61" s="2">
        <f t="shared" ref="AQ61" si="78">AQ60+AQ59+AQ58</f>
        <v>0</v>
      </c>
      <c r="AR61" s="2">
        <f t="shared" ref="AR61" si="79">AR60+AR59+AR58</f>
        <v>0</v>
      </c>
      <c r="AS61" s="2">
        <f t="shared" ref="AS61" si="80">AS60+AS59+AS58</f>
        <v>0</v>
      </c>
      <c r="AT61" s="2">
        <f t="shared" ref="AT61" si="81">AT60+AT59+AT58</f>
        <v>0</v>
      </c>
      <c r="AU61" s="2">
        <f t="shared" ref="AU61" si="82">AU60+AU59+AU58</f>
        <v>0</v>
      </c>
      <c r="AV61" s="2">
        <f t="shared" ref="AV61" si="83">AV60+AV59+AV58</f>
        <v>0</v>
      </c>
    </row>
    <row r="63" spans="1:48" x14ac:dyDescent="0.2">
      <c r="A63" s="2" t="s">
        <v>40</v>
      </c>
      <c r="J63">
        <f>J56+J61</f>
        <v>-24179</v>
      </c>
      <c r="K63">
        <f t="shared" ref="K63:Y63" si="84">K56+K61</f>
        <v>-25828</v>
      </c>
      <c r="L63">
        <f t="shared" si="84"/>
        <v>-28418</v>
      </c>
      <c r="M63">
        <f t="shared" si="84"/>
        <v>-27159</v>
      </c>
      <c r="N63">
        <f t="shared" si="84"/>
        <v>-23121</v>
      </c>
      <c r="O63">
        <f t="shared" si="84"/>
        <v>-25857</v>
      </c>
      <c r="P63">
        <f t="shared" si="84"/>
        <v>-19101</v>
      </c>
      <c r="Q63">
        <f t="shared" si="84"/>
        <v>-14429</v>
      </c>
      <c r="R63">
        <f t="shared" si="84"/>
        <v>-10137</v>
      </c>
      <c r="S63">
        <f t="shared" si="84"/>
        <v>-29577</v>
      </c>
      <c r="T63">
        <f t="shared" si="84"/>
        <v>-17176</v>
      </c>
      <c r="U63">
        <f t="shared" si="84"/>
        <v>-16264.75</v>
      </c>
      <c r="V63">
        <f t="shared" si="84"/>
        <v>-14442.25</v>
      </c>
      <c r="W63">
        <f t="shared" si="84"/>
        <v>-12619.75</v>
      </c>
      <c r="X63">
        <f t="shared" si="84"/>
        <v>-10797.25</v>
      </c>
      <c r="Y63">
        <f t="shared" si="84"/>
        <v>-9886</v>
      </c>
      <c r="AC63">
        <f t="shared" ref="AC63:AV63" si="85">AC56+AC61</f>
        <v>-45513</v>
      </c>
      <c r="AD63">
        <f t="shared" si="85"/>
        <v>-93961</v>
      </c>
      <c r="AE63">
        <f t="shared" si="85"/>
        <v>-105584</v>
      </c>
      <c r="AF63">
        <f t="shared" si="85"/>
        <v>-82508</v>
      </c>
      <c r="AG63" s="9">
        <f t="shared" si="85"/>
        <v>-38802.75</v>
      </c>
      <c r="AH63" s="9">
        <f t="shared" si="85"/>
        <v>-18896.07</v>
      </c>
      <c r="AI63" s="9">
        <f t="shared" si="85"/>
        <v>9007.5354000000007</v>
      </c>
      <c r="AJ63" s="9">
        <f t="shared" si="85"/>
        <v>35057.631462000012</v>
      </c>
      <c r="AK63" s="9">
        <f t="shared" si="85"/>
        <v>44960.449105860011</v>
      </c>
      <c r="AL63" s="9">
        <f t="shared" si="85"/>
        <v>46309.262579035814</v>
      </c>
      <c r="AM63" s="9">
        <f t="shared" si="85"/>
        <v>47698.540456406889</v>
      </c>
      <c r="AN63" s="9">
        <f t="shared" si="85"/>
        <v>49129.496670099099</v>
      </c>
      <c r="AO63" s="9">
        <f t="shared" si="85"/>
        <v>50603.38157020208</v>
      </c>
      <c r="AP63" s="9">
        <f t="shared" si="85"/>
        <v>52121.48301730815</v>
      </c>
      <c r="AQ63" s="9">
        <f t="shared" si="85"/>
        <v>53685.127507827383</v>
      </c>
      <c r="AR63" s="9">
        <f t="shared" si="85"/>
        <v>55295.681333062195</v>
      </c>
      <c r="AS63" s="9">
        <f t="shared" si="85"/>
        <v>56954.551773054067</v>
      </c>
      <c r="AT63" s="9">
        <f t="shared" si="85"/>
        <v>58663.188326245683</v>
      </c>
      <c r="AU63" s="9">
        <f t="shared" si="85"/>
        <v>60423.083976033078</v>
      </c>
      <c r="AV63" s="9">
        <f t="shared" si="85"/>
        <v>14437.366405797082</v>
      </c>
    </row>
    <row r="64" spans="1:48" x14ac:dyDescent="0.2">
      <c r="A64" s="2"/>
    </row>
    <row r="65" spans="1:48" s="26" customFormat="1" x14ac:dyDescent="0.2">
      <c r="A65" s="26" t="s">
        <v>45</v>
      </c>
    </row>
    <row r="66" spans="1:48" x14ac:dyDescent="0.2">
      <c r="A66" t="s">
        <v>5</v>
      </c>
    </row>
    <row r="67" spans="1:48" x14ac:dyDescent="0.2">
      <c r="A67" t="s">
        <v>39</v>
      </c>
      <c r="J67" s="1">
        <v>-24179</v>
      </c>
      <c r="K67" s="1">
        <v>-25828</v>
      </c>
      <c r="L67" s="1">
        <v>-28418</v>
      </c>
      <c r="M67">
        <f t="shared" ref="M67" si="86">AE67-L67-K67-J67</f>
        <v>-27159</v>
      </c>
      <c r="N67" s="1">
        <v>-23121</v>
      </c>
      <c r="O67" s="1">
        <v>-25857</v>
      </c>
      <c r="P67" s="1">
        <v>-19101</v>
      </c>
      <c r="Q67">
        <f t="shared" ref="Q67" si="87">AF67-P67-O67-N67</f>
        <v>-14429</v>
      </c>
      <c r="R67" s="1">
        <v>-10137</v>
      </c>
      <c r="S67" s="1">
        <v>-29577</v>
      </c>
      <c r="U67" s="1"/>
      <c r="V67" s="1"/>
      <c r="W67" s="1"/>
      <c r="X67" s="1"/>
      <c r="Y67" s="1"/>
      <c r="Z67" s="1"/>
      <c r="AC67">
        <v>-45513</v>
      </c>
      <c r="AD67">
        <v>-93961</v>
      </c>
      <c r="AE67">
        <v>-105584</v>
      </c>
      <c r="AF67">
        <v>-82508</v>
      </c>
      <c r="AH67" s="8"/>
    </row>
    <row r="68" spans="1:48" s="2" customFormat="1" x14ac:dyDescent="0.2">
      <c r="A68" s="2" t="s">
        <v>6</v>
      </c>
      <c r="J68" s="2">
        <f>J63-J65</f>
        <v>-24179</v>
      </c>
      <c r="K68" s="2">
        <f t="shared" ref="K68:Y68" si="88">K63-K65</f>
        <v>-25828</v>
      </c>
      <c r="L68" s="2">
        <f t="shared" si="88"/>
        <v>-28418</v>
      </c>
      <c r="M68" s="2">
        <f t="shared" si="88"/>
        <v>-27159</v>
      </c>
      <c r="N68" s="2">
        <f t="shared" si="88"/>
        <v>-23121</v>
      </c>
      <c r="O68" s="2">
        <f t="shared" si="88"/>
        <v>-25857</v>
      </c>
      <c r="P68" s="2">
        <f t="shared" si="88"/>
        <v>-19101</v>
      </c>
      <c r="Q68" s="2">
        <f t="shared" si="88"/>
        <v>-14429</v>
      </c>
      <c r="R68" s="2">
        <f t="shared" si="88"/>
        <v>-10137</v>
      </c>
      <c r="S68" s="2">
        <f t="shared" si="88"/>
        <v>-29577</v>
      </c>
      <c r="T68" s="2">
        <f t="shared" si="88"/>
        <v>-17176</v>
      </c>
      <c r="U68" s="2">
        <f t="shared" si="88"/>
        <v>-16264.75</v>
      </c>
      <c r="V68" s="2">
        <f t="shared" si="88"/>
        <v>-14442.25</v>
      </c>
      <c r="W68" s="2">
        <f t="shared" si="88"/>
        <v>-12619.75</v>
      </c>
      <c r="X68" s="2">
        <f t="shared" si="88"/>
        <v>-10797.25</v>
      </c>
      <c r="Y68" s="2">
        <f t="shared" si="88"/>
        <v>-9886</v>
      </c>
      <c r="AC68" s="2">
        <f t="shared" ref="AC68:AV68" si="89">AC63-AC65</f>
        <v>-45513</v>
      </c>
      <c r="AD68" s="2">
        <f t="shared" si="89"/>
        <v>-93961</v>
      </c>
      <c r="AE68" s="2">
        <f t="shared" si="89"/>
        <v>-105584</v>
      </c>
      <c r="AF68" s="2">
        <f t="shared" si="89"/>
        <v>-82508</v>
      </c>
      <c r="AG68" s="27">
        <f t="shared" si="89"/>
        <v>-38802.75</v>
      </c>
      <c r="AH68" s="27">
        <f t="shared" si="89"/>
        <v>-18896.07</v>
      </c>
      <c r="AI68" s="27">
        <f t="shared" si="89"/>
        <v>9007.5354000000007</v>
      </c>
      <c r="AJ68" s="27">
        <f t="shared" si="89"/>
        <v>35057.631462000012</v>
      </c>
      <c r="AK68" s="27">
        <f t="shared" si="89"/>
        <v>44960.449105860011</v>
      </c>
      <c r="AL68" s="27">
        <f t="shared" si="89"/>
        <v>46309.262579035814</v>
      </c>
      <c r="AM68" s="27">
        <f t="shared" si="89"/>
        <v>47698.540456406889</v>
      </c>
      <c r="AN68" s="27">
        <f t="shared" si="89"/>
        <v>49129.496670099099</v>
      </c>
      <c r="AO68" s="27">
        <f t="shared" si="89"/>
        <v>50603.38157020208</v>
      </c>
      <c r="AP68" s="27">
        <f t="shared" si="89"/>
        <v>52121.48301730815</v>
      </c>
      <c r="AQ68" s="27">
        <f t="shared" si="89"/>
        <v>53685.127507827383</v>
      </c>
      <c r="AR68" s="27">
        <f t="shared" si="89"/>
        <v>55295.681333062195</v>
      </c>
      <c r="AS68" s="27">
        <f t="shared" si="89"/>
        <v>56954.551773054067</v>
      </c>
      <c r="AT68" s="27">
        <f t="shared" si="89"/>
        <v>58663.188326245683</v>
      </c>
      <c r="AU68" s="27">
        <f t="shared" si="89"/>
        <v>60423.083976033078</v>
      </c>
      <c r="AV68" s="27">
        <f t="shared" si="89"/>
        <v>14437.366405797082</v>
      </c>
    </row>
    <row r="69" spans="1:48" x14ac:dyDescent="0.2">
      <c r="A69" t="s">
        <v>12</v>
      </c>
      <c r="J69" s="26" t="b">
        <f>J68=J67</f>
        <v>1</v>
      </c>
      <c r="K69" s="26" t="b">
        <f t="shared" ref="K69:S69" si="90">K68=K67</f>
        <v>1</v>
      </c>
      <c r="L69" s="26" t="b">
        <f t="shared" si="90"/>
        <v>1</v>
      </c>
      <c r="M69" s="26" t="b">
        <f t="shared" si="90"/>
        <v>1</v>
      </c>
      <c r="N69" s="26" t="b">
        <f t="shared" si="90"/>
        <v>1</v>
      </c>
      <c r="O69" s="26" t="b">
        <f t="shared" si="90"/>
        <v>1</v>
      </c>
      <c r="P69" s="26" t="b">
        <f t="shared" si="90"/>
        <v>1</v>
      </c>
      <c r="Q69" s="26" t="b">
        <f t="shared" si="90"/>
        <v>1</v>
      </c>
      <c r="R69" s="26" t="b">
        <f t="shared" si="90"/>
        <v>1</v>
      </c>
      <c r="S69" s="26" t="b">
        <f t="shared" si="90"/>
        <v>1</v>
      </c>
      <c r="U69" s="1"/>
      <c r="V69" s="1"/>
      <c r="W69" s="1"/>
      <c r="X69" s="1"/>
      <c r="Y69" s="1"/>
      <c r="Z69" s="1"/>
      <c r="AC69" s="26" t="b">
        <f t="shared" ref="AC69" si="91">AC68=AC67</f>
        <v>1</v>
      </c>
      <c r="AD69" s="26" t="b">
        <f t="shared" ref="AD69" si="92">AD68=AD67</f>
        <v>1</v>
      </c>
      <c r="AE69" s="26" t="b">
        <f t="shared" ref="AE69" si="93">AE68=AE67</f>
        <v>1</v>
      </c>
      <c r="AF69" s="26" t="b">
        <f t="shared" ref="AF69" si="94">AF68=AF67</f>
        <v>1</v>
      </c>
    </row>
    <row r="70" spans="1:48" x14ac:dyDescent="0.2">
      <c r="J70" s="1"/>
      <c r="K70" s="1"/>
      <c r="L70" s="1"/>
      <c r="M70" s="1"/>
      <c r="N70" s="1"/>
      <c r="O70" s="1"/>
      <c r="P70" s="1"/>
      <c r="Q70" s="1"/>
      <c r="R70" s="1"/>
      <c r="S70" s="1"/>
      <c r="U70" s="1"/>
      <c r="V70" s="1"/>
      <c r="W70" s="1"/>
      <c r="X70" s="1"/>
      <c r="Y70" s="1"/>
      <c r="Z70" s="1"/>
      <c r="AC70" s="1"/>
      <c r="AD70" s="1"/>
      <c r="AE70" s="1"/>
      <c r="AF70" s="1"/>
    </row>
    <row r="71" spans="1:48" x14ac:dyDescent="0.2">
      <c r="A71" t="s">
        <v>174</v>
      </c>
      <c r="J71" s="1">
        <v>24135735</v>
      </c>
      <c r="K71" s="1">
        <v>26082525</v>
      </c>
      <c r="L71" s="1">
        <v>26177079</v>
      </c>
      <c r="M71" s="1">
        <f>AE71*4-L71-K71-J71</f>
        <v>-76395236.607275993</v>
      </c>
      <c r="N71" s="1">
        <v>26215514</v>
      </c>
      <c r="O71" s="1">
        <v>26901069</v>
      </c>
      <c r="P71" s="1">
        <v>48000183</v>
      </c>
      <c r="Q71" s="1">
        <f>AF71*4-P71-O71-N71</f>
        <v>-101116614.698276</v>
      </c>
      <c r="R71" s="1">
        <v>56357983</v>
      </c>
      <c r="S71" s="1">
        <v>79041695</v>
      </c>
      <c r="U71" s="1"/>
      <c r="V71" s="1"/>
      <c r="W71" s="1"/>
      <c r="X71" s="1"/>
      <c r="Y71" s="1"/>
      <c r="Z71" s="1"/>
      <c r="AE71" s="28">
        <v>25.598181</v>
      </c>
      <c r="AF71" s="28">
        <v>37.825431000000002</v>
      </c>
    </row>
    <row r="74" spans="1:48" x14ac:dyDescent="0.2">
      <c r="A74" t="s">
        <v>56</v>
      </c>
    </row>
    <row r="75" spans="1:48" x14ac:dyDescent="0.2">
      <c r="A75" t="s">
        <v>57</v>
      </c>
    </row>
    <row r="80" spans="1:48" s="6" customFormat="1" x14ac:dyDescent="0.2">
      <c r="A80" s="6" t="s">
        <v>123</v>
      </c>
    </row>
    <row r="82" spans="1:19" x14ac:dyDescent="0.2">
      <c r="A82" t="s">
        <v>124</v>
      </c>
      <c r="Q82">
        <v>16657</v>
      </c>
      <c r="S82">
        <v>35616</v>
      </c>
    </row>
    <row r="83" spans="1:19" x14ac:dyDescent="0.2">
      <c r="A83" t="s">
        <v>125</v>
      </c>
      <c r="Q83">
        <v>13923</v>
      </c>
    </row>
    <row r="84" spans="1:19" x14ac:dyDescent="0.2">
      <c r="A84" t="s">
        <v>126</v>
      </c>
      <c r="Q84">
        <v>6728</v>
      </c>
      <c r="S84">
        <v>7205</v>
      </c>
    </row>
    <row r="85" spans="1:19" s="2" customFormat="1" x14ac:dyDescent="0.2">
      <c r="A85" s="2" t="s">
        <v>135</v>
      </c>
      <c r="Q85" s="2">
        <f>Q84+Q82+Q83</f>
        <v>37308</v>
      </c>
      <c r="S85" s="2">
        <f>S84+S82+S83</f>
        <v>42821</v>
      </c>
    </row>
    <row r="87" spans="1:19" x14ac:dyDescent="0.2">
      <c r="A87" t="s">
        <v>136</v>
      </c>
      <c r="Q87">
        <v>857</v>
      </c>
      <c r="S87">
        <v>628</v>
      </c>
    </row>
    <row r="88" spans="1:19" x14ac:dyDescent="0.2">
      <c r="A88" t="s">
        <v>137</v>
      </c>
      <c r="Q88">
        <v>198</v>
      </c>
      <c r="S88">
        <v>197</v>
      </c>
    </row>
    <row r="89" spans="1:19" x14ac:dyDescent="0.2">
      <c r="A89" t="s">
        <v>154</v>
      </c>
      <c r="Q89">
        <f>Q88+Q87</f>
        <v>1055</v>
      </c>
      <c r="S89">
        <f>S88+S87</f>
        <v>825</v>
      </c>
    </row>
    <row r="90" spans="1:19" s="2" customFormat="1" x14ac:dyDescent="0.2">
      <c r="A90" s="2" t="s">
        <v>138</v>
      </c>
      <c r="Q90" s="2">
        <f>Q88+Q87+Q85</f>
        <v>38363</v>
      </c>
      <c r="S90" s="2">
        <f>S88+S87+S85</f>
        <v>43646</v>
      </c>
    </row>
    <row r="92" spans="1:19" x14ac:dyDescent="0.2">
      <c r="A92" t="s">
        <v>139</v>
      </c>
      <c r="Q92">
        <v>477</v>
      </c>
      <c r="S92">
        <v>486</v>
      </c>
    </row>
    <row r="93" spans="1:19" x14ac:dyDescent="0.2">
      <c r="A93" t="s">
        <v>140</v>
      </c>
      <c r="Q93">
        <v>4534</v>
      </c>
      <c r="S93">
        <v>4687</v>
      </c>
    </row>
    <row r="94" spans="1:19" x14ac:dyDescent="0.2">
      <c r="A94" t="s">
        <v>141</v>
      </c>
      <c r="Q94">
        <v>14756</v>
      </c>
      <c r="S94">
        <v>16023</v>
      </c>
    </row>
    <row r="95" spans="1:19" x14ac:dyDescent="0.2">
      <c r="A95" t="s">
        <v>142</v>
      </c>
      <c r="Q95">
        <v>13657</v>
      </c>
      <c r="S95">
        <v>25992</v>
      </c>
    </row>
    <row r="96" spans="1:19" s="2" customFormat="1" x14ac:dyDescent="0.2">
      <c r="A96" s="2" t="s">
        <v>143</v>
      </c>
      <c r="Q96" s="2">
        <f>Q92+Q93+Q94+Q95</f>
        <v>33424</v>
      </c>
      <c r="S96" s="2">
        <f>S92+S93+S94+S95</f>
        <v>47188</v>
      </c>
    </row>
    <row r="98" spans="1:19" x14ac:dyDescent="0.2">
      <c r="A98" t="s">
        <v>144</v>
      </c>
      <c r="Q98">
        <v>414</v>
      </c>
      <c r="S98">
        <v>170</v>
      </c>
    </row>
    <row r="99" spans="1:19" x14ac:dyDescent="0.2">
      <c r="A99" t="s">
        <v>145</v>
      </c>
      <c r="Q99">
        <v>464</v>
      </c>
      <c r="S99">
        <v>622</v>
      </c>
    </row>
    <row r="100" spans="1:19" x14ac:dyDescent="0.2">
      <c r="A100" t="s">
        <v>146</v>
      </c>
      <c r="Q100">
        <f>Q99+Q98</f>
        <v>878</v>
      </c>
      <c r="S100">
        <f>S99+S98</f>
        <v>792</v>
      </c>
    </row>
    <row r="101" spans="1:19" s="2" customFormat="1" x14ac:dyDescent="0.2">
      <c r="A101" s="2" t="s">
        <v>147</v>
      </c>
      <c r="Q101" s="2">
        <f>Q100+Q96</f>
        <v>34302</v>
      </c>
      <c r="S101" s="2">
        <f>S100+S96</f>
        <v>47980</v>
      </c>
    </row>
    <row r="103" spans="1:19" x14ac:dyDescent="0.2">
      <c r="A103" t="s">
        <v>149</v>
      </c>
      <c r="Q103">
        <v>5</v>
      </c>
      <c r="S103">
        <v>6</v>
      </c>
    </row>
    <row r="104" spans="1:19" x14ac:dyDescent="0.2">
      <c r="A104" t="s">
        <v>148</v>
      </c>
    </row>
    <row r="105" spans="1:19" x14ac:dyDescent="0.2">
      <c r="A105" t="s">
        <v>155</v>
      </c>
      <c r="Q105">
        <v>352828</v>
      </c>
      <c r="S105">
        <v>384197</v>
      </c>
    </row>
    <row r="106" spans="1:19" x14ac:dyDescent="0.2">
      <c r="A106" t="s">
        <v>150</v>
      </c>
      <c r="Q106">
        <v>51</v>
      </c>
    </row>
    <row r="107" spans="1:19" x14ac:dyDescent="0.2">
      <c r="A107" t="s">
        <v>151</v>
      </c>
      <c r="Q107">
        <v>-348823</v>
      </c>
      <c r="S107">
        <v>-388537</v>
      </c>
    </row>
    <row r="108" spans="1:19" s="2" customFormat="1" x14ac:dyDescent="0.2">
      <c r="A108" s="2" t="s">
        <v>152</v>
      </c>
      <c r="Q108" s="2">
        <f>Q107+Q106+Q105+Q104+Q103</f>
        <v>4061</v>
      </c>
      <c r="S108" s="2">
        <f>S107+S106+S105+S104+S103</f>
        <v>-4334</v>
      </c>
    </row>
    <row r="110" spans="1:19" s="2" customFormat="1" x14ac:dyDescent="0.2">
      <c r="A110" s="2" t="s">
        <v>153</v>
      </c>
      <c r="Q110" s="2">
        <f>Q108+Q101</f>
        <v>38363</v>
      </c>
      <c r="S110" s="2">
        <f>S108+S101</f>
        <v>43646</v>
      </c>
    </row>
    <row r="111" spans="1:19" x14ac:dyDescent="0.2">
      <c r="A111" t="s">
        <v>12</v>
      </c>
      <c r="Q111" t="b">
        <f>Q110=Q90</f>
        <v>1</v>
      </c>
      <c r="S111" t="b">
        <f>S110=S90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175F-29B7-9342-B5A3-7256B9575DF3}">
  <dimension ref="B10:X34"/>
  <sheetViews>
    <sheetView zoomScale="119" workbookViewId="0">
      <selection activeCell="D15" sqref="D15"/>
    </sheetView>
  </sheetViews>
  <sheetFormatPr baseColWidth="10" defaultRowHeight="16" x14ac:dyDescent="0.2"/>
  <cols>
    <col min="1" max="1" width="10.83203125" style="11"/>
    <col min="2" max="2" width="22.5" style="11" bestFit="1" customWidth="1"/>
    <col min="3" max="3" width="7.6640625" style="11" bestFit="1" customWidth="1"/>
    <col min="4" max="4" width="10.83203125" style="11"/>
    <col min="5" max="5" width="22.83203125" style="11" bestFit="1" customWidth="1"/>
    <col min="6" max="10" width="8.5" style="11" bestFit="1" customWidth="1"/>
    <col min="11" max="24" width="8.1640625" style="11" bestFit="1" customWidth="1"/>
    <col min="25" max="16384" width="10.83203125" style="11"/>
  </cols>
  <sheetData>
    <row r="10" spans="2:24" x14ac:dyDescent="0.2">
      <c r="F10" s="18" t="s">
        <v>59</v>
      </c>
      <c r="G10" s="18" t="s">
        <v>77</v>
      </c>
      <c r="H10" s="18" t="s">
        <v>118</v>
      </c>
      <c r="I10" s="18" t="s">
        <v>119</v>
      </c>
      <c r="J10" s="18" t="s">
        <v>120</v>
      </c>
      <c r="K10" s="18" t="s">
        <v>62</v>
      </c>
      <c r="L10" s="18" t="s">
        <v>63</v>
      </c>
      <c r="M10" s="18" t="s">
        <v>64</v>
      </c>
      <c r="N10" s="18" t="s">
        <v>65</v>
      </c>
      <c r="O10" s="18" t="s">
        <v>107</v>
      </c>
      <c r="P10" s="18" t="s">
        <v>108</v>
      </c>
      <c r="Q10" s="18" t="s">
        <v>109</v>
      </c>
      <c r="R10" s="18" t="s">
        <v>110</v>
      </c>
      <c r="S10" s="18" t="s">
        <v>111</v>
      </c>
      <c r="T10" s="18" t="s">
        <v>112</v>
      </c>
      <c r="U10" s="18" t="s">
        <v>113</v>
      </c>
      <c r="V10" s="18" t="s">
        <v>114</v>
      </c>
      <c r="W10" s="18" t="s">
        <v>115</v>
      </c>
      <c r="X10" s="18" t="s">
        <v>116</v>
      </c>
    </row>
    <row r="11" spans="2:24" x14ac:dyDescent="0.2">
      <c r="B11" s="40" t="s">
        <v>158</v>
      </c>
      <c r="C11" s="40"/>
      <c r="E11" s="32" t="s">
        <v>43</v>
      </c>
      <c r="F11" s="42">
        <f>VLOOKUP($E11,Model!$A$1:$BR$150,MATCH(Valuation!F$10,Model!$A$3:$BR$3,0),FALSE)</f>
        <v>1012.5</v>
      </c>
      <c r="G11" s="42">
        <f>VLOOKUP($E11,Model!$A$1:$BR$150,MATCH(Valuation!G$10,Model!$A$3:$BR$3,0),FALSE)</f>
        <v>3037.5</v>
      </c>
      <c r="H11" s="42">
        <f>VLOOKUP($E11,Model!$A$1:$BR$150,MATCH(Valuation!H$10,Model!$A$3:$BR$3,0),FALSE)</f>
        <v>5062.5</v>
      </c>
      <c r="I11" s="42">
        <f>VLOOKUP($E11,Model!$A$1:$BR$150,MATCH(Valuation!I$10,Model!$A$3:$BR$3,0),FALSE)</f>
        <v>7087.4999999999991</v>
      </c>
      <c r="J11" s="42">
        <f>VLOOKUP($E11,Model!$A$1:$BR$150,MATCH(Valuation!J$10,Model!$A$3:$BR$3,0),FALSE)</f>
        <v>8100</v>
      </c>
      <c r="K11" s="42">
        <f>VLOOKUP($E11,Model!$A$1:$BR$150,MATCH(Valuation!K$10,Model!$A$3:$BR$3,0),FALSE)</f>
        <v>55620</v>
      </c>
      <c r="L11" s="42">
        <f>VLOOKUP($E11,Model!$A$1:$BR$150,MATCH(Valuation!L$10,Model!$A$3:$BR$3,0),FALSE)</f>
        <v>85932.900000000009</v>
      </c>
      <c r="M11" s="42">
        <f>VLOOKUP($E11,Model!$A$1:$BR$150,MATCH(Valuation!M$10,Model!$A$3:$BR$3,0),FALSE)</f>
        <v>98345.430000000008</v>
      </c>
      <c r="N11" s="42">
        <f>VLOOKUP($E11,Model!$A$1:$BR$150,MATCH(Valuation!N$10,Model!$A$3:$BR$3,0),FALSE)</f>
        <v>101295.79290000001</v>
      </c>
      <c r="O11" s="42">
        <f>VLOOKUP($E11,Model!$A$1:$BR$150,MATCH(Valuation!O$10,Model!$A$3:$BR$3,0),FALSE)</f>
        <v>104334.66668700002</v>
      </c>
      <c r="P11" s="42">
        <f>VLOOKUP($E11,Model!$A$1:$BR$150,MATCH(Valuation!P$10,Model!$A$3:$BR$3,0),FALSE)</f>
        <v>107464.70668761003</v>
      </c>
      <c r="Q11" s="42">
        <f>VLOOKUP($E11,Model!$A$1:$BR$150,MATCH(Valuation!Q$10,Model!$A$3:$BR$3,0),FALSE)</f>
        <v>110688.64788823834</v>
      </c>
      <c r="R11" s="42">
        <f>VLOOKUP($E11,Model!$A$1:$BR$150,MATCH(Valuation!R$10,Model!$A$3:$BR$3,0),FALSE)</f>
        <v>114009.30732488549</v>
      </c>
      <c r="S11" s="42">
        <f>VLOOKUP($E11,Model!$A$1:$BR$150,MATCH(Valuation!S$10,Model!$A$3:$BR$3,0),FALSE)</f>
        <v>117429.58654463205</v>
      </c>
      <c r="T11" s="42">
        <f>VLOOKUP($E11,Model!$A$1:$BR$150,MATCH(Valuation!T$10,Model!$A$3:$BR$3,0),FALSE)</f>
        <v>120952.47414097101</v>
      </c>
      <c r="U11" s="42">
        <f>VLOOKUP($E11,Model!$A$1:$BR$150,MATCH(Valuation!U$10,Model!$A$3:$BR$3,0),FALSE)</f>
        <v>124581.04836520014</v>
      </c>
      <c r="V11" s="42">
        <f>VLOOKUP($E11,Model!$A$1:$BR$150,MATCH(Valuation!V$10,Model!$A$3:$BR$3,0),FALSE)</f>
        <v>128318.47981615615</v>
      </c>
      <c r="W11" s="42">
        <f>VLOOKUP($E11,Model!$A$1:$BR$150,MATCH(Valuation!W$10,Model!$A$3:$BR$3,0),FALSE)</f>
        <v>132168.03421064085</v>
      </c>
      <c r="X11" s="43">
        <f>VLOOKUP($E11,Model!$A$1:$BR$150,MATCH(Valuation!X$10,Model!$A$3:$BR$3,0),FALSE)</f>
        <v>68066.537618480041</v>
      </c>
    </row>
    <row r="12" spans="2:24" x14ac:dyDescent="0.2">
      <c r="B12" s="34" t="s">
        <v>159</v>
      </c>
      <c r="C12" s="35">
        <v>2.8</v>
      </c>
      <c r="E12" s="30" t="s">
        <v>157</v>
      </c>
      <c r="F12" s="44">
        <f>VLOOKUP($E12,Model!$A$1:$BR$150,MATCH(Valuation!F$10,Model!$A$3:$BR$3,0),FALSE)</f>
        <v>911.25</v>
      </c>
      <c r="G12" s="44">
        <f>VLOOKUP($E12,Model!$A$1:$BR$150,MATCH(Valuation!G$10,Model!$A$3:$BR$3,0),FALSE)</f>
        <v>2733.75</v>
      </c>
      <c r="H12" s="44">
        <f>VLOOKUP($E12,Model!$A$1:$BR$150,MATCH(Valuation!H$10,Model!$A$3:$BR$3,0),FALSE)</f>
        <v>4556.25</v>
      </c>
      <c r="I12" s="44">
        <f>VLOOKUP($E12,Model!$A$1:$BR$150,MATCH(Valuation!I$10,Model!$A$3:$BR$3,0),FALSE)</f>
        <v>6378.7499999999991</v>
      </c>
      <c r="J12" s="44">
        <f>VLOOKUP($E12,Model!$A$1:$BR$150,MATCH(Valuation!J$10,Model!$A$3:$BR$3,0),FALSE)</f>
        <v>7290</v>
      </c>
      <c r="K12" s="44">
        <f>VLOOKUP($E12,Model!$A$1:$BR$150,MATCH(Valuation!K$10,Model!$A$3:$BR$3,0),FALSE)</f>
        <v>50058</v>
      </c>
      <c r="L12" s="44">
        <f>VLOOKUP($E12,Model!$A$1:$BR$150,MATCH(Valuation!L$10,Model!$A$3:$BR$3,0),FALSE)</f>
        <v>77339.610000000015</v>
      </c>
      <c r="M12" s="44">
        <f>VLOOKUP($E12,Model!$A$1:$BR$150,MATCH(Valuation!M$10,Model!$A$3:$BR$3,0),FALSE)</f>
        <v>88510.887000000017</v>
      </c>
      <c r="N12" s="44">
        <f>VLOOKUP($E12,Model!$A$1:$BR$150,MATCH(Valuation!N$10,Model!$A$3:$BR$3,0),FALSE)</f>
        <v>91166.213610000021</v>
      </c>
      <c r="O12" s="44">
        <f>VLOOKUP($E12,Model!$A$1:$BR$150,MATCH(Valuation!O$10,Model!$A$3:$BR$3,0),FALSE)</f>
        <v>93901.20001830002</v>
      </c>
      <c r="P12" s="44">
        <f>VLOOKUP($E12,Model!$A$1:$BR$150,MATCH(Valuation!P$10,Model!$A$3:$BR$3,0),FALSE)</f>
        <v>96718.236018849027</v>
      </c>
      <c r="Q12" s="44">
        <f>VLOOKUP($E12,Model!$A$1:$BR$150,MATCH(Valuation!Q$10,Model!$A$3:$BR$3,0),FALSE)</f>
        <v>99619.783099414504</v>
      </c>
      <c r="R12" s="44">
        <f>VLOOKUP($E12,Model!$A$1:$BR$150,MATCH(Valuation!R$10,Model!$A$3:$BR$3,0),FALSE)</f>
        <v>102608.37659239695</v>
      </c>
      <c r="S12" s="44">
        <f>VLOOKUP($E12,Model!$A$1:$BR$150,MATCH(Valuation!S$10,Model!$A$3:$BR$3,0),FALSE)</f>
        <v>105686.62789016885</v>
      </c>
      <c r="T12" s="44">
        <f>VLOOKUP($E12,Model!$A$1:$BR$150,MATCH(Valuation!T$10,Model!$A$3:$BR$3,0),FALSE)</f>
        <v>108857.22672687391</v>
      </c>
      <c r="U12" s="44">
        <f>VLOOKUP($E12,Model!$A$1:$BR$150,MATCH(Valuation!U$10,Model!$A$3:$BR$3,0),FALSE)</f>
        <v>112122.94352868013</v>
      </c>
      <c r="V12" s="44">
        <f>VLOOKUP($E12,Model!$A$1:$BR$150,MATCH(Valuation!V$10,Model!$A$3:$BR$3,0),FALSE)</f>
        <v>115486.63183454053</v>
      </c>
      <c r="W12" s="44">
        <f>VLOOKUP($E12,Model!$A$1:$BR$150,MATCH(Valuation!W$10,Model!$A$3:$BR$3,0),FALSE)</f>
        <v>118951.23078957677</v>
      </c>
      <c r="X12" s="44">
        <f>VLOOKUP($E12,Model!$A$1:$BR$150,MATCH(Valuation!X$10,Model!$A$3:$BR$3,0),FALSE)</f>
        <v>61259.883856632041</v>
      </c>
    </row>
    <row r="13" spans="2:24" x14ac:dyDescent="0.2">
      <c r="B13" s="34" t="s">
        <v>160</v>
      </c>
      <c r="C13" s="37">
        <v>63.12</v>
      </c>
      <c r="E13" s="31" t="s">
        <v>0</v>
      </c>
      <c r="F13" s="45">
        <f>VLOOKUP($E13,Model!$A$1:$BR$150,MATCH(Valuation!F$10,Model!$A$3:$BR$3,0),FALSE)</f>
        <v>0</v>
      </c>
      <c r="G13" s="45">
        <f>VLOOKUP($E13,Model!$A$1:$BR$150,MATCH(Valuation!G$10,Model!$A$3:$BR$3,0),FALSE)</f>
        <v>0</v>
      </c>
      <c r="H13" s="45">
        <f>VLOOKUP($E13,Model!$A$1:$BR$150,MATCH(Valuation!H$10,Model!$A$3:$BR$3,0),FALSE)</f>
        <v>0</v>
      </c>
      <c r="I13" s="45">
        <f>VLOOKUP($E13,Model!$A$1:$BR$150,MATCH(Valuation!I$10,Model!$A$3:$BR$3,0),FALSE)</f>
        <v>0</v>
      </c>
      <c r="J13" s="45">
        <f>VLOOKUP($E13,Model!$A$1:$BR$150,MATCH(Valuation!J$10,Model!$A$3:$BR$3,0),FALSE)</f>
        <v>0</v>
      </c>
      <c r="K13" s="45">
        <f>VLOOKUP($E13,Model!$A$1:$BR$150,MATCH(Valuation!K$10,Model!$A$3:$BR$3,0),FALSE)</f>
        <v>0</v>
      </c>
      <c r="L13" s="45">
        <f>VLOOKUP($E13,Model!$A$1:$BR$150,MATCH(Valuation!L$10,Model!$A$3:$BR$3,0),FALSE)</f>
        <v>0</v>
      </c>
      <c r="M13" s="45">
        <f>VLOOKUP($E13,Model!$A$1:$BR$150,MATCH(Valuation!M$10,Model!$A$3:$BR$3,0),FALSE)</f>
        <v>0</v>
      </c>
      <c r="N13" s="45">
        <f>VLOOKUP($E13,Model!$A$1:$BR$150,MATCH(Valuation!N$10,Model!$A$3:$BR$3,0),FALSE)</f>
        <v>0</v>
      </c>
      <c r="O13" s="45">
        <f>VLOOKUP($E13,Model!$A$1:$BR$150,MATCH(Valuation!O$10,Model!$A$3:$BR$3,0),FALSE)</f>
        <v>0</v>
      </c>
      <c r="P13" s="45">
        <f>VLOOKUP($E13,Model!$A$1:$BR$150,MATCH(Valuation!P$10,Model!$A$3:$BR$3,0),FALSE)</f>
        <v>0</v>
      </c>
      <c r="Q13" s="45">
        <f>VLOOKUP($E13,Model!$A$1:$BR$150,MATCH(Valuation!Q$10,Model!$A$3:$BR$3,0),FALSE)</f>
        <v>0</v>
      </c>
      <c r="R13" s="45">
        <f>VLOOKUP($E13,Model!$A$1:$BR$150,MATCH(Valuation!R$10,Model!$A$3:$BR$3,0),FALSE)</f>
        <v>0</v>
      </c>
      <c r="S13" s="45">
        <f>VLOOKUP($E13,Model!$A$1:$BR$150,MATCH(Valuation!S$10,Model!$A$3:$BR$3,0),FALSE)</f>
        <v>0</v>
      </c>
      <c r="T13" s="45">
        <f>VLOOKUP($E13,Model!$A$1:$BR$150,MATCH(Valuation!T$10,Model!$A$3:$BR$3,0),FALSE)</f>
        <v>0</v>
      </c>
      <c r="U13" s="45">
        <f>VLOOKUP($E13,Model!$A$1:$BR$150,MATCH(Valuation!U$10,Model!$A$3:$BR$3,0),FALSE)</f>
        <v>0</v>
      </c>
      <c r="V13" s="45">
        <f>VLOOKUP($E13,Model!$A$1:$BR$150,MATCH(Valuation!V$10,Model!$A$3:$BR$3,0),FALSE)</f>
        <v>0</v>
      </c>
      <c r="W13" s="45">
        <f>VLOOKUP($E13,Model!$A$1:$BR$150,MATCH(Valuation!W$10,Model!$A$3:$BR$3,0),FALSE)</f>
        <v>0</v>
      </c>
      <c r="X13" s="45">
        <f>VLOOKUP($E13,Model!$A$1:$BR$150,MATCH(Valuation!X$10,Model!$A$3:$BR$3,0),FALSE)</f>
        <v>0</v>
      </c>
    </row>
    <row r="14" spans="2:24" x14ac:dyDescent="0.2">
      <c r="B14" s="34" t="s">
        <v>161</v>
      </c>
      <c r="C14" s="37">
        <f>C12*C13</f>
        <v>176.73599999999999</v>
      </c>
      <c r="E14" s="17" t="s">
        <v>1</v>
      </c>
      <c r="F14" s="45">
        <f>VLOOKUP($E14,Model!$A$1:$BR$150,MATCH(Valuation!F$10,Model!$A$3:$BR$3,0),FALSE)</f>
        <v>0</v>
      </c>
      <c r="G14" s="45">
        <f>VLOOKUP($E14,Model!$A$1:$BR$150,MATCH(Valuation!G$10,Model!$A$3:$BR$3,0),FALSE)</f>
        <v>0</v>
      </c>
      <c r="H14" s="45">
        <f>VLOOKUP($E14,Model!$A$1:$BR$150,MATCH(Valuation!H$10,Model!$A$3:$BR$3,0),FALSE)</f>
        <v>0</v>
      </c>
      <c r="I14" s="45">
        <f>VLOOKUP($E14,Model!$A$1:$BR$150,MATCH(Valuation!I$10,Model!$A$3:$BR$3,0),FALSE)</f>
        <v>0</v>
      </c>
      <c r="J14" s="45">
        <f>VLOOKUP($E14,Model!$A$1:$BR$150,MATCH(Valuation!J$10,Model!$A$3:$BR$3,0),FALSE)</f>
        <v>0</v>
      </c>
      <c r="K14" s="45">
        <f>VLOOKUP($E14,Model!$A$1:$BR$150,MATCH(Valuation!K$10,Model!$A$3:$BR$3,0),FALSE)</f>
        <v>0</v>
      </c>
      <c r="L14" s="45">
        <f>VLOOKUP($E14,Model!$A$1:$BR$150,MATCH(Valuation!L$10,Model!$A$3:$BR$3,0),FALSE)</f>
        <v>0</v>
      </c>
      <c r="M14" s="45">
        <f>VLOOKUP($E14,Model!$A$1:$BR$150,MATCH(Valuation!M$10,Model!$A$3:$BR$3,0),FALSE)</f>
        <v>0</v>
      </c>
      <c r="N14" s="45">
        <f>VLOOKUP($E14,Model!$A$1:$BR$150,MATCH(Valuation!N$10,Model!$A$3:$BR$3,0),FALSE)</f>
        <v>0</v>
      </c>
      <c r="O14" s="45">
        <f>VLOOKUP($E14,Model!$A$1:$BR$150,MATCH(Valuation!O$10,Model!$A$3:$BR$3,0),FALSE)</f>
        <v>0</v>
      </c>
      <c r="P14" s="45">
        <f>VLOOKUP($E14,Model!$A$1:$BR$150,MATCH(Valuation!P$10,Model!$A$3:$BR$3,0),FALSE)</f>
        <v>0</v>
      </c>
      <c r="Q14" s="45">
        <f>VLOOKUP($E14,Model!$A$1:$BR$150,MATCH(Valuation!Q$10,Model!$A$3:$BR$3,0),FALSE)</f>
        <v>0</v>
      </c>
      <c r="R14" s="45">
        <f>VLOOKUP($E14,Model!$A$1:$BR$150,MATCH(Valuation!R$10,Model!$A$3:$BR$3,0),FALSE)</f>
        <v>0</v>
      </c>
      <c r="S14" s="45">
        <f>VLOOKUP($E14,Model!$A$1:$BR$150,MATCH(Valuation!S$10,Model!$A$3:$BR$3,0),FALSE)</f>
        <v>0</v>
      </c>
      <c r="T14" s="45">
        <f>VLOOKUP($E14,Model!$A$1:$BR$150,MATCH(Valuation!T$10,Model!$A$3:$BR$3,0),FALSE)</f>
        <v>0</v>
      </c>
      <c r="U14" s="45">
        <f>VLOOKUP($E14,Model!$A$1:$BR$150,MATCH(Valuation!U$10,Model!$A$3:$BR$3,0),FALSE)</f>
        <v>0</v>
      </c>
      <c r="V14" s="45">
        <f>VLOOKUP($E14,Model!$A$1:$BR$150,MATCH(Valuation!V$10,Model!$A$3:$BR$3,0),FALSE)</f>
        <v>0</v>
      </c>
      <c r="W14" s="45">
        <f>VLOOKUP($E14,Model!$A$1:$BR$150,MATCH(Valuation!W$10,Model!$A$3:$BR$3,0),FALSE)</f>
        <v>0</v>
      </c>
      <c r="X14" s="45">
        <f>VLOOKUP($E14,Model!$A$1:$BR$150,MATCH(Valuation!X$10,Model!$A$3:$BR$3,0),FALSE)</f>
        <v>0</v>
      </c>
    </row>
    <row r="15" spans="2:24" x14ac:dyDescent="0.2">
      <c r="B15" s="34" t="s">
        <v>162</v>
      </c>
      <c r="C15" s="36"/>
      <c r="E15" s="29" t="s">
        <v>44</v>
      </c>
      <c r="F15" s="46">
        <f>VLOOKUP($E15,Model!$A$1:$BR$150,MATCH(Valuation!F$10,Model!$A$3:$BR$3,0),FALSE)</f>
        <v>-16264.75</v>
      </c>
      <c r="G15" s="46">
        <f>VLOOKUP($E15,Model!$A$1:$BR$150,MATCH(Valuation!G$10,Model!$A$3:$BR$3,0),FALSE)</f>
        <v>-14442.25</v>
      </c>
      <c r="H15" s="46">
        <f>VLOOKUP($E15,Model!$A$1:$BR$150,MATCH(Valuation!H$10,Model!$A$3:$BR$3,0),FALSE)</f>
        <v>-12619.75</v>
      </c>
      <c r="I15" s="46">
        <f>VLOOKUP($E15,Model!$A$1:$BR$150,MATCH(Valuation!I$10,Model!$A$3:$BR$3,0),FALSE)</f>
        <v>-10797.25</v>
      </c>
      <c r="J15" s="46">
        <f>VLOOKUP($E15,Model!$A$1:$BR$150,MATCH(Valuation!J$10,Model!$A$3:$BR$3,0),FALSE)</f>
        <v>-9886</v>
      </c>
      <c r="K15" s="46">
        <f>VLOOKUP($E15,Model!$A$1:$BR$150,MATCH(Valuation!K$10,Model!$A$3:$BR$3,0),FALSE)</f>
        <v>9007.5354000000007</v>
      </c>
      <c r="L15" s="46">
        <f>VLOOKUP($E15,Model!$A$1:$BR$150,MATCH(Valuation!L$10,Model!$A$3:$BR$3,0),FALSE)</f>
        <v>35057.631462000012</v>
      </c>
      <c r="M15" s="46">
        <f>VLOOKUP($E15,Model!$A$1:$BR$150,MATCH(Valuation!M$10,Model!$A$3:$BR$3,0),FALSE)</f>
        <v>44960.449105860011</v>
      </c>
      <c r="N15" s="46">
        <f>VLOOKUP($E15,Model!$A$1:$BR$150,MATCH(Valuation!N$10,Model!$A$3:$BR$3,0),FALSE)</f>
        <v>46309.262579035814</v>
      </c>
      <c r="O15" s="46">
        <f>VLOOKUP($E15,Model!$A$1:$BR$150,MATCH(Valuation!O$10,Model!$A$3:$BR$3,0),FALSE)</f>
        <v>47698.540456406889</v>
      </c>
      <c r="P15" s="46">
        <f>VLOOKUP($E15,Model!$A$1:$BR$150,MATCH(Valuation!P$10,Model!$A$3:$BR$3,0),FALSE)</f>
        <v>49129.496670099099</v>
      </c>
      <c r="Q15" s="46">
        <f>VLOOKUP($E15,Model!$A$1:$BR$150,MATCH(Valuation!Q$10,Model!$A$3:$BR$3,0),FALSE)</f>
        <v>50603.38157020208</v>
      </c>
      <c r="R15" s="46">
        <f>VLOOKUP($E15,Model!$A$1:$BR$150,MATCH(Valuation!R$10,Model!$A$3:$BR$3,0),FALSE)</f>
        <v>52121.48301730815</v>
      </c>
      <c r="S15" s="46">
        <f>VLOOKUP($E15,Model!$A$1:$BR$150,MATCH(Valuation!S$10,Model!$A$3:$BR$3,0),FALSE)</f>
        <v>53685.127507827383</v>
      </c>
      <c r="T15" s="46">
        <f>VLOOKUP($E15,Model!$A$1:$BR$150,MATCH(Valuation!T$10,Model!$A$3:$BR$3,0),FALSE)</f>
        <v>55295.681333062195</v>
      </c>
      <c r="U15" s="46">
        <f>VLOOKUP($E15,Model!$A$1:$BR$150,MATCH(Valuation!U$10,Model!$A$3:$BR$3,0),FALSE)</f>
        <v>56954.551773054067</v>
      </c>
      <c r="V15" s="46">
        <f>VLOOKUP($E15,Model!$A$1:$BR$150,MATCH(Valuation!V$10,Model!$A$3:$BR$3,0),FALSE)</f>
        <v>58663.188326245683</v>
      </c>
      <c r="W15" s="46">
        <f>VLOOKUP($E15,Model!$A$1:$BR$150,MATCH(Valuation!W$10,Model!$A$3:$BR$3,0),FALSE)</f>
        <v>60423.083976033078</v>
      </c>
      <c r="X15" s="47">
        <f>VLOOKUP($E15,Model!$A$1:$BR$150,MATCH(Valuation!X$10,Model!$A$3:$BR$3,0),FALSE)</f>
        <v>14437.366405797082</v>
      </c>
    </row>
    <row r="16" spans="2:24" x14ac:dyDescent="0.2">
      <c r="B16" s="34" t="s">
        <v>163</v>
      </c>
      <c r="C16" s="37">
        <f>Model!S95/1000</f>
        <v>25.992000000000001</v>
      </c>
      <c r="E16" s="17" t="s">
        <v>4</v>
      </c>
      <c r="F16" s="45">
        <f>VLOOKUP($E16,Model!$A$1:$BR$150,MATCH(Valuation!F$10,Model!$A$3:$BR$3,0),FALSE)</f>
        <v>0</v>
      </c>
      <c r="G16" s="45">
        <f>VLOOKUP($E16,Model!$A$1:$BR$150,MATCH(Valuation!G$10,Model!$A$3:$BR$3,0),FALSE)</f>
        <v>0</v>
      </c>
      <c r="H16" s="45">
        <f>VLOOKUP($E16,Model!$A$1:$BR$150,MATCH(Valuation!H$10,Model!$A$3:$BR$3,0),FALSE)</f>
        <v>0</v>
      </c>
      <c r="I16" s="45">
        <f>VLOOKUP($E16,Model!$A$1:$BR$150,MATCH(Valuation!I$10,Model!$A$3:$BR$3,0),FALSE)</f>
        <v>0</v>
      </c>
      <c r="J16" s="45">
        <f>VLOOKUP($E16,Model!$A$1:$BR$150,MATCH(Valuation!J$10,Model!$A$3:$BR$3,0),FALSE)</f>
        <v>0</v>
      </c>
      <c r="K16" s="45">
        <f>VLOOKUP($E16,Model!$A$1:$BR$150,MATCH(Valuation!K$10,Model!$A$3:$BR$3,0),FALSE)</f>
        <v>0</v>
      </c>
      <c r="L16" s="45">
        <f>VLOOKUP($E16,Model!$A$1:$BR$150,MATCH(Valuation!L$10,Model!$A$3:$BR$3,0),FALSE)</f>
        <v>0</v>
      </c>
      <c r="M16" s="45">
        <f>VLOOKUP($E16,Model!$A$1:$BR$150,MATCH(Valuation!M$10,Model!$A$3:$BR$3,0),FALSE)</f>
        <v>0</v>
      </c>
      <c r="N16" s="45">
        <f>VLOOKUP($E16,Model!$A$1:$BR$150,MATCH(Valuation!N$10,Model!$A$3:$BR$3,0),FALSE)</f>
        <v>0</v>
      </c>
      <c r="O16" s="45">
        <f>VLOOKUP($E16,Model!$A$1:$BR$150,MATCH(Valuation!O$10,Model!$A$3:$BR$3,0),FALSE)</f>
        <v>0</v>
      </c>
      <c r="P16" s="45">
        <f>VLOOKUP($E16,Model!$A$1:$BR$150,MATCH(Valuation!P$10,Model!$A$3:$BR$3,0),FALSE)</f>
        <v>0</v>
      </c>
      <c r="Q16" s="45">
        <f>VLOOKUP($E16,Model!$A$1:$BR$150,MATCH(Valuation!Q$10,Model!$A$3:$BR$3,0),FALSE)</f>
        <v>0</v>
      </c>
      <c r="R16" s="45">
        <f>VLOOKUP($E16,Model!$A$1:$BR$150,MATCH(Valuation!R$10,Model!$A$3:$BR$3,0),FALSE)</f>
        <v>0</v>
      </c>
      <c r="S16" s="45">
        <f>VLOOKUP($E16,Model!$A$1:$BR$150,MATCH(Valuation!S$10,Model!$A$3:$BR$3,0),FALSE)</f>
        <v>0</v>
      </c>
      <c r="T16" s="45">
        <f>VLOOKUP($E16,Model!$A$1:$BR$150,MATCH(Valuation!T$10,Model!$A$3:$BR$3,0),FALSE)</f>
        <v>0</v>
      </c>
      <c r="U16" s="45">
        <f>VLOOKUP($E16,Model!$A$1:$BR$150,MATCH(Valuation!U$10,Model!$A$3:$BR$3,0),FALSE)</f>
        <v>0</v>
      </c>
      <c r="V16" s="45">
        <f>VLOOKUP($E16,Model!$A$1:$BR$150,MATCH(Valuation!V$10,Model!$A$3:$BR$3,0),FALSE)</f>
        <v>0</v>
      </c>
      <c r="W16" s="45">
        <f>VLOOKUP($E16,Model!$A$1:$BR$150,MATCH(Valuation!W$10,Model!$A$3:$BR$3,0),FALSE)</f>
        <v>0</v>
      </c>
      <c r="X16" s="45">
        <f>VLOOKUP($E16,Model!$A$1:$BR$150,MATCH(Valuation!X$10,Model!$A$3:$BR$3,0),FALSE)</f>
        <v>0</v>
      </c>
    </row>
    <row r="17" spans="2:24" x14ac:dyDescent="0.2">
      <c r="B17" s="34" t="s">
        <v>164</v>
      </c>
      <c r="C17" s="37">
        <f>Model!S82/1000</f>
        <v>35.616</v>
      </c>
      <c r="E17" s="29" t="s">
        <v>40</v>
      </c>
      <c r="F17" s="46">
        <f>VLOOKUP($E17,Model!$A$1:$BR$150,MATCH(Valuation!F$10,Model!$A$3:$BR$3,0),FALSE)</f>
        <v>-16264.75</v>
      </c>
      <c r="G17" s="46">
        <f>VLOOKUP($E17,Model!$A$1:$BR$150,MATCH(Valuation!G$10,Model!$A$3:$BR$3,0),FALSE)</f>
        <v>-14442.25</v>
      </c>
      <c r="H17" s="46">
        <f>VLOOKUP($E17,Model!$A$1:$BR$150,MATCH(Valuation!H$10,Model!$A$3:$BR$3,0),FALSE)</f>
        <v>-12619.75</v>
      </c>
      <c r="I17" s="46">
        <f>VLOOKUP($E17,Model!$A$1:$BR$150,MATCH(Valuation!I$10,Model!$A$3:$BR$3,0),FALSE)</f>
        <v>-10797.25</v>
      </c>
      <c r="J17" s="46">
        <f>VLOOKUP($E17,Model!$A$1:$BR$150,MATCH(Valuation!J$10,Model!$A$3:$BR$3,0),FALSE)</f>
        <v>-9886</v>
      </c>
      <c r="K17" s="46">
        <f>VLOOKUP($E17,Model!$A$1:$BR$150,MATCH(Valuation!K$10,Model!$A$3:$BR$3,0),FALSE)</f>
        <v>9007.5354000000007</v>
      </c>
      <c r="L17" s="46">
        <f>VLOOKUP($E17,Model!$A$1:$BR$150,MATCH(Valuation!L$10,Model!$A$3:$BR$3,0),FALSE)</f>
        <v>35057.631462000012</v>
      </c>
      <c r="M17" s="46">
        <f>VLOOKUP($E17,Model!$A$1:$BR$150,MATCH(Valuation!M$10,Model!$A$3:$BR$3,0),FALSE)</f>
        <v>44960.449105860011</v>
      </c>
      <c r="N17" s="46">
        <f>VLOOKUP($E17,Model!$A$1:$BR$150,MATCH(Valuation!N$10,Model!$A$3:$BR$3,0),FALSE)</f>
        <v>46309.262579035814</v>
      </c>
      <c r="O17" s="46">
        <f>VLOOKUP($E17,Model!$A$1:$BR$150,MATCH(Valuation!O$10,Model!$A$3:$BR$3,0),FALSE)</f>
        <v>47698.540456406889</v>
      </c>
      <c r="P17" s="46">
        <f>VLOOKUP($E17,Model!$A$1:$BR$150,MATCH(Valuation!P$10,Model!$A$3:$BR$3,0),FALSE)</f>
        <v>49129.496670099099</v>
      </c>
      <c r="Q17" s="46">
        <f>VLOOKUP($E17,Model!$A$1:$BR$150,MATCH(Valuation!Q$10,Model!$A$3:$BR$3,0),FALSE)</f>
        <v>50603.38157020208</v>
      </c>
      <c r="R17" s="46">
        <f>VLOOKUP($E17,Model!$A$1:$BR$150,MATCH(Valuation!R$10,Model!$A$3:$BR$3,0),FALSE)</f>
        <v>52121.48301730815</v>
      </c>
      <c r="S17" s="46">
        <f>VLOOKUP($E17,Model!$A$1:$BR$150,MATCH(Valuation!S$10,Model!$A$3:$BR$3,0),FALSE)</f>
        <v>53685.127507827383</v>
      </c>
      <c r="T17" s="46">
        <f>VLOOKUP($E17,Model!$A$1:$BR$150,MATCH(Valuation!T$10,Model!$A$3:$BR$3,0),FALSE)</f>
        <v>55295.681333062195</v>
      </c>
      <c r="U17" s="46">
        <f>VLOOKUP($E17,Model!$A$1:$BR$150,MATCH(Valuation!U$10,Model!$A$3:$BR$3,0),FALSE)</f>
        <v>56954.551773054067</v>
      </c>
      <c r="V17" s="46">
        <f>VLOOKUP($E17,Model!$A$1:$BR$150,MATCH(Valuation!V$10,Model!$A$3:$BR$3,0),FALSE)</f>
        <v>58663.188326245683</v>
      </c>
      <c r="W17" s="46">
        <f>VLOOKUP($E17,Model!$A$1:$BR$150,MATCH(Valuation!W$10,Model!$A$3:$BR$3,0),FALSE)</f>
        <v>60423.083976033078</v>
      </c>
      <c r="X17" s="47">
        <f>VLOOKUP($E17,Model!$A$1:$BR$150,MATCH(Valuation!X$10,Model!$A$3:$BR$3,0),FALSE)</f>
        <v>14437.366405797082</v>
      </c>
    </row>
    <row r="18" spans="2:24" x14ac:dyDescent="0.2">
      <c r="B18" s="34" t="s">
        <v>165</v>
      </c>
      <c r="C18" s="37">
        <f>C14-C17+C16</f>
        <v>167.11199999999999</v>
      </c>
      <c r="E18" s="30" t="s">
        <v>6</v>
      </c>
      <c r="F18" s="44">
        <f>VLOOKUP($E18,Model!$A$1:$BR$150,MATCH(Valuation!F$10,Model!$A$3:$BR$3,0),FALSE)</f>
        <v>-16264.75</v>
      </c>
      <c r="G18" s="44">
        <f>VLOOKUP($E18,Model!$A$1:$BR$150,MATCH(Valuation!G$10,Model!$A$3:$BR$3,0),FALSE)</f>
        <v>-14442.25</v>
      </c>
      <c r="H18" s="44">
        <f>VLOOKUP($E18,Model!$A$1:$BR$150,MATCH(Valuation!H$10,Model!$A$3:$BR$3,0),FALSE)</f>
        <v>-12619.75</v>
      </c>
      <c r="I18" s="44">
        <f>VLOOKUP($E18,Model!$A$1:$BR$150,MATCH(Valuation!I$10,Model!$A$3:$BR$3,0),FALSE)</f>
        <v>-10797.25</v>
      </c>
      <c r="J18" s="44">
        <f>VLOOKUP($E18,Model!$A$1:$BR$150,MATCH(Valuation!J$10,Model!$A$3:$BR$3,0),FALSE)</f>
        <v>-9886</v>
      </c>
      <c r="K18" s="44">
        <f>VLOOKUP($E18,Model!$A$1:$BR$150,MATCH(Valuation!K$10,Model!$A$3:$BR$3,0),FALSE)</f>
        <v>9007.5354000000007</v>
      </c>
      <c r="L18" s="44">
        <f>VLOOKUP($E18,Model!$A$1:$BR$150,MATCH(Valuation!L$10,Model!$A$3:$BR$3,0),FALSE)</f>
        <v>35057.631462000012</v>
      </c>
      <c r="M18" s="44">
        <f>VLOOKUP($E18,Model!$A$1:$BR$150,MATCH(Valuation!M$10,Model!$A$3:$BR$3,0),FALSE)</f>
        <v>44960.449105860011</v>
      </c>
      <c r="N18" s="44">
        <f>VLOOKUP($E18,Model!$A$1:$BR$150,MATCH(Valuation!N$10,Model!$A$3:$BR$3,0),FALSE)</f>
        <v>46309.262579035814</v>
      </c>
      <c r="O18" s="44">
        <f>VLOOKUP($E18,Model!$A$1:$BR$150,MATCH(Valuation!O$10,Model!$A$3:$BR$3,0),FALSE)</f>
        <v>47698.540456406889</v>
      </c>
      <c r="P18" s="44">
        <f>VLOOKUP($E18,Model!$A$1:$BR$150,MATCH(Valuation!P$10,Model!$A$3:$BR$3,0),FALSE)</f>
        <v>49129.496670099099</v>
      </c>
      <c r="Q18" s="44">
        <f>VLOOKUP($E18,Model!$A$1:$BR$150,MATCH(Valuation!Q$10,Model!$A$3:$BR$3,0),FALSE)</f>
        <v>50603.38157020208</v>
      </c>
      <c r="R18" s="44">
        <f>VLOOKUP($E18,Model!$A$1:$BR$150,MATCH(Valuation!R$10,Model!$A$3:$BR$3,0),FALSE)</f>
        <v>52121.48301730815</v>
      </c>
      <c r="S18" s="44">
        <f>VLOOKUP($E18,Model!$A$1:$BR$150,MATCH(Valuation!S$10,Model!$A$3:$BR$3,0),FALSE)</f>
        <v>53685.127507827383</v>
      </c>
      <c r="T18" s="44">
        <f>VLOOKUP($E18,Model!$A$1:$BR$150,MATCH(Valuation!T$10,Model!$A$3:$BR$3,0),FALSE)</f>
        <v>55295.681333062195</v>
      </c>
      <c r="U18" s="44">
        <f>VLOOKUP($E18,Model!$A$1:$BR$150,MATCH(Valuation!U$10,Model!$A$3:$BR$3,0),FALSE)</f>
        <v>56954.551773054067</v>
      </c>
      <c r="V18" s="44">
        <f>VLOOKUP($E18,Model!$A$1:$BR$150,MATCH(Valuation!V$10,Model!$A$3:$BR$3,0),FALSE)</f>
        <v>58663.188326245683</v>
      </c>
      <c r="W18" s="44">
        <f>VLOOKUP($E18,Model!$A$1:$BR$150,MATCH(Valuation!W$10,Model!$A$3:$BR$3,0),FALSE)</f>
        <v>60423.083976033078</v>
      </c>
      <c r="X18" s="44">
        <f>VLOOKUP($E18,Model!$A$1:$BR$150,MATCH(Valuation!X$10,Model!$A$3:$BR$3,0),FALSE)</f>
        <v>14437.366405797082</v>
      </c>
    </row>
    <row r="19" spans="2:24" x14ac:dyDescent="0.2">
      <c r="B19" s="34"/>
      <c r="C19" s="34"/>
    </row>
    <row r="20" spans="2:24" x14ac:dyDescent="0.2">
      <c r="B20" s="34" t="s">
        <v>166</v>
      </c>
      <c r="C20" s="38">
        <f>C21+C22</f>
        <v>0.1</v>
      </c>
    </row>
    <row r="21" spans="2:24" x14ac:dyDescent="0.2">
      <c r="B21" s="39" t="s">
        <v>167</v>
      </c>
      <c r="C21" s="38">
        <v>0.04</v>
      </c>
    </row>
    <row r="22" spans="2:24" x14ac:dyDescent="0.2">
      <c r="B22" s="34" t="s">
        <v>168</v>
      </c>
      <c r="C22" s="38">
        <v>0.06</v>
      </c>
    </row>
    <row r="23" spans="2:24" x14ac:dyDescent="0.2">
      <c r="B23" s="34" t="s">
        <v>169</v>
      </c>
      <c r="C23" s="38">
        <v>-0.02</v>
      </c>
    </row>
    <row r="24" spans="2:24" x14ac:dyDescent="0.2">
      <c r="B24" s="34"/>
      <c r="C24" s="38"/>
    </row>
    <row r="25" spans="2:24" x14ac:dyDescent="0.2">
      <c r="B25" s="34"/>
      <c r="C25" s="34"/>
    </row>
    <row r="26" spans="2:24" x14ac:dyDescent="0.2">
      <c r="B26" s="34" t="s">
        <v>171</v>
      </c>
      <c r="C26" s="37">
        <f>NPV(C20,F18:X18,X18/0.1)/1000</f>
        <v>166.86721114050184</v>
      </c>
      <c r="J26" s="14"/>
    </row>
    <row r="27" spans="2:24" x14ac:dyDescent="0.2">
      <c r="B27" s="34" t="s">
        <v>172</v>
      </c>
      <c r="C27" s="37">
        <f>C17</f>
        <v>35.616</v>
      </c>
      <c r="F27" s="48"/>
      <c r="G27" s="14"/>
      <c r="H27" s="14"/>
      <c r="I27" s="14"/>
      <c r="J27" s="14"/>
      <c r="K27" s="14"/>
    </row>
    <row r="28" spans="2:24" x14ac:dyDescent="0.2">
      <c r="B28" s="34" t="s">
        <v>173</v>
      </c>
      <c r="C28" s="37">
        <f>C26+C27-C16</f>
        <v>176.49121114050186</v>
      </c>
      <c r="F28" s="13"/>
      <c r="G28" s="13"/>
    </row>
    <row r="29" spans="2:24" x14ac:dyDescent="0.2">
      <c r="B29" s="33" t="s">
        <v>170</v>
      </c>
      <c r="C29" s="41">
        <f>C28/C13</f>
        <v>2.7961218495009801</v>
      </c>
      <c r="F29" s="13"/>
    </row>
    <row r="30" spans="2:24" x14ac:dyDescent="0.2">
      <c r="F30" s="13"/>
    </row>
    <row r="31" spans="2:24" x14ac:dyDescent="0.2">
      <c r="F31" s="13"/>
    </row>
    <row r="32" spans="2:24" x14ac:dyDescent="0.2">
      <c r="F32" s="13"/>
    </row>
    <row r="33" spans="6:6" x14ac:dyDescent="0.2">
      <c r="F33" s="13"/>
    </row>
    <row r="34" spans="6:6" x14ac:dyDescent="0.2">
      <c r="F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2023-08-04T02:50:06Z</dcterms:created>
  <dcterms:modified xsi:type="dcterms:W3CDTF">2023-09-22T14:39:47Z</dcterms:modified>
</cp:coreProperties>
</file>