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7E51F87C-C85A-924D-9682-2CE89371C86D}" xr6:coauthVersionLast="47" xr6:coauthVersionMax="47" xr10:uidLastSave="{00000000-0000-0000-0000-000000000000}"/>
  <bookViews>
    <workbookView xWindow="1100" yWindow="820" windowWidth="28040" windowHeight="18820" xr2:uid="{704F00E0-DE4F-E045-A0AE-86EE075BA335}"/>
  </bookViews>
  <sheets>
    <sheet name="Main" sheetId="2" r:id="rId1"/>
    <sheet name="Model" sheetId="1" r:id="rId2"/>
    <sheet name="Valu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23" i="1" l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J22" i="1"/>
  <c r="AI22" i="1"/>
  <c r="AH22" i="1"/>
  <c r="AG22" i="1"/>
  <c r="AQ21" i="1"/>
  <c r="AR21" i="1"/>
  <c r="AS21" i="1" s="1"/>
  <c r="AT21" i="1" s="1"/>
  <c r="AU21" i="1" s="1"/>
  <c r="AV21" i="1" s="1"/>
  <c r="AO21" i="1"/>
  <c r="AI21" i="1"/>
  <c r="AJ21" i="1" s="1"/>
  <c r="AK21" i="1" s="1"/>
  <c r="AL21" i="1" s="1"/>
  <c r="AM21" i="1" s="1"/>
  <c r="AN21" i="1" s="1"/>
  <c r="AG21" i="1"/>
  <c r="AH21" i="1"/>
  <c r="S50" i="2"/>
  <c r="S51" i="2"/>
  <c r="S53" i="2" s="1"/>
  <c r="S43" i="2"/>
  <c r="S45" i="2" s="1"/>
  <c r="S24" i="2"/>
  <c r="N33" i="2"/>
  <c r="L33" i="2"/>
  <c r="K33" i="2" s="1"/>
  <c r="J33" i="2" s="1"/>
  <c r="I38" i="2"/>
  <c r="I34" i="2"/>
  <c r="I35" i="2"/>
  <c r="I37" i="2"/>
  <c r="I28" i="2"/>
  <c r="I27" i="2" s="1"/>
  <c r="I26" i="2" s="1"/>
  <c r="I30" i="2"/>
  <c r="N25" i="2"/>
  <c r="J25" i="2"/>
  <c r="K25" i="2"/>
  <c r="L25" i="2"/>
  <c r="C16" i="3"/>
  <c r="C17" i="3"/>
  <c r="C27" i="3" s="1"/>
  <c r="C20" i="3"/>
  <c r="C14" i="3"/>
  <c r="G14" i="3"/>
  <c r="H14" i="3"/>
  <c r="I14" i="3"/>
  <c r="J14" i="3"/>
  <c r="G16" i="3"/>
  <c r="H16" i="3"/>
  <c r="I16" i="3"/>
  <c r="J16" i="3"/>
  <c r="F14" i="3"/>
  <c r="F16" i="3"/>
  <c r="AP21" i="1" l="1"/>
  <c r="C18" i="3"/>
  <c r="Q107" i="1" l="1"/>
  <c r="Q103" i="1"/>
  <c r="Q96" i="1"/>
  <c r="Q92" i="1"/>
  <c r="Q97" i="1" s="1"/>
  <c r="Q115" i="1"/>
  <c r="S115" i="1"/>
  <c r="S96" i="1"/>
  <c r="S107" i="1"/>
  <c r="S103" i="1"/>
  <c r="S92" i="1"/>
  <c r="S97" i="1" s="1"/>
  <c r="AI68" i="1"/>
  <c r="K16" i="3" s="1"/>
  <c r="AI51" i="1"/>
  <c r="K13" i="3" s="1"/>
  <c r="AJ51" i="1"/>
  <c r="L13" i="3" s="1"/>
  <c r="AK51" i="1"/>
  <c r="M13" i="3" s="1"/>
  <c r="AL51" i="1"/>
  <c r="N13" i="3" s="1"/>
  <c r="AM51" i="1"/>
  <c r="O13" i="3" s="1"/>
  <c r="AN51" i="1"/>
  <c r="P13" i="3" s="1"/>
  <c r="AO51" i="1"/>
  <c r="Q13" i="3" s="1"/>
  <c r="AP51" i="1"/>
  <c r="R13" i="3" s="1"/>
  <c r="AQ51" i="1"/>
  <c r="S13" i="3" s="1"/>
  <c r="AR51" i="1"/>
  <c r="T13" i="3" s="1"/>
  <c r="AS51" i="1"/>
  <c r="U13" i="3" s="1"/>
  <c r="AT51" i="1"/>
  <c r="V13" i="3" s="1"/>
  <c r="AU51" i="1"/>
  <c r="W13" i="3" s="1"/>
  <c r="AV51" i="1"/>
  <c r="X13" i="3" s="1"/>
  <c r="T51" i="1"/>
  <c r="U51" i="1"/>
  <c r="F13" i="3" s="1"/>
  <c r="V51" i="1"/>
  <c r="G13" i="3" s="1"/>
  <c r="W51" i="1"/>
  <c r="H13" i="3" s="1"/>
  <c r="X51" i="1"/>
  <c r="I13" i="3" s="1"/>
  <c r="Y51" i="1"/>
  <c r="J13" i="3" s="1"/>
  <c r="AI59" i="1"/>
  <c r="K14" i="3" s="1"/>
  <c r="AJ59" i="1"/>
  <c r="L14" i="3" s="1"/>
  <c r="AK59" i="1"/>
  <c r="M14" i="3" s="1"/>
  <c r="AL59" i="1"/>
  <c r="N14" i="3" s="1"/>
  <c r="AM59" i="1"/>
  <c r="O14" i="3" s="1"/>
  <c r="AN59" i="1"/>
  <c r="P14" i="3" s="1"/>
  <c r="AO59" i="1"/>
  <c r="Q14" i="3" s="1"/>
  <c r="AP59" i="1"/>
  <c r="R14" i="3" s="1"/>
  <c r="AQ59" i="1"/>
  <c r="S14" i="3" s="1"/>
  <c r="AR59" i="1"/>
  <c r="T14" i="3" s="1"/>
  <c r="AS59" i="1"/>
  <c r="U14" i="3" s="1"/>
  <c r="AT59" i="1"/>
  <c r="V14" i="3" s="1"/>
  <c r="AU59" i="1"/>
  <c r="W14" i="3" s="1"/>
  <c r="AV59" i="1"/>
  <c r="X14" i="3" s="1"/>
  <c r="AJ68" i="1"/>
  <c r="L16" i="3" s="1"/>
  <c r="AK68" i="1"/>
  <c r="M16" i="3" s="1"/>
  <c r="AL68" i="1"/>
  <c r="N16" i="3" s="1"/>
  <c r="AM68" i="1"/>
  <c r="O16" i="3" s="1"/>
  <c r="AN68" i="1"/>
  <c r="P16" i="3" s="1"/>
  <c r="AO68" i="1"/>
  <c r="Q16" i="3" s="1"/>
  <c r="AP68" i="1"/>
  <c r="R16" i="3" s="1"/>
  <c r="AQ68" i="1"/>
  <c r="S16" i="3" s="1"/>
  <c r="AR68" i="1"/>
  <c r="T16" i="3" s="1"/>
  <c r="AS68" i="1"/>
  <c r="U16" i="3" s="1"/>
  <c r="AT68" i="1"/>
  <c r="V16" i="3" s="1"/>
  <c r="AU68" i="1"/>
  <c r="W16" i="3" s="1"/>
  <c r="AV68" i="1"/>
  <c r="X16" i="3" s="1"/>
  <c r="AG66" i="1"/>
  <c r="AH66" i="1"/>
  <c r="AG67" i="1"/>
  <c r="AH67" i="1"/>
  <c r="AH65" i="1"/>
  <c r="AG65" i="1"/>
  <c r="AG54" i="1"/>
  <c r="AH54" i="1"/>
  <c r="AG55" i="1"/>
  <c r="AH55" i="1"/>
  <c r="AG56" i="1"/>
  <c r="AH56" i="1"/>
  <c r="AG57" i="1"/>
  <c r="AH57" i="1"/>
  <c r="AG58" i="1"/>
  <c r="AH58" i="1"/>
  <c r="AH53" i="1"/>
  <c r="AG53" i="1"/>
  <c r="AG47" i="1"/>
  <c r="AH47" i="1"/>
  <c r="AG48" i="1"/>
  <c r="AH48" i="1"/>
  <c r="AG49" i="1"/>
  <c r="AH49" i="1"/>
  <c r="AG50" i="1"/>
  <c r="AH50" i="1"/>
  <c r="AH46" i="1"/>
  <c r="AG46" i="1"/>
  <c r="T38" i="1"/>
  <c r="T42" i="1" s="1"/>
  <c r="AK8" i="1"/>
  <c r="AJ8" i="1"/>
  <c r="AI8" i="1"/>
  <c r="V11" i="1"/>
  <c r="W11" i="1"/>
  <c r="X11" i="1"/>
  <c r="Y11" i="1"/>
  <c r="U11" i="1"/>
  <c r="D51" i="2"/>
  <c r="D53" i="2" s="1"/>
  <c r="D43" i="2"/>
  <c r="D45" i="2" s="1"/>
  <c r="AH7" i="1" s="1"/>
  <c r="AI7" i="1" s="1"/>
  <c r="AJ7" i="1" s="1"/>
  <c r="AK7" i="1" s="1"/>
  <c r="AL7" i="1" s="1"/>
  <c r="AM7" i="1" s="1"/>
  <c r="S108" i="1" l="1"/>
  <c r="S117" i="1" s="1"/>
  <c r="S118" i="1" s="1"/>
  <c r="Q108" i="1"/>
  <c r="Q117" i="1" s="1"/>
  <c r="Q118" i="1" s="1"/>
  <c r="U7" i="1"/>
  <c r="U9" i="1" s="1"/>
  <c r="U12" i="1" s="1"/>
  <c r="U38" i="1" s="1"/>
  <c r="F11" i="3" s="1"/>
  <c r="AH51" i="1"/>
  <c r="AN7" i="1"/>
  <c r="AO7" i="1" s="1"/>
  <c r="AP7" i="1" s="1"/>
  <c r="AQ7" i="1" s="1"/>
  <c r="AR7" i="1" s="1"/>
  <c r="AS7" i="1" s="1"/>
  <c r="AT7" i="1" s="1"/>
  <c r="AU7" i="1" s="1"/>
  <c r="AV7" i="1" s="1"/>
  <c r="AM9" i="1"/>
  <c r="AM38" i="1" s="1"/>
  <c r="AH68" i="1"/>
  <c r="AH59" i="1"/>
  <c r="AG51" i="1"/>
  <c r="AG59" i="1"/>
  <c r="AG68" i="1"/>
  <c r="Y7" i="1"/>
  <c r="Y9" i="1" s="1"/>
  <c r="Y12" i="1" s="1"/>
  <c r="Y38" i="1" s="1"/>
  <c r="AK9" i="1"/>
  <c r="AK38" i="1" s="1"/>
  <c r="M11" i="3" s="1"/>
  <c r="V7" i="1"/>
  <c r="V9" i="1" s="1"/>
  <c r="V12" i="1" s="1"/>
  <c r="V38" i="1" s="1"/>
  <c r="AI9" i="1"/>
  <c r="AI38" i="1" s="1"/>
  <c r="K11" i="3" s="1"/>
  <c r="AJ9" i="1"/>
  <c r="AJ38" i="1" s="1"/>
  <c r="L11" i="3" s="1"/>
  <c r="AL9" i="1"/>
  <c r="AL38" i="1" s="1"/>
  <c r="N11" i="3" s="1"/>
  <c r="W7" i="1"/>
  <c r="W9" i="1" s="1"/>
  <c r="W12" i="1" s="1"/>
  <c r="W38" i="1" s="1"/>
  <c r="H11" i="3" s="1"/>
  <c r="X7" i="1"/>
  <c r="X9" i="1" s="1"/>
  <c r="X12" i="1" s="1"/>
  <c r="X38" i="1" s="1"/>
  <c r="I11" i="3" s="1"/>
  <c r="D24" i="2"/>
  <c r="AD38" i="1"/>
  <c r="AD42" i="1" s="1"/>
  <c r="AE38" i="1"/>
  <c r="AE42" i="1" s="1"/>
  <c r="AF38" i="1"/>
  <c r="AF42" i="1" s="1"/>
  <c r="AC38" i="1"/>
  <c r="AC42" i="1" s="1"/>
  <c r="K38" i="1"/>
  <c r="K42" i="1" s="1"/>
  <c r="L38" i="1"/>
  <c r="L42" i="1" s="1"/>
  <c r="M38" i="1"/>
  <c r="M42" i="1" s="1"/>
  <c r="N38" i="1"/>
  <c r="N42" i="1" s="1"/>
  <c r="O38" i="1"/>
  <c r="O42" i="1" s="1"/>
  <c r="P38" i="1"/>
  <c r="P42" i="1" s="1"/>
  <c r="Q38" i="1"/>
  <c r="Q42" i="1" s="1"/>
  <c r="R38" i="1"/>
  <c r="S38" i="1"/>
  <c r="S42" i="1" s="1"/>
  <c r="J38" i="1"/>
  <c r="J42" i="1" s="1"/>
  <c r="K68" i="1"/>
  <c r="L68" i="1"/>
  <c r="N68" i="1"/>
  <c r="O68" i="1"/>
  <c r="P68" i="1"/>
  <c r="R68" i="1"/>
  <c r="S68" i="1"/>
  <c r="J68" i="1"/>
  <c r="M78" i="1"/>
  <c r="M74" i="1"/>
  <c r="M67" i="1"/>
  <c r="M65" i="1"/>
  <c r="M53" i="1"/>
  <c r="M54" i="1"/>
  <c r="M55" i="1"/>
  <c r="M56" i="1"/>
  <c r="M57" i="1"/>
  <c r="M58" i="1"/>
  <c r="M46" i="1"/>
  <c r="M47" i="1"/>
  <c r="M48" i="1"/>
  <c r="M49" i="1"/>
  <c r="M50" i="1"/>
  <c r="Q74" i="1"/>
  <c r="Q66" i="1"/>
  <c r="Q67" i="1"/>
  <c r="Q65" i="1"/>
  <c r="Q53" i="1"/>
  <c r="Q54" i="1"/>
  <c r="Q55" i="1"/>
  <c r="Q56" i="1"/>
  <c r="Q57" i="1"/>
  <c r="Q58" i="1"/>
  <c r="Q46" i="1"/>
  <c r="Q47" i="1"/>
  <c r="Q48" i="1"/>
  <c r="Q49" i="1"/>
  <c r="Q50" i="1"/>
  <c r="Q78" i="1"/>
  <c r="J59" i="1"/>
  <c r="J51" i="1"/>
  <c r="K59" i="1"/>
  <c r="K51" i="1"/>
  <c r="L59" i="1"/>
  <c r="L51" i="1"/>
  <c r="N59" i="1"/>
  <c r="N51" i="1"/>
  <c r="P59" i="1"/>
  <c r="R59" i="1"/>
  <c r="O59" i="1"/>
  <c r="S59" i="1"/>
  <c r="P51" i="1"/>
  <c r="R51" i="1"/>
  <c r="S51" i="1"/>
  <c r="O51" i="1"/>
  <c r="AD59" i="1"/>
  <c r="AE59" i="1"/>
  <c r="AF59" i="1"/>
  <c r="AC59" i="1"/>
  <c r="AD51" i="1"/>
  <c r="AE51" i="1"/>
  <c r="AF51" i="1"/>
  <c r="AC51" i="1"/>
  <c r="AD68" i="1"/>
  <c r="AE68" i="1"/>
  <c r="AF68" i="1"/>
  <c r="AC68" i="1"/>
  <c r="G11" i="3" l="1"/>
  <c r="AH38" i="1"/>
  <c r="Y40" i="1"/>
  <c r="J11" i="3"/>
  <c r="AM40" i="1"/>
  <c r="AM42" i="1" s="1"/>
  <c r="O12" i="3" s="1"/>
  <c r="O11" i="3"/>
  <c r="AV9" i="1"/>
  <c r="AV38" i="1" s="1"/>
  <c r="AO9" i="1"/>
  <c r="AO38" i="1" s="1"/>
  <c r="AU9" i="1"/>
  <c r="AU38" i="1" s="1"/>
  <c r="AN9" i="1"/>
  <c r="AN38" i="1" s="1"/>
  <c r="AT9" i="1"/>
  <c r="AT38" i="1" s="1"/>
  <c r="AP9" i="1"/>
  <c r="AP38" i="1" s="1"/>
  <c r="AR9" i="1"/>
  <c r="AR38" i="1" s="1"/>
  <c r="AQ9" i="1"/>
  <c r="AQ38" i="1" s="1"/>
  <c r="AS9" i="1"/>
  <c r="AS38" i="1" s="1"/>
  <c r="AL40" i="1"/>
  <c r="AL42" i="1" s="1"/>
  <c r="N12" i="3" s="1"/>
  <c r="AJ40" i="1"/>
  <c r="AJ42" i="1" s="1"/>
  <c r="L12" i="3" s="1"/>
  <c r="AK40" i="1"/>
  <c r="AK42" i="1" s="1"/>
  <c r="M12" i="3" s="1"/>
  <c r="Y42" i="1"/>
  <c r="J12" i="3" s="1"/>
  <c r="AG61" i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V40" i="1"/>
  <c r="V42" i="1" s="1"/>
  <c r="G12" i="3" s="1"/>
  <c r="X40" i="1"/>
  <c r="X42" i="1" s="1"/>
  <c r="I12" i="3" s="1"/>
  <c r="W40" i="1"/>
  <c r="W42" i="1" s="1"/>
  <c r="H12" i="3" s="1"/>
  <c r="R42" i="1"/>
  <c r="AG38" i="1"/>
  <c r="U40" i="1"/>
  <c r="AG40" i="1" s="1"/>
  <c r="L61" i="1"/>
  <c r="L63" i="1" s="1"/>
  <c r="L70" i="1" s="1"/>
  <c r="L75" i="1" s="1"/>
  <c r="L76" i="1" s="1"/>
  <c r="AC61" i="1"/>
  <c r="AC63" i="1" s="1"/>
  <c r="AC70" i="1" s="1"/>
  <c r="AC75" i="1" s="1"/>
  <c r="AC76" i="1" s="1"/>
  <c r="N61" i="1"/>
  <c r="N63" i="1" s="1"/>
  <c r="N70" i="1" s="1"/>
  <c r="N75" i="1" s="1"/>
  <c r="N76" i="1" s="1"/>
  <c r="O61" i="1"/>
  <c r="O63" i="1" s="1"/>
  <c r="O70" i="1" s="1"/>
  <c r="O75" i="1" s="1"/>
  <c r="O76" i="1" s="1"/>
  <c r="AF61" i="1"/>
  <c r="AF63" i="1" s="1"/>
  <c r="AF70" i="1" s="1"/>
  <c r="AF75" i="1" s="1"/>
  <c r="AF76" i="1" s="1"/>
  <c r="AE61" i="1"/>
  <c r="AE63" i="1" s="1"/>
  <c r="AE70" i="1" s="1"/>
  <c r="AE75" i="1" s="1"/>
  <c r="AE76" i="1" s="1"/>
  <c r="R61" i="1"/>
  <c r="AD61" i="1"/>
  <c r="AD63" i="1" s="1"/>
  <c r="AD70" i="1" s="1"/>
  <c r="AD75" i="1" s="1"/>
  <c r="AD76" i="1" s="1"/>
  <c r="P61" i="1"/>
  <c r="P63" i="1" s="1"/>
  <c r="P70" i="1" s="1"/>
  <c r="P75" i="1" s="1"/>
  <c r="P76" i="1" s="1"/>
  <c r="S61" i="1"/>
  <c r="K61" i="1"/>
  <c r="K63" i="1" s="1"/>
  <c r="K70" i="1" s="1"/>
  <c r="K75" i="1" s="1"/>
  <c r="K76" i="1" s="1"/>
  <c r="J61" i="1"/>
  <c r="J63" i="1" s="1"/>
  <c r="J70" i="1" s="1"/>
  <c r="J75" i="1" s="1"/>
  <c r="J76" i="1" s="1"/>
  <c r="M68" i="1"/>
  <c r="Q68" i="1"/>
  <c r="M51" i="1"/>
  <c r="Q51" i="1"/>
  <c r="M59" i="1"/>
  <c r="Q59" i="1"/>
  <c r="AN40" i="1" l="1"/>
  <c r="AN42" i="1" s="1"/>
  <c r="P12" i="3" s="1"/>
  <c r="P11" i="3"/>
  <c r="AO40" i="1"/>
  <c r="AO42" i="1" s="1"/>
  <c r="Q12" i="3" s="1"/>
  <c r="Q11" i="3"/>
  <c r="AU40" i="1"/>
  <c r="AU42" i="1" s="1"/>
  <c r="W12" i="3" s="1"/>
  <c r="W11" i="3"/>
  <c r="AV40" i="1"/>
  <c r="AV42" i="1" s="1"/>
  <c r="X12" i="3" s="1"/>
  <c r="X11" i="3"/>
  <c r="AQ40" i="1"/>
  <c r="AQ42" i="1" s="1"/>
  <c r="S12" i="3" s="1"/>
  <c r="S11" i="3"/>
  <c r="AS40" i="1"/>
  <c r="AS42" i="1" s="1"/>
  <c r="U12" i="3" s="1"/>
  <c r="U11" i="3"/>
  <c r="AR40" i="1"/>
  <c r="AR42" i="1" s="1"/>
  <c r="T12" i="3" s="1"/>
  <c r="T11" i="3"/>
  <c r="AP40" i="1"/>
  <c r="AP42" i="1" s="1"/>
  <c r="R12" i="3" s="1"/>
  <c r="R11" i="3"/>
  <c r="AT40" i="1"/>
  <c r="AT42" i="1" s="1"/>
  <c r="V12" i="3" s="1"/>
  <c r="V11" i="3"/>
  <c r="AJ63" i="1"/>
  <c r="S63" i="1"/>
  <c r="S70" i="1" s="1"/>
  <c r="S75" i="1" s="1"/>
  <c r="S76" i="1" s="1"/>
  <c r="T61" i="1"/>
  <c r="AM63" i="1"/>
  <c r="AK63" i="1"/>
  <c r="AL63" i="1"/>
  <c r="R63" i="1"/>
  <c r="R70" i="1" s="1"/>
  <c r="R75" i="1" s="1"/>
  <c r="R76" i="1" s="1"/>
  <c r="U42" i="1"/>
  <c r="F12" i="3" s="1"/>
  <c r="AH40" i="1"/>
  <c r="AH42" i="1" s="1"/>
  <c r="AG42" i="1"/>
  <c r="Q61" i="1"/>
  <c r="Q63" i="1" s="1"/>
  <c r="Q70" i="1" s="1"/>
  <c r="Q75" i="1" s="1"/>
  <c r="Q76" i="1" s="1"/>
  <c r="M61" i="1"/>
  <c r="M63" i="1" s="1"/>
  <c r="M70" i="1" s="1"/>
  <c r="M75" i="1" s="1"/>
  <c r="M76" i="1" s="1"/>
  <c r="AN63" i="1" l="1"/>
  <c r="AN70" i="1" s="1"/>
  <c r="AM70" i="1"/>
  <c r="O15" i="3"/>
  <c r="AJ70" i="1"/>
  <c r="L15" i="3"/>
  <c r="AL70" i="1"/>
  <c r="N15" i="3"/>
  <c r="AP63" i="1"/>
  <c r="AO63" i="1"/>
  <c r="AK70" i="1"/>
  <c r="M15" i="3"/>
  <c r="U61" i="1"/>
  <c r="V61" i="1" s="1"/>
  <c r="T63" i="1"/>
  <c r="T70" i="1" s="1"/>
  <c r="T75" i="1" s="1"/>
  <c r="AQ63" i="1"/>
  <c r="AH41" i="1"/>
  <c r="AH63" i="1"/>
  <c r="AH70" i="1" s="1"/>
  <c r="AH75" i="1" s="1"/>
  <c r="AG41" i="1"/>
  <c r="AG63" i="1"/>
  <c r="AG70" i="1" s="1"/>
  <c r="AG75" i="1" s="1"/>
  <c r="AI40" i="1"/>
  <c r="P15" i="3" l="1"/>
  <c r="AJ75" i="1"/>
  <c r="L18" i="3" s="1"/>
  <c r="L17" i="3"/>
  <c r="O17" i="3"/>
  <c r="AM75" i="1"/>
  <c r="O18" i="3" s="1"/>
  <c r="AQ70" i="1"/>
  <c r="S15" i="3"/>
  <c r="N17" i="3"/>
  <c r="AL75" i="1"/>
  <c r="N18" i="3" s="1"/>
  <c r="M17" i="3"/>
  <c r="AK75" i="1"/>
  <c r="M18" i="3" s="1"/>
  <c r="AO70" i="1"/>
  <c r="Q15" i="3"/>
  <c r="AP70" i="1"/>
  <c r="R15" i="3"/>
  <c r="AN75" i="1"/>
  <c r="P18" i="3" s="1"/>
  <c r="P17" i="3"/>
  <c r="W61" i="1"/>
  <c r="V63" i="1"/>
  <c r="U63" i="1"/>
  <c r="AR63" i="1"/>
  <c r="AI42" i="1"/>
  <c r="AI63" i="1" l="1"/>
  <c r="K12" i="3"/>
  <c r="AP75" i="1"/>
  <c r="R18" i="3" s="1"/>
  <c r="R17" i="3"/>
  <c r="AQ75" i="1"/>
  <c r="S18" i="3" s="1"/>
  <c r="S17" i="3"/>
  <c r="AR70" i="1"/>
  <c r="T15" i="3"/>
  <c r="U70" i="1"/>
  <c r="F15" i="3"/>
  <c r="AO75" i="1"/>
  <c r="Q18" i="3" s="1"/>
  <c r="Q17" i="3"/>
  <c r="V70" i="1"/>
  <c r="G15" i="3"/>
  <c r="X61" i="1"/>
  <c r="W63" i="1"/>
  <c r="AS63" i="1"/>
  <c r="AR75" i="1" l="1"/>
  <c r="T18" i="3" s="1"/>
  <c r="T17" i="3"/>
  <c r="W70" i="1"/>
  <c r="H15" i="3"/>
  <c r="V75" i="1"/>
  <c r="G18" i="3" s="1"/>
  <c r="G17" i="3"/>
  <c r="AS70" i="1"/>
  <c r="U15" i="3"/>
  <c r="U75" i="1"/>
  <c r="F18" i="3" s="1"/>
  <c r="F17" i="3"/>
  <c r="AI70" i="1"/>
  <c r="K15" i="3"/>
  <c r="Y61" i="1"/>
  <c r="Y63" i="1" s="1"/>
  <c r="X63" i="1"/>
  <c r="AT63" i="1"/>
  <c r="AT70" i="1" l="1"/>
  <c r="V15" i="3"/>
  <c r="AI75" i="1"/>
  <c r="K18" i="3" s="1"/>
  <c r="K17" i="3"/>
  <c r="W75" i="1"/>
  <c r="H18" i="3" s="1"/>
  <c r="H17" i="3"/>
  <c r="U17" i="3"/>
  <c r="AS75" i="1"/>
  <c r="U18" i="3" s="1"/>
  <c r="X70" i="1"/>
  <c r="I15" i="3"/>
  <c r="Y70" i="1"/>
  <c r="J15" i="3"/>
  <c r="AV63" i="1"/>
  <c r="AU63" i="1"/>
  <c r="AU70" i="1" l="1"/>
  <c r="W15" i="3"/>
  <c r="Y75" i="1"/>
  <c r="J18" i="3" s="1"/>
  <c r="J17" i="3"/>
  <c r="X75" i="1"/>
  <c r="I18" i="3" s="1"/>
  <c r="I17" i="3"/>
  <c r="V17" i="3"/>
  <c r="AT75" i="1"/>
  <c r="V18" i="3" s="1"/>
  <c r="AV70" i="1"/>
  <c r="X15" i="3"/>
  <c r="W17" i="3" l="1"/>
  <c r="AU75" i="1"/>
  <c r="W18" i="3" s="1"/>
  <c r="AV75" i="1"/>
  <c r="X18" i="3" s="1"/>
  <c r="X17" i="3"/>
  <c r="C26" i="3" l="1"/>
  <c r="C28" i="3" s="1"/>
  <c r="C29" i="3" s="1"/>
  <c r="I25" i="2" l="1"/>
  <c r="I33" i="2"/>
</calcChain>
</file>

<file path=xl/sharedStrings.xml><?xml version="1.0" encoding="utf-8"?>
<sst xmlns="http://schemas.openxmlformats.org/spreadsheetml/2006/main" count="294" uniqueCount="189">
  <si>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</si>
  <si>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</si>
  <si>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</si>
  <si>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</si>
  <si>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</si>
  <si>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</si>
  <si>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</si>
  <si>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Clinical &amp; Preclinical</t>
  </si>
  <si>
    <t xml:space="preserve">Drug Manufacturing &amp; Formulation </t>
  </si>
  <si>
    <t>Personnel Expenses</t>
  </si>
  <si>
    <t>Stock-based Compensation</t>
  </si>
  <si>
    <t>Regulatory &amp; Other</t>
  </si>
  <si>
    <t>Check</t>
  </si>
  <si>
    <t>Change in fair value of warrant liabilities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</si>
  <si>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</si>
  <si>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</si>
  <si>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</si>
  <si>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</si>
  <si>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</si>
  <si>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</si>
  <si>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</si>
  <si>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</si>
  <si>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</si>
  <si>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</si>
  <si>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</si>
  <si>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</si>
  <si>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</si>
  <si>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</si>
  <si>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</si>
  <si>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</si>
  <si>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</si>
  <si>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</si>
  <si>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</si>
  <si>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</si>
  <si>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</si>
  <si>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</si>
  <si>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</si>
  <si>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</si>
  <si>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APLT</t>
  </si>
  <si>
    <t>HC Net Income</t>
  </si>
  <si>
    <t>EBT</t>
  </si>
  <si>
    <t>Total Operating Expenses</t>
  </si>
  <si>
    <t>Operating Expenses</t>
  </si>
  <si>
    <t>Total Revenues</t>
  </si>
  <si>
    <t>EBIT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</si>
  <si>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</si>
  <si>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</si>
  <si>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</si>
  <si>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</si>
  <si>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</si>
  <si>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</si>
  <si>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</si>
  <si>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</si>
  <si>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</si>
  <si>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</si>
  <si>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</si>
  <si>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</si>
  <si>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</si>
  <si>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</si>
  <si>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</si>
  <si>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</si>
  <si>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</si>
  <si>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</si>
  <si>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</si>
  <si>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</si>
  <si>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</si>
  <si>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</si>
  <si>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</si>
  <si>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</si>
  <si>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</si>
  <si>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</si>
  <si>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</si>
  <si>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</si>
  <si>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</si>
  <si>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</si>
  <si>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</si>
  <si>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</si>
  <si>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</si>
  <si>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</si>
  <si>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</si>
  <si>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</si>
  <si>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</si>
  <si>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</si>
  <si>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</si>
  <si>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</si>
  <si>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</si>
  <si>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</si>
  <si>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</si>
  <si>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</si>
  <si>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</si>
  <si>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</si>
  <si>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</si>
  <si>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</si>
  <si>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</si>
  <si>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</si>
  <si>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</si>
  <si>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</si>
  <si>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</si>
  <si>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</si>
  <si>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</si>
  <si>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</si>
  <si>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</si>
  <si>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</si>
  <si>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</si>
  <si>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</si>
  <si>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</si>
  <si>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</si>
  <si>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</si>
  <si>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</si>
  <si>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</si>
  <si>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</si>
  <si>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</si>
  <si>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</si>
  <si>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</si>
  <si>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</si>
  <si>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</si>
  <si>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</si>
  <si>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</si>
  <si>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</si>
  <si>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</si>
  <si>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</si>
  <si>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</si>
  <si>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</si>
  <si>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</si>
  <si>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</si>
  <si>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</si>
  <si>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</si>
  <si>
    <t>Clinical Benefit, Safety, PK and PD Study of AT-007 in Pediatric Subjects With Classic Galactosemia</t>
  </si>
  <si>
    <t>Safety and Pharmacokinetics of AT-007 in Healthy Subjects and in Adult Subjects With Classic Galactosemia</t>
  </si>
  <si>
    <t xml:space="preserve">Phase </t>
  </si>
  <si>
    <t>1/2</t>
  </si>
  <si>
    <t>Status</t>
  </si>
  <si>
    <t>Results Posted</t>
  </si>
  <si>
    <t>3</t>
  </si>
  <si>
    <t>Completed; Results Pending</t>
  </si>
  <si>
    <t>Total Current Assets</t>
  </si>
  <si>
    <t>Operating lease right-of-use asset</t>
  </si>
  <si>
    <t>Security deposits &amp; leasehold improvements</t>
  </si>
  <si>
    <t>Total Assets</t>
  </si>
  <si>
    <t>Current portion of operating lease liabilities</t>
  </si>
  <si>
    <t>Accounts payable</t>
  </si>
  <si>
    <t>Accrued expenses &amp; other current liabilities</t>
  </si>
  <si>
    <t>Warrant liability</t>
  </si>
  <si>
    <t>Total Current Liabilities</t>
  </si>
  <si>
    <t>Noncurrent portion of operating lease liabilities</t>
  </si>
  <si>
    <t>Clinical holdback - long-term portion</t>
  </si>
  <si>
    <t>Total noncurrent liabilities</t>
  </si>
  <si>
    <t>Total Liabilities</t>
  </si>
  <si>
    <t>Preferred Stock</t>
  </si>
  <si>
    <t xml:space="preserve">Common Stock </t>
  </si>
  <si>
    <t>Accumulated other comprehensive  gain</t>
  </si>
  <si>
    <t>Accumulated deficit</t>
  </si>
  <si>
    <t>Total stockholders' equity</t>
  </si>
  <si>
    <t>Total liabilties &amp; stockholders' equity</t>
  </si>
  <si>
    <t>Total noncurrent assets</t>
  </si>
  <si>
    <t>Additional paid-in-capital</t>
  </si>
  <si>
    <t>P&amp;L GAAP</t>
  </si>
  <si>
    <t>Total Gross Income</t>
  </si>
  <si>
    <t>Valuation</t>
  </si>
  <si>
    <t>Last Share Price</t>
  </si>
  <si>
    <t>Basic Shares</t>
  </si>
  <si>
    <t>MC</t>
  </si>
  <si>
    <t>NTM Diluted Shares</t>
  </si>
  <si>
    <t>Debt</t>
  </si>
  <si>
    <t>Cash &amp; Equivalents</t>
  </si>
  <si>
    <t>Enterprise Value</t>
  </si>
  <si>
    <t>Discount</t>
  </si>
  <si>
    <t>^TNX</t>
  </si>
  <si>
    <t>ERP</t>
  </si>
  <si>
    <t>Terminal Growth Rate</t>
  </si>
  <si>
    <t>Enterprise Value ($m)</t>
  </si>
  <si>
    <t>Cash ($m)</t>
  </si>
  <si>
    <t>Equity Value ($m)</t>
  </si>
  <si>
    <t>Weighted-average common stock outstanding (m)</t>
  </si>
  <si>
    <t>Sensitivity Analysis</t>
  </si>
  <si>
    <t>rNPV Target</t>
  </si>
  <si>
    <t>Market Share Target</t>
  </si>
  <si>
    <t>Average Sale Price</t>
  </si>
  <si>
    <t>Patent Growth Rate</t>
  </si>
  <si>
    <t>Govorestat (AT-007)</t>
  </si>
  <si>
    <t>??</t>
  </si>
  <si>
    <t>Safety and Efficacy of AT-001 in Patients With Diabetic Cardiomyopathy</t>
  </si>
  <si>
    <t>Recruiting</t>
  </si>
  <si>
    <t>4Q2026E</t>
  </si>
  <si>
    <t>3Q2031E</t>
  </si>
  <si>
    <t xml:space="preserve">Diabetic Cardiomyopathy </t>
  </si>
  <si>
    <t>Completion</t>
  </si>
  <si>
    <t>4Q2025E</t>
  </si>
  <si>
    <t>1Q2027E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</si>
</sst>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6" fontId="0" fillId="3" borderId="0" xfId="0" applyNumberFormat="1" applyFill="1"/>
    <xf numFmtId="0" fontId="6" fillId="0" borderId="0" xfId="0" applyFont="1"/>
    <xf numFmtId="0" fontId="2" fillId="3" borderId="0" xfId="0" applyFont="1" applyFill="1"/>
    <xf numFmtId="0" fontId="6" fillId="3" borderId="0" xfId="0" applyFont="1" applyFill="1"/>
    <xf numFmtId="16" fontId="0" fillId="3" borderId="0" xfId="0" quotePrefix="1" applyNumberFormat="1" applyFill="1"/>
    <xf numFmtId="9" fontId="7" fillId="3" borderId="0" xfId="3" applyNumberFormat="1" applyFill="1"/>
    <xf numFmtId="0" fontId="7" fillId="0" borderId="0" xfId="3"/>
    <xf numFmtId="0" fontId="0" fillId="3" borderId="0" xfId="0" quotePrefix="1" applyFill="1"/>
    <xf numFmtId="0" fontId="7" fillId="3" borderId="0" xfId="3" applyFill="1"/>
    <xf numFmtId="0" fontId="8" fillId="2" borderId="0" xfId="0" applyFont="1" applyFill="1"/>
    <xf numFmtId="1" fontId="2" fillId="0" borderId="0" xfId="0" applyNumberFormat="1" applyFont="1"/>
    <xf numFmtId="2" fontId="0" fillId="0" borderId="0" xfId="0" applyNumberFormat="1"/>
    <xf numFmtId="0" fontId="9" fillId="3" borderId="1" xfId="0" applyFont="1" applyFill="1" applyBorder="1"/>
    <xf numFmtId="0" fontId="9" fillId="3" borderId="0" xfId="0" applyFont="1" applyFill="1"/>
    <xf numFmtId="0" fontId="10" fillId="3" borderId="0" xfId="0" applyFont="1" applyFill="1"/>
    <xf numFmtId="0" fontId="10" fillId="3" borderId="1" xfId="0" applyFont="1" applyFill="1" applyBorder="1"/>
    <xf numFmtId="8" fontId="10" fillId="3" borderId="0" xfId="0" applyNumberFormat="1" applyFont="1" applyFill="1"/>
    <xf numFmtId="164" fontId="10" fillId="3" borderId="0" xfId="0" applyNumberFormat="1" applyFont="1" applyFill="1"/>
    <xf numFmtId="1" fontId="10" fillId="3" borderId="0" xfId="0" applyNumberFormat="1" applyFont="1" applyFill="1"/>
    <xf numFmtId="9" fontId="10" fillId="3" borderId="0" xfId="0" applyNumberFormat="1" applyFont="1" applyFill="1"/>
    <xf numFmtId="0" fontId="10" fillId="3" borderId="0" xfId="0" quotePrefix="1" applyFont="1" applyFill="1"/>
    <xf numFmtId="0" fontId="9" fillId="2" borderId="0" xfId="0" applyFont="1" applyFill="1"/>
    <xf numFmtId="44" fontId="9" fillId="3" borderId="0" xfId="2" applyFont="1" applyFill="1" applyBorder="1"/>
    <xf numFmtId="1" fontId="0" fillId="3" borderId="3" xfId="0" applyNumberFormat="1" applyFill="1" applyBorder="1"/>
    <xf numFmtId="1" fontId="0" fillId="3" borderId="4" xfId="0" applyNumberFormat="1" applyFill="1" applyBorder="1"/>
    <xf numFmtId="1" fontId="2" fillId="3" borderId="0" xfId="0" applyNumberFormat="1" applyFont="1" applyFill="1"/>
    <xf numFmtId="1" fontId="0" fillId="3" borderId="0" xfId="0" applyNumberFormat="1" applyFill="1"/>
    <xf numFmtId="1" fontId="2" fillId="3" borderId="3" xfId="0" applyNumberFormat="1" applyFont="1" applyFill="1" applyBorder="1"/>
    <xf numFmtId="1" fontId="2" fillId="3" borderId="4" xfId="0" applyNumberFormat="1" applyFont="1" applyFill="1" applyBorder="1"/>
    <xf numFmtId="44" fontId="0" fillId="3" borderId="0" xfId="0" applyNumberFormat="1" applyFill="1"/>
    <xf numFmtId="165" fontId="0" fillId="3" borderId="0" xfId="0" applyNumberFormat="1" applyFill="1"/>
    <xf numFmtId="2" fontId="0" fillId="3" borderId="0" xfId="0" applyNumberFormat="1" applyFill="1"/>
    <xf numFmtId="44" fontId="2" fillId="3" borderId="0" xfId="0" applyNumberFormat="1" applyFont="1" applyFill="1"/>
    <xf numFmtId="6" fontId="2" fillId="3" borderId="1" xfId="0" applyNumberFormat="1" applyFont="1" applyFill="1" applyBorder="1"/>
    <xf numFmtId="2" fontId="0" fillId="3" borderId="3" xfId="0" applyNumberFormat="1" applyFill="1" applyBorder="1"/>
    <xf numFmtId="9" fontId="2" fillId="3" borderId="5" xfId="0" applyNumberFormat="1" applyFont="1" applyFill="1" applyBorder="1"/>
    <xf numFmtId="2" fontId="0" fillId="3" borderId="6" xfId="0" applyNumberFormat="1" applyFill="1" applyBorder="1"/>
    <xf numFmtId="2" fontId="2" fillId="3" borderId="2" xfId="0" applyNumberFormat="1" applyFont="1" applyFill="1" applyBorder="1"/>
    <xf numFmtId="9" fontId="1" fillId="3" borderId="0" xfId="0" applyNumberFormat="1" applyFont="1" applyFill="1"/>
    <xf numFmtId="9" fontId="1" fillId="3" borderId="0" xfId="1" applyFont="1" applyFill="1"/>
    <xf numFmtId="9" fontId="2" fillId="3" borderId="1" xfId="0" applyNumberFormat="1" applyFont="1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textRotation="90"/>
    </xf>
    <xf numFmtId="0" fontId="0" fillId="3" borderId="7" xfId="0" applyFont="1" applyFill="1" applyBorder="1"/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tudy/NCT04083339" TargetMode="External"/><Relationship Id="rId2" Type="http://schemas.openxmlformats.org/officeDocument/2006/relationships/hyperlink" Target="https://classic.clinicaltrials.gov/ct2/show/record/NCT04902781?view=record" TargetMode="External"/><Relationship Id="rId1" Type="http://schemas.openxmlformats.org/officeDocument/2006/relationships/hyperlink" Target="https://classic.clinicaltrials.gov/ct2/history/NCT04117711?V_5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S54"/>
  <sheetViews>
    <sheetView tabSelected="1" topLeftCell="A5" zoomScaleNormal="100" workbookViewId="0">
      <pane xSplit="1" ySplit="3" topLeftCell="B23" activePane="bottomRight" state="frozen"/>
      <selection activeCell="A5" sqref="A5"/>
      <selection pane="topRight" activeCell="B5" sqref="B5"/>
      <selection pane="bottomLeft" activeCell="A8" sqref="A8"/>
      <selection pane="bottomRight" activeCell="G41" sqref="G41"/>
    </sheetView>
  </sheetViews>
  <sheetFormatPr baseColWidth="10" defaultRowHeight="16" x14ac:dyDescent="0.2"/>
  <cols>
    <col min="1" max="1" width="10.83203125" style="11"/>
    <col min="2" max="2" width="23.6640625" style="11" bestFit="1" customWidth="1"/>
    <col min="3" max="3" width="15" style="11" bestFit="1" customWidth="1"/>
    <col min="4" max="4" width="13" style="11" bestFit="1" customWidth="1"/>
    <col min="5" max="14" width="10.83203125" style="11"/>
    <col min="15" max="15" width="10.83203125" style="57"/>
    <col min="16" max="18" width="10.83203125" style="11"/>
    <col min="19" max="19" width="14.5" style="11" customWidth="1"/>
    <col min="20" max="16384" width="10.83203125" style="11"/>
  </cols>
  <sheetData>
    <row r="5" spans="2:19" ht="31" x14ac:dyDescent="0.35">
      <c r="B5" s="10" t="s">
        <v>70</v>
      </c>
    </row>
    <row r="7" spans="2:19" ht="21" x14ac:dyDescent="0.25">
      <c r="B7" s="12" t="s">
        <v>179</v>
      </c>
      <c r="D7" s="12"/>
      <c r="Q7" s="12" t="s">
        <v>51</v>
      </c>
      <c r="S7" s="12"/>
    </row>
    <row r="8" spans="2:19" x14ac:dyDescent="0.2">
      <c r="B8" s="11" t="s">
        <v>71</v>
      </c>
      <c r="D8" s="11" t="s">
        <v>47</v>
      </c>
      <c r="Q8" s="11" t="s">
        <v>71</v>
      </c>
      <c r="S8" s="11" t="s">
        <v>185</v>
      </c>
    </row>
    <row r="9" spans="2:19" x14ac:dyDescent="0.2">
      <c r="B9" s="11" t="s">
        <v>72</v>
      </c>
      <c r="D9" s="13">
        <v>0.9</v>
      </c>
      <c r="Q9" s="11" t="s">
        <v>72</v>
      </c>
      <c r="S9" s="13">
        <v>0.6</v>
      </c>
    </row>
    <row r="10" spans="2:19" x14ac:dyDescent="0.2">
      <c r="B10" s="11" t="s">
        <v>74</v>
      </c>
      <c r="D10" s="13" t="s">
        <v>75</v>
      </c>
      <c r="Q10" s="11" t="s">
        <v>74</v>
      </c>
      <c r="S10" s="13" t="s">
        <v>75</v>
      </c>
    </row>
    <row r="11" spans="2:19" x14ac:dyDescent="0.2">
      <c r="D11" s="13"/>
      <c r="S11" s="13"/>
    </row>
    <row r="12" spans="2:19" x14ac:dyDescent="0.2">
      <c r="B12" s="11" t="s">
        <v>129</v>
      </c>
      <c r="C12" s="18" t="s">
        <v>130</v>
      </c>
      <c r="D12" s="13"/>
      <c r="Q12" s="11" t="s">
        <v>129</v>
      </c>
      <c r="R12" s="18" t="s">
        <v>130</v>
      </c>
      <c r="S12" s="13"/>
    </row>
    <row r="13" spans="2:19" x14ac:dyDescent="0.2">
      <c r="B13" s="20" t="s">
        <v>128</v>
      </c>
      <c r="D13" s="19"/>
      <c r="Q13" t="s">
        <v>180</v>
      </c>
      <c r="S13" s="19"/>
    </row>
    <row r="14" spans="2:19" x14ac:dyDescent="0.2">
      <c r="B14" s="11" t="s">
        <v>131</v>
      </c>
      <c r="C14" s="11" t="s">
        <v>132</v>
      </c>
      <c r="D14" s="13"/>
      <c r="Q14" s="11" t="s">
        <v>131</v>
      </c>
      <c r="R14" s="11" t="s">
        <v>132</v>
      </c>
      <c r="S14" s="13"/>
    </row>
    <row r="15" spans="2:19" x14ac:dyDescent="0.2">
      <c r="D15" s="13"/>
      <c r="S15" s="13"/>
    </row>
    <row r="16" spans="2:19" x14ac:dyDescent="0.2">
      <c r="B16" s="11" t="s">
        <v>129</v>
      </c>
      <c r="C16" s="21" t="s">
        <v>133</v>
      </c>
      <c r="D16" s="13"/>
      <c r="Q16" s="11" t="s">
        <v>129</v>
      </c>
      <c r="R16" s="21" t="s">
        <v>133</v>
      </c>
      <c r="S16" s="13"/>
    </row>
    <row r="17" spans="2:19" x14ac:dyDescent="0.2">
      <c r="B17" s="22" t="s">
        <v>127</v>
      </c>
      <c r="D17" s="13"/>
      <c r="Q17" s="22" t="s">
        <v>181</v>
      </c>
      <c r="S17" s="13"/>
    </row>
    <row r="18" spans="2:19" x14ac:dyDescent="0.2">
      <c r="B18" s="17" t="s">
        <v>131</v>
      </c>
      <c r="C18" s="11" t="s">
        <v>134</v>
      </c>
      <c r="D18" s="13"/>
      <c r="Q18" s="17" t="s">
        <v>131</v>
      </c>
      <c r="R18" s="11" t="s">
        <v>182</v>
      </c>
      <c r="S18" s="13"/>
    </row>
    <row r="19" spans="2:19" x14ac:dyDescent="0.2">
      <c r="B19" s="15"/>
      <c r="D19" s="13"/>
      <c r="Q19" s="15" t="s">
        <v>186</v>
      </c>
      <c r="R19" s="11" t="s">
        <v>187</v>
      </c>
      <c r="S19" s="13"/>
    </row>
    <row r="21" spans="2:19" x14ac:dyDescent="0.2">
      <c r="B21" s="6" t="s">
        <v>73</v>
      </c>
      <c r="C21" s="5"/>
      <c r="D21" s="5"/>
      <c r="I21" s="6" t="s">
        <v>174</v>
      </c>
      <c r="J21" s="5"/>
      <c r="K21" s="5"/>
      <c r="Q21" s="6" t="s">
        <v>73</v>
      </c>
      <c r="R21" s="5"/>
      <c r="S21" s="5"/>
    </row>
    <row r="22" spans="2:19" x14ac:dyDescent="0.2">
      <c r="B22" s="11" t="s">
        <v>80</v>
      </c>
      <c r="D22" s="11" t="s">
        <v>59</v>
      </c>
      <c r="Q22" s="11" t="s">
        <v>80</v>
      </c>
      <c r="S22" s="11" t="s">
        <v>183</v>
      </c>
    </row>
    <row r="23" spans="2:19" x14ac:dyDescent="0.2">
      <c r="B23" s="11" t="s">
        <v>76</v>
      </c>
      <c r="D23" s="11" t="s">
        <v>77</v>
      </c>
      <c r="Q23" s="11" t="s">
        <v>76</v>
      </c>
      <c r="S23" s="11" t="s">
        <v>188</v>
      </c>
    </row>
    <row r="24" spans="2:19" x14ac:dyDescent="0.2">
      <c r="B24" s="11" t="s">
        <v>81</v>
      </c>
      <c r="D24" s="11">
        <f>2037-2023</f>
        <v>14</v>
      </c>
      <c r="I24" s="6" t="s">
        <v>175</v>
      </c>
      <c r="J24" s="55" t="s">
        <v>176</v>
      </c>
      <c r="K24" s="55"/>
      <c r="L24" s="55"/>
      <c r="M24" s="55"/>
      <c r="N24" s="55"/>
      <c r="Q24" s="11" t="s">
        <v>81</v>
      </c>
      <c r="S24" s="11">
        <f>2037-2023</f>
        <v>14</v>
      </c>
    </row>
    <row r="25" spans="2:19" ht="16" customHeight="1" x14ac:dyDescent="0.2">
      <c r="B25" s="11" t="s">
        <v>82</v>
      </c>
      <c r="D25" s="11" t="s">
        <v>83</v>
      </c>
      <c r="H25" s="56" t="s">
        <v>177</v>
      </c>
      <c r="I25" s="46">
        <f>Valuation!$C$29</f>
        <v>2.7961218495009801</v>
      </c>
      <c r="J25" s="44">
        <f>K25-0.1</f>
        <v>0.20000000000000004</v>
      </c>
      <c r="K25" s="44">
        <f>L25-0.1</f>
        <v>0.30000000000000004</v>
      </c>
      <c r="L25" s="44">
        <f>M25-0.1</f>
        <v>0.4</v>
      </c>
      <c r="M25" s="49">
        <v>0.5</v>
      </c>
      <c r="N25" s="13">
        <f>M25+0.1</f>
        <v>0.6</v>
      </c>
      <c r="Q25" s="11" t="s">
        <v>82</v>
      </c>
      <c r="S25" s="11" t="s">
        <v>184</v>
      </c>
    </row>
    <row r="26" spans="2:19" x14ac:dyDescent="0.2">
      <c r="H26" s="56"/>
      <c r="I26" s="14">
        <f>I27-1000</f>
        <v>2000</v>
      </c>
      <c r="J26" s="45">
        <f t="dataTable" ref="J26:N30" dt2D="1" dtr="1" r1="D44" r2="D42" ca="1"/>
        <v>-3.7193262170646775</v>
      </c>
      <c r="K26" s="45">
        <v>-3.1903114223994895</v>
      </c>
      <c r="L26" s="45">
        <v>-2.661296627734302</v>
      </c>
      <c r="M26" s="50">
        <v>-2.1322818330691136</v>
      </c>
      <c r="N26" s="45">
        <v>-1.6032670384039271</v>
      </c>
    </row>
    <row r="27" spans="2:19" x14ac:dyDescent="0.2">
      <c r="B27" s="6" t="s">
        <v>78</v>
      </c>
      <c r="C27" s="5"/>
      <c r="D27" s="5"/>
      <c r="H27" s="56"/>
      <c r="I27" s="14">
        <f t="shared" ref="I27:I28" si="0">I28-1000</f>
        <v>3000</v>
      </c>
      <c r="J27" s="45">
        <v>-2.870047181539094</v>
      </c>
      <c r="K27" s="45">
        <v>-2.0765249895413116</v>
      </c>
      <c r="L27" s="45">
        <v>-1.2830027975435323</v>
      </c>
      <c r="M27" s="50">
        <v>-0.48948060554575001</v>
      </c>
      <c r="N27" s="45">
        <v>0.30404158645203189</v>
      </c>
      <c r="Q27" s="6" t="s">
        <v>78</v>
      </c>
      <c r="R27" s="5"/>
      <c r="S27" s="5"/>
    </row>
    <row r="28" spans="2:19" x14ac:dyDescent="0.2">
      <c r="B28" s="11" t="s">
        <v>79</v>
      </c>
      <c r="D28" s="11">
        <v>3000</v>
      </c>
      <c r="H28" s="56"/>
      <c r="I28" s="14">
        <f t="shared" si="0"/>
        <v>4000</v>
      </c>
      <c r="J28" s="45">
        <v>-2.0207681460135114</v>
      </c>
      <c r="K28" s="45">
        <v>-0.96273855668313635</v>
      </c>
      <c r="L28" s="45">
        <v>9.529103264723944E-2</v>
      </c>
      <c r="M28" s="50">
        <v>1.1533206219776158</v>
      </c>
      <c r="N28" s="45">
        <v>2.2113502113079919</v>
      </c>
      <c r="Q28" s="11" t="s">
        <v>79</v>
      </c>
      <c r="S28" s="11">
        <v>3000</v>
      </c>
    </row>
    <row r="29" spans="2:19" x14ac:dyDescent="0.2">
      <c r="B29" s="11" t="s">
        <v>84</v>
      </c>
      <c r="H29" s="56"/>
      <c r="I29" s="47">
        <v>5000</v>
      </c>
      <c r="J29" s="48">
        <v>-1.1714891104879284</v>
      </c>
      <c r="K29" s="48">
        <v>0.15104787617504073</v>
      </c>
      <c r="L29" s="48">
        <v>1.4735848628380104</v>
      </c>
      <c r="M29" s="51">
        <v>2.7961218495009801</v>
      </c>
      <c r="N29" s="45">
        <v>4.1186588361639478</v>
      </c>
      <c r="Q29" s="11" t="s">
        <v>84</v>
      </c>
    </row>
    <row r="30" spans="2:19" x14ac:dyDescent="0.2">
      <c r="B30" s="11" t="s">
        <v>85</v>
      </c>
      <c r="D30" s="14">
        <v>2000</v>
      </c>
      <c r="H30" s="56"/>
      <c r="I30" s="14">
        <f>I29+1000</f>
        <v>6000</v>
      </c>
      <c r="J30" s="45">
        <v>-0.32221007496234522</v>
      </c>
      <c r="K30" s="45">
        <v>1.264834309033219</v>
      </c>
      <c r="L30" s="45">
        <v>2.8518786930287807</v>
      </c>
      <c r="M30" s="45">
        <v>4.4389230770243424</v>
      </c>
      <c r="N30" s="45">
        <v>6.025967461019909</v>
      </c>
      <c r="Q30" s="11" t="s">
        <v>85</v>
      </c>
      <c r="S30" s="14">
        <v>2000</v>
      </c>
    </row>
    <row r="31" spans="2:19" x14ac:dyDescent="0.2">
      <c r="B31" s="11" t="s">
        <v>86</v>
      </c>
      <c r="D31" s="14">
        <v>5000</v>
      </c>
      <c r="Q31" s="11" t="s">
        <v>86</v>
      </c>
      <c r="S31" s="14">
        <v>5000</v>
      </c>
    </row>
    <row r="32" spans="2:19" x14ac:dyDescent="0.2">
      <c r="D32" s="14"/>
      <c r="I32" s="6" t="s">
        <v>175</v>
      </c>
      <c r="J32" s="55" t="s">
        <v>176</v>
      </c>
      <c r="K32" s="55"/>
      <c r="L32" s="55"/>
      <c r="M32" s="55"/>
      <c r="N32" s="55"/>
      <c r="S32" s="14"/>
    </row>
    <row r="33" spans="2:19" x14ac:dyDescent="0.2">
      <c r="H33" s="56" t="s">
        <v>178</v>
      </c>
      <c r="I33" s="46">
        <f>Valuation!$C$29</f>
        <v>2.7961218495009801</v>
      </c>
      <c r="J33" s="44">
        <f>K33-0.1</f>
        <v>0.20000000000000004</v>
      </c>
      <c r="K33" s="44">
        <f>L33-0.1</f>
        <v>0.30000000000000004</v>
      </c>
      <c r="L33" s="44">
        <f>M33-0.1</f>
        <v>0.4</v>
      </c>
      <c r="M33" s="49">
        <v>0.5</v>
      </c>
      <c r="N33" s="13">
        <f>M33+0.1</f>
        <v>0.6</v>
      </c>
    </row>
    <row r="34" spans="2:19" x14ac:dyDescent="0.2">
      <c r="B34" s="6" t="s">
        <v>89</v>
      </c>
      <c r="C34" s="6"/>
      <c r="D34" s="6" t="s">
        <v>103</v>
      </c>
      <c r="H34" s="56"/>
      <c r="I34" s="53">
        <f>I35-0.05</f>
        <v>-7.0000000000000007E-2</v>
      </c>
      <c r="J34" s="45">
        <f t="dataTable" ref="J34:N38" dt2D="1" dtr="1" r1="D44" r2="D46"/>
        <v>-3.5206263439977579</v>
      </c>
      <c r="K34" s="45">
        <v>-2.7636384444600037</v>
      </c>
      <c r="L34" s="45">
        <v>-2.0066505449222518</v>
      </c>
      <c r="M34" s="50">
        <v>-1.2496626453844972</v>
      </c>
      <c r="N34" s="45">
        <v>-0.49267474584674381</v>
      </c>
      <c r="Q34" s="6" t="s">
        <v>89</v>
      </c>
      <c r="R34" s="6"/>
      <c r="S34" s="6" t="s">
        <v>103</v>
      </c>
    </row>
    <row r="35" spans="2:19" x14ac:dyDescent="0.2">
      <c r="B35" s="11" t="s">
        <v>90</v>
      </c>
      <c r="D35" s="13">
        <v>0.3</v>
      </c>
      <c r="H35" s="56"/>
      <c r="I35" s="52">
        <f>I36-0.05</f>
        <v>-2.0000000000000004E-2</v>
      </c>
      <c r="J35" s="45">
        <v>-2.638265370161982</v>
      </c>
      <c r="K35" s="45">
        <v>-1.6473819390114879</v>
      </c>
      <c r="L35" s="45">
        <v>-0.65649850786099551</v>
      </c>
      <c r="M35" s="50">
        <v>0.33438492328949698</v>
      </c>
      <c r="N35" s="45">
        <v>1.3252683544399908</v>
      </c>
      <c r="Q35" s="11" t="s">
        <v>90</v>
      </c>
      <c r="S35" s="13">
        <v>0.3</v>
      </c>
    </row>
    <row r="36" spans="2:19" x14ac:dyDescent="0.2">
      <c r="B36" s="11" t="s">
        <v>91</v>
      </c>
      <c r="D36" s="13">
        <v>0.6</v>
      </c>
      <c r="H36" s="56"/>
      <c r="I36" s="54">
        <v>0.03</v>
      </c>
      <c r="J36" s="48">
        <v>-1.1714891104879284</v>
      </c>
      <c r="K36" s="48">
        <v>0.15104787617504073</v>
      </c>
      <c r="L36" s="48">
        <v>1.4735848628380104</v>
      </c>
      <c r="M36" s="51">
        <v>2.7961218495009801</v>
      </c>
      <c r="N36" s="45">
        <v>4.1186588361639478</v>
      </c>
      <c r="Q36" s="11" t="s">
        <v>91</v>
      </c>
      <c r="S36" s="13">
        <v>0.6</v>
      </c>
    </row>
    <row r="37" spans="2:19" x14ac:dyDescent="0.2">
      <c r="B37" s="11" t="s">
        <v>92</v>
      </c>
      <c r="D37" s="13">
        <v>0.9</v>
      </c>
      <c r="H37" s="56"/>
      <c r="I37" s="13">
        <f>I36+0.05</f>
        <v>0.08</v>
      </c>
      <c r="J37" s="45">
        <v>1.2858400514121764</v>
      </c>
      <c r="K37" s="45">
        <v>3.0829546401310748</v>
      </c>
      <c r="L37" s="45">
        <v>4.8800692288499681</v>
      </c>
      <c r="M37" s="45">
        <v>6.6771838175688689</v>
      </c>
      <c r="N37" s="45">
        <v>8.4742984062877671</v>
      </c>
      <c r="Q37" s="11" t="s">
        <v>92</v>
      </c>
      <c r="S37" s="13">
        <v>0.9</v>
      </c>
    </row>
    <row r="38" spans="2:19" x14ac:dyDescent="0.2">
      <c r="B38" s="11" t="s">
        <v>93</v>
      </c>
      <c r="D38" s="13">
        <v>1</v>
      </c>
      <c r="H38" s="56"/>
      <c r="I38" s="13">
        <f>I37+0.05</f>
        <v>0.13</v>
      </c>
      <c r="J38" s="45">
        <v>5.4020589567209027</v>
      </c>
      <c r="K38" s="45">
        <v>7.8823145868071371</v>
      </c>
      <c r="L38" s="45">
        <v>10.362570216893365</v>
      </c>
      <c r="M38" s="45">
        <v>12.842825846979592</v>
      </c>
      <c r="N38" s="45">
        <v>15.323081477065827</v>
      </c>
      <c r="Q38" s="11" t="s">
        <v>93</v>
      </c>
      <c r="S38" s="13">
        <v>1</v>
      </c>
    </row>
    <row r="40" spans="2:19" x14ac:dyDescent="0.2">
      <c r="B40" s="6" t="s">
        <v>94</v>
      </c>
      <c r="C40" s="6"/>
      <c r="D40" s="6"/>
      <c r="Q40" s="6" t="s">
        <v>94</v>
      </c>
      <c r="R40" s="6"/>
      <c r="S40" s="6"/>
    </row>
    <row r="41" spans="2:19" x14ac:dyDescent="0.2">
      <c r="B41" s="11" t="s">
        <v>95</v>
      </c>
      <c r="C41" s="11" t="s">
        <v>102</v>
      </c>
      <c r="D41" s="11">
        <v>3000</v>
      </c>
      <c r="Q41" s="11" t="s">
        <v>95</v>
      </c>
      <c r="R41" s="11" t="s">
        <v>102</v>
      </c>
      <c r="S41" s="11">
        <v>4000000</v>
      </c>
    </row>
    <row r="42" spans="2:19" x14ac:dyDescent="0.2">
      <c r="B42" s="11" t="s">
        <v>96</v>
      </c>
      <c r="C42" s="11" t="s">
        <v>101</v>
      </c>
      <c r="D42" s="14">
        <v>5000</v>
      </c>
      <c r="Q42" s="11" t="s">
        <v>96</v>
      </c>
      <c r="R42" s="11" t="s">
        <v>101</v>
      </c>
      <c r="S42" s="14">
        <v>500</v>
      </c>
    </row>
    <row r="43" spans="2:19" x14ac:dyDescent="0.2">
      <c r="B43" s="11" t="s">
        <v>87</v>
      </c>
      <c r="C43" s="11" t="s">
        <v>100</v>
      </c>
      <c r="D43" s="14">
        <f>D42*D41</f>
        <v>15000000</v>
      </c>
      <c r="Q43" s="11" t="s">
        <v>87</v>
      </c>
      <c r="R43" s="11" t="s">
        <v>100</v>
      </c>
      <c r="S43" s="14">
        <f>S42*S41</f>
        <v>2000000000</v>
      </c>
    </row>
    <row r="44" spans="2:19" x14ac:dyDescent="0.2">
      <c r="B44" s="11" t="s">
        <v>98</v>
      </c>
      <c r="C44" s="13"/>
      <c r="D44" s="13">
        <v>0.5</v>
      </c>
      <c r="Q44" s="11" t="s">
        <v>98</v>
      </c>
      <c r="R44" s="13"/>
      <c r="S44" s="13">
        <v>0.25</v>
      </c>
    </row>
    <row r="45" spans="2:19" x14ac:dyDescent="0.2">
      <c r="B45" s="11" t="s">
        <v>97</v>
      </c>
      <c r="C45" s="11" t="s">
        <v>100</v>
      </c>
      <c r="D45" s="14">
        <f>D44*D43</f>
        <v>7500000</v>
      </c>
      <c r="Q45" s="11" t="s">
        <v>97</v>
      </c>
      <c r="R45" s="11" t="s">
        <v>100</v>
      </c>
      <c r="S45" s="14">
        <f>S44*S43</f>
        <v>500000000</v>
      </c>
    </row>
    <row r="46" spans="2:19" x14ac:dyDescent="0.2">
      <c r="B46" s="11" t="s">
        <v>88</v>
      </c>
      <c r="D46" s="13">
        <v>0.03</v>
      </c>
      <c r="Q46" s="11" t="s">
        <v>88</v>
      </c>
      <c r="S46" s="13">
        <v>0.03</v>
      </c>
    </row>
    <row r="48" spans="2:19" x14ac:dyDescent="0.2">
      <c r="B48" s="6" t="s">
        <v>99</v>
      </c>
      <c r="C48" s="5"/>
      <c r="D48" s="5"/>
      <c r="Q48" s="6" t="s">
        <v>99</v>
      </c>
      <c r="R48" s="5"/>
      <c r="S48" s="5"/>
    </row>
    <row r="49" spans="2:19" x14ac:dyDescent="0.2">
      <c r="B49" s="11" t="s">
        <v>95</v>
      </c>
      <c r="C49" s="11" t="s">
        <v>102</v>
      </c>
      <c r="D49" s="11">
        <v>3000</v>
      </c>
      <c r="Q49" s="11" t="s">
        <v>95</v>
      </c>
      <c r="R49" s="11" t="s">
        <v>102</v>
      </c>
      <c r="S49" s="11">
        <v>6000000</v>
      </c>
    </row>
    <row r="50" spans="2:19" x14ac:dyDescent="0.2">
      <c r="B50" s="11" t="s">
        <v>96</v>
      </c>
      <c r="C50" s="11" t="s">
        <v>101</v>
      </c>
      <c r="D50" s="14">
        <v>5000</v>
      </c>
      <c r="Q50" s="11" t="s">
        <v>96</v>
      </c>
      <c r="R50" s="11" t="s">
        <v>101</v>
      </c>
      <c r="S50" s="14">
        <f>S42/2</f>
        <v>250</v>
      </c>
    </row>
    <row r="51" spans="2:19" x14ac:dyDescent="0.2">
      <c r="B51" s="11" t="s">
        <v>87</v>
      </c>
      <c r="C51" s="11" t="s">
        <v>100</v>
      </c>
      <c r="D51" s="14">
        <f>D50*D49</f>
        <v>15000000</v>
      </c>
      <c r="Q51" s="11" t="s">
        <v>87</v>
      </c>
      <c r="R51" s="11" t="s">
        <v>100</v>
      </c>
      <c r="S51" s="14">
        <f>S50*S49</f>
        <v>1500000000</v>
      </c>
    </row>
    <row r="52" spans="2:19" x14ac:dyDescent="0.2">
      <c r="B52" s="11" t="s">
        <v>98</v>
      </c>
      <c r="C52" s="13"/>
      <c r="D52" s="13">
        <v>0.25</v>
      </c>
      <c r="Q52" s="11" t="s">
        <v>98</v>
      </c>
      <c r="R52" s="13"/>
      <c r="S52" s="13">
        <v>0.1</v>
      </c>
    </row>
    <row r="53" spans="2:19" x14ac:dyDescent="0.2">
      <c r="B53" s="11" t="s">
        <v>97</v>
      </c>
      <c r="C53" s="11" t="s">
        <v>100</v>
      </c>
      <c r="D53" s="14">
        <f>D52*D51</f>
        <v>3750000</v>
      </c>
      <c r="Q53" s="11" t="s">
        <v>97</v>
      </c>
      <c r="R53" s="11" t="s">
        <v>100</v>
      </c>
      <c r="S53" s="14">
        <f>S52*S51</f>
        <v>150000000</v>
      </c>
    </row>
    <row r="54" spans="2:19" x14ac:dyDescent="0.2">
      <c r="B54" s="11" t="s">
        <v>88</v>
      </c>
      <c r="D54" s="13">
        <v>-0.1</v>
      </c>
      <c r="Q54" s="11" t="s">
        <v>88</v>
      </c>
      <c r="S54" s="13">
        <v>-0.1</v>
      </c>
    </row>
  </sheetData>
  <mergeCells count="4">
    <mergeCell ref="J24:N24"/>
    <mergeCell ref="H25:H30"/>
    <mergeCell ref="J32:N32"/>
    <mergeCell ref="H33:H38"/>
  </mergeCells>
  <hyperlinks>
    <hyperlink ref="B13" r:id="rId1" xr:uid="{671B7884-8D00-B741-BEA0-5327B1DB523D}"/>
    <hyperlink ref="B17" r:id="rId2" xr:uid="{FF23C9AE-2BA0-7A49-A86F-168947182E69}"/>
    <hyperlink ref="Q17" r:id="rId3" xr:uid="{67564F3F-FF00-3C45-ABC6-8ABE0C1F81F4}"/>
  </hyperlinks>
  <pageMargins left="0.7" right="0.7" top="0.75" bottom="0.75" header="0.3" footer="0.3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118"/>
  <sheetViews>
    <sheetView zoomScale="132" workbookViewId="0">
      <pane xSplit="9" ySplit="3" topLeftCell="AA19" activePane="bottomRight" state="frozen"/>
      <selection pane="topRight" activeCell="J1" sqref="J1"/>
      <selection pane="bottomLeft" activeCell="A3" sqref="A3"/>
      <selection pane="bottomRight" activeCell="AG25" sqref="AG25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3" max="34" width="12.83203125" bestFit="1" customWidth="1"/>
    <col min="35" max="35" width="13.5" customWidth="1"/>
    <col min="36" max="36" width="13.1640625" customWidth="1"/>
    <col min="42" max="42" width="15.33203125" bestFit="1" customWidth="1"/>
  </cols>
  <sheetData>
    <row r="1" spans="1:48" x14ac:dyDescent="0.2">
      <c r="A1" t="s">
        <v>37</v>
      </c>
    </row>
    <row r="2" spans="1:48" x14ac:dyDescent="0.2">
      <c r="A2" t="s">
        <v>38</v>
      </c>
    </row>
    <row r="3" spans="1:48" s="2" customFormat="1" x14ac:dyDescent="0.2">
      <c r="B3" s="2" t="s">
        <v>19</v>
      </c>
      <c r="C3" s="2" t="s">
        <v>18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58</v>
      </c>
      <c r="U3" s="2" t="s">
        <v>59</v>
      </c>
      <c r="V3" s="2" t="s">
        <v>77</v>
      </c>
      <c r="W3" s="2" t="s">
        <v>118</v>
      </c>
      <c r="X3" s="2" t="s">
        <v>119</v>
      </c>
      <c r="Y3" s="2" t="s">
        <v>120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60</v>
      </c>
      <c r="AH3" s="2" t="s">
        <v>61</v>
      </c>
      <c r="AI3" s="2" t="s">
        <v>62</v>
      </c>
      <c r="AJ3" s="2" t="s">
        <v>63</v>
      </c>
      <c r="AK3" s="2" t="s">
        <v>64</v>
      </c>
      <c r="AL3" s="2" t="s">
        <v>65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111</v>
      </c>
      <c r="AR3" s="2" t="s">
        <v>112</v>
      </c>
      <c r="AS3" s="2" t="s">
        <v>113</v>
      </c>
      <c r="AT3" s="2" t="s">
        <v>114</v>
      </c>
      <c r="AU3" s="2" t="s">
        <v>115</v>
      </c>
      <c r="AV3" s="2" t="s">
        <v>116</v>
      </c>
    </row>
    <row r="4" spans="1:48" s="6" customFormat="1" x14ac:dyDescent="0.2">
      <c r="A4" s="6" t="s">
        <v>48</v>
      </c>
    </row>
    <row r="5" spans="1:48" x14ac:dyDescent="0.2">
      <c r="A5" s="2" t="s">
        <v>46</v>
      </c>
    </row>
    <row r="6" spans="1:48" x14ac:dyDescent="0.2">
      <c r="A6" t="s">
        <v>47</v>
      </c>
    </row>
    <row r="7" spans="1:48" x14ac:dyDescent="0.2">
      <c r="A7" t="s">
        <v>117</v>
      </c>
      <c r="U7" s="4">
        <f>Main!D45*3/1000</f>
        <v>22500</v>
      </c>
      <c r="V7" s="4">
        <f>AH7/4</f>
        <v>22500</v>
      </c>
      <c r="W7" s="4">
        <f>AH7/4</f>
        <v>22500</v>
      </c>
      <c r="X7" s="4">
        <f>AH7/4</f>
        <v>22500</v>
      </c>
      <c r="Y7" s="4">
        <f>AH7/4</f>
        <v>22500</v>
      </c>
      <c r="AH7" s="9">
        <f>Main!D45*12/1000</f>
        <v>90000</v>
      </c>
      <c r="AI7" s="9">
        <f>AH7*(1+Main!$D$46)</f>
        <v>92700</v>
      </c>
      <c r="AJ7" s="9">
        <f>AI7*(1+Main!$D$46)</f>
        <v>95481</v>
      </c>
      <c r="AK7" s="9">
        <f>AJ7*(1+Main!$D$46)</f>
        <v>98345.430000000008</v>
      </c>
      <c r="AL7" s="9">
        <f>AK7*(1+Main!$D$46)</f>
        <v>101295.79290000001</v>
      </c>
      <c r="AM7" s="9">
        <f>AL7*(1+Main!$D$46)</f>
        <v>104334.66668700002</v>
      </c>
      <c r="AN7" s="9">
        <f>AM7*(1+Main!$D$46)</f>
        <v>107464.70668761003</v>
      </c>
      <c r="AO7" s="9">
        <f>AN7*(1+Main!$D$46)*AO8</f>
        <v>110688.64788823834</v>
      </c>
      <c r="AP7" s="9">
        <f>AO7*(1+Main!$D$46)*AP8</f>
        <v>114009.30732488549</v>
      </c>
      <c r="AQ7" s="9">
        <f>AP7*(1+Main!$D$46)*AQ8</f>
        <v>117429.58654463205</v>
      </c>
      <c r="AR7" s="9">
        <f>AQ7*(1+Main!$D$46)*AR8</f>
        <v>120952.47414097101</v>
      </c>
      <c r="AS7" s="9">
        <f>AR7*(1+Main!$D$46)*AS8</f>
        <v>124581.04836520014</v>
      </c>
      <c r="AT7" s="9">
        <f>AS7*(1+Main!$D$46)*AT8</f>
        <v>128318.47981615615</v>
      </c>
      <c r="AU7" s="9">
        <f>AT7*(1+Main!$D$46)*AU8</f>
        <v>132168.03421064085</v>
      </c>
      <c r="AV7" s="9">
        <f>AU7*(1+Main!$D$46)*AV8*Main!D52/Main!D44</f>
        <v>68066.537618480041</v>
      </c>
    </row>
    <row r="8" spans="1:48" x14ac:dyDescent="0.2">
      <c r="A8" t="s">
        <v>103</v>
      </c>
      <c r="U8" s="7">
        <v>0.05</v>
      </c>
      <c r="V8" s="3">
        <v>0.15</v>
      </c>
      <c r="W8" s="3">
        <v>0.25</v>
      </c>
      <c r="X8" s="3">
        <v>0.35</v>
      </c>
      <c r="Y8" s="3">
        <v>0.4</v>
      </c>
      <c r="AI8" s="3">
        <f>Main!D36</f>
        <v>0.6</v>
      </c>
      <c r="AJ8" s="3">
        <f>Main!D37</f>
        <v>0.9</v>
      </c>
      <c r="AK8" s="3">
        <f>Main!D38</f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</row>
    <row r="9" spans="1:48" x14ac:dyDescent="0.2">
      <c r="A9" t="s">
        <v>106</v>
      </c>
      <c r="U9" s="4">
        <f>U8*U7</f>
        <v>1125</v>
      </c>
      <c r="V9" s="4">
        <f t="shared" ref="V9:Y9" si="0">V8*V7</f>
        <v>3375</v>
      </c>
      <c r="W9" s="4">
        <f t="shared" si="0"/>
        <v>5625</v>
      </c>
      <c r="X9" s="4">
        <f t="shared" si="0"/>
        <v>7874.9999999999991</v>
      </c>
      <c r="Y9" s="4">
        <f t="shared" si="0"/>
        <v>9000</v>
      </c>
      <c r="AI9" s="9">
        <f>AI8*AI7</f>
        <v>55620</v>
      </c>
      <c r="AJ9" s="9">
        <f t="shared" ref="AJ9:AV9" si="1">AJ8*AJ7</f>
        <v>85932.900000000009</v>
      </c>
      <c r="AK9" s="9">
        <f t="shared" si="1"/>
        <v>98345.430000000008</v>
      </c>
      <c r="AL9" s="9">
        <f t="shared" si="1"/>
        <v>101295.79290000001</v>
      </c>
      <c r="AM9" s="9">
        <f t="shared" si="1"/>
        <v>104334.66668700002</v>
      </c>
      <c r="AN9" s="9">
        <f t="shared" si="1"/>
        <v>107464.70668761003</v>
      </c>
      <c r="AO9" s="9">
        <f t="shared" si="1"/>
        <v>110688.64788823834</v>
      </c>
      <c r="AP9" s="9">
        <f t="shared" si="1"/>
        <v>114009.30732488549</v>
      </c>
      <c r="AQ9" s="9">
        <f t="shared" si="1"/>
        <v>117429.58654463205</v>
      </c>
      <c r="AR9" s="9">
        <f t="shared" si="1"/>
        <v>120952.47414097101</v>
      </c>
      <c r="AS9" s="9">
        <f t="shared" si="1"/>
        <v>124581.04836520014</v>
      </c>
      <c r="AT9" s="9">
        <f t="shared" si="1"/>
        <v>128318.47981615615</v>
      </c>
      <c r="AU9" s="9">
        <f t="shared" si="1"/>
        <v>132168.03421064085</v>
      </c>
      <c r="AV9" s="9">
        <f t="shared" si="1"/>
        <v>68066.537618480041</v>
      </c>
    </row>
    <row r="11" spans="1:48" x14ac:dyDescent="0.2">
      <c r="A11" t="s">
        <v>104</v>
      </c>
      <c r="U11" s="3">
        <f>Main!$D$9</f>
        <v>0.9</v>
      </c>
      <c r="V11" s="3">
        <f>Main!$D$9</f>
        <v>0.9</v>
      </c>
      <c r="W11" s="3">
        <f>Main!$D$9</f>
        <v>0.9</v>
      </c>
      <c r="X11" s="3">
        <f>Main!$D$9</f>
        <v>0.9</v>
      </c>
      <c r="Y11" s="3">
        <f>Main!$D$9</f>
        <v>0.9</v>
      </c>
    </row>
    <row r="12" spans="1:48" x14ac:dyDescent="0.2">
      <c r="A12" t="s">
        <v>105</v>
      </c>
      <c r="U12" s="4">
        <f>U11*U9</f>
        <v>1012.5</v>
      </c>
      <c r="V12" s="4">
        <f t="shared" ref="V12:Y12" si="2">V11*V9</f>
        <v>3037.5</v>
      </c>
      <c r="W12" s="4">
        <f t="shared" si="2"/>
        <v>5062.5</v>
      </c>
      <c r="X12" s="4">
        <f t="shared" si="2"/>
        <v>7087.4999999999991</v>
      </c>
      <c r="Y12" s="4">
        <f t="shared" si="2"/>
        <v>8100</v>
      </c>
    </row>
    <row r="13" spans="1:48" x14ac:dyDescent="0.2">
      <c r="U13" s="4"/>
      <c r="V13" s="4"/>
      <c r="W13" s="4"/>
      <c r="X13" s="4"/>
      <c r="Y13" s="4"/>
    </row>
    <row r="14" spans="1:48" x14ac:dyDescent="0.2">
      <c r="A14" t="s">
        <v>49</v>
      </c>
    </row>
    <row r="16" spans="1:48" x14ac:dyDescent="0.2">
      <c r="A16" t="s">
        <v>50</v>
      </c>
    </row>
    <row r="19" spans="1:48" x14ac:dyDescent="0.2">
      <c r="A19" s="2" t="s">
        <v>51</v>
      </c>
    </row>
    <row r="20" spans="1:48" x14ac:dyDescent="0.2">
      <c r="A20" t="s">
        <v>52</v>
      </c>
    </row>
    <row r="21" spans="1:48" x14ac:dyDescent="0.2">
      <c r="A21" t="s">
        <v>117</v>
      </c>
      <c r="AG21" s="9">
        <f>Main!$S$45/1000</f>
        <v>500000</v>
      </c>
      <c r="AH21" s="9">
        <f>AG21*(1+Main!$S$46)</f>
        <v>515000</v>
      </c>
      <c r="AI21" s="9">
        <f>AH21*(1+Main!$S$46)</f>
        <v>530450</v>
      </c>
      <c r="AJ21" s="9">
        <f>AI21*(1+Main!$S$46)</f>
        <v>546363.5</v>
      </c>
      <c r="AK21" s="9">
        <f>AJ21*(1+Main!$S$46)</f>
        <v>562754.40500000003</v>
      </c>
      <c r="AL21" s="9">
        <f>AK21*(1+Main!$S$46)</f>
        <v>579637.03714999999</v>
      </c>
      <c r="AM21" s="9">
        <f>AL21*(1+Main!$S$46)</f>
        <v>597026.14826449996</v>
      </c>
      <c r="AN21" s="9">
        <f>AM21*(1+Main!$S$46)</f>
        <v>614936.93271243502</v>
      </c>
      <c r="AO21" s="9">
        <f>AN21*(1+Main!$S$46)</f>
        <v>633385.04069380811</v>
      </c>
      <c r="AP21" s="9">
        <f>AO21*(1+Main!$S$54)</f>
        <v>570046.5366244273</v>
      </c>
      <c r="AQ21" s="9">
        <f>AP21*(1+Main!$S$54)</f>
        <v>513041.88296198461</v>
      </c>
      <c r="AR21" s="9">
        <f>AQ21*(1+Main!$S$54)</f>
        <v>461737.69466578617</v>
      </c>
      <c r="AS21" s="9">
        <f>AR21*(1+Main!$S$54)</f>
        <v>415563.92519920756</v>
      </c>
      <c r="AT21" s="9">
        <f>AS21*(1+Main!$S$54)</f>
        <v>374007.53267928679</v>
      </c>
      <c r="AU21" s="9">
        <f>AT21*(1+Main!$S$54)</f>
        <v>336606.77941135812</v>
      </c>
      <c r="AV21" s="9">
        <f>AU21*(1+Main!$S$54)</f>
        <v>302946.10147022229</v>
      </c>
    </row>
    <row r="22" spans="1:48" x14ac:dyDescent="0.2">
      <c r="A22" t="s">
        <v>103</v>
      </c>
      <c r="AG22" s="3">
        <f>Main!S35</f>
        <v>0.3</v>
      </c>
      <c r="AH22" s="3">
        <f>Main!S36</f>
        <v>0.6</v>
      </c>
      <c r="AI22" s="3">
        <f>Main!S37</f>
        <v>0.9</v>
      </c>
      <c r="AJ22" s="3">
        <f>Main!S38</f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</row>
    <row r="23" spans="1:48" x14ac:dyDescent="0.2">
      <c r="A23" t="s">
        <v>106</v>
      </c>
      <c r="AG23" s="9">
        <f>AG22*AG21</f>
        <v>150000</v>
      </c>
      <c r="AH23" s="9">
        <f t="shared" ref="AH23:AT23" si="3">AH22*AH21</f>
        <v>309000</v>
      </c>
      <c r="AI23" s="9">
        <f t="shared" si="3"/>
        <v>477405</v>
      </c>
      <c r="AJ23" s="9">
        <f t="shared" si="3"/>
        <v>546363.5</v>
      </c>
      <c r="AK23" s="9">
        <f t="shared" si="3"/>
        <v>562754.40500000003</v>
      </c>
      <c r="AL23" s="9">
        <f t="shared" si="3"/>
        <v>579637.03714999999</v>
      </c>
      <c r="AM23" s="9">
        <f t="shared" si="3"/>
        <v>597026.14826449996</v>
      </c>
      <c r="AN23" s="9">
        <f t="shared" si="3"/>
        <v>614936.93271243502</v>
      </c>
      <c r="AO23" s="9">
        <f t="shared" si="3"/>
        <v>633385.04069380811</v>
      </c>
      <c r="AP23" s="9">
        <f t="shared" si="3"/>
        <v>570046.5366244273</v>
      </c>
      <c r="AQ23" s="9">
        <f t="shared" si="3"/>
        <v>513041.88296198461</v>
      </c>
      <c r="AR23" s="9">
        <f t="shared" si="3"/>
        <v>461737.69466578617</v>
      </c>
      <c r="AS23" s="9">
        <f t="shared" si="3"/>
        <v>415563.92519920756</v>
      </c>
      <c r="AT23" s="9">
        <f t="shared" si="3"/>
        <v>374007.53267928679</v>
      </c>
    </row>
    <row r="25" spans="1:48" x14ac:dyDescent="0.2">
      <c r="A25" t="s">
        <v>104</v>
      </c>
    </row>
    <row r="26" spans="1:48" x14ac:dyDescent="0.2">
      <c r="A26" t="s">
        <v>105</v>
      </c>
    </row>
    <row r="28" spans="1:48" x14ac:dyDescent="0.2">
      <c r="A28" t="s">
        <v>53</v>
      </c>
    </row>
    <row r="30" spans="1:48" x14ac:dyDescent="0.2">
      <c r="A30" s="2" t="s">
        <v>54</v>
      </c>
    </row>
    <row r="31" spans="1:48" x14ac:dyDescent="0.2">
      <c r="A31" t="s">
        <v>55</v>
      </c>
    </row>
    <row r="34" spans="1:48" x14ac:dyDescent="0.2">
      <c r="A34" t="s">
        <v>36</v>
      </c>
      <c r="R34" s="1">
        <v>10660</v>
      </c>
    </row>
    <row r="35" spans="1:48" x14ac:dyDescent="0.2">
      <c r="R35" s="1"/>
    </row>
    <row r="36" spans="1:48" s="6" customFormat="1" x14ac:dyDescent="0.2">
      <c r="A36" s="6" t="s">
        <v>156</v>
      </c>
      <c r="R36" s="23"/>
    </row>
    <row r="37" spans="1:48" x14ac:dyDescent="0.2">
      <c r="R37" s="1"/>
    </row>
    <row r="38" spans="1:48" s="2" customFormat="1" x14ac:dyDescent="0.2">
      <c r="A38" s="2" t="s">
        <v>43</v>
      </c>
      <c r="J38" s="2">
        <f t="shared" ref="J38:T38" si="4">J34</f>
        <v>0</v>
      </c>
      <c r="K38" s="2">
        <f t="shared" si="4"/>
        <v>0</v>
      </c>
      <c r="L38" s="2">
        <f t="shared" si="4"/>
        <v>0</v>
      </c>
      <c r="M38" s="2">
        <f t="shared" si="4"/>
        <v>0</v>
      </c>
      <c r="N38" s="2">
        <f t="shared" si="4"/>
        <v>0</v>
      </c>
      <c r="O38" s="2">
        <f t="shared" si="4"/>
        <v>0</v>
      </c>
      <c r="P38" s="2">
        <f t="shared" si="4"/>
        <v>0</v>
      </c>
      <c r="Q38" s="2">
        <f t="shared" si="4"/>
        <v>0</v>
      </c>
      <c r="R38" s="2">
        <f t="shared" si="4"/>
        <v>10660</v>
      </c>
      <c r="S38" s="2">
        <f t="shared" si="4"/>
        <v>0</v>
      </c>
      <c r="T38" s="2">
        <f t="shared" si="4"/>
        <v>0</v>
      </c>
      <c r="U38" s="24">
        <f>U34+U12</f>
        <v>1012.5</v>
      </c>
      <c r="V38" s="24">
        <f>V34+V12</f>
        <v>3037.5</v>
      </c>
      <c r="W38" s="24">
        <f>W34+W12</f>
        <v>5062.5</v>
      </c>
      <c r="X38" s="24">
        <f>X34+X12</f>
        <v>7087.4999999999991</v>
      </c>
      <c r="Y38" s="24">
        <f>Y34+Y12</f>
        <v>8100</v>
      </c>
      <c r="AC38" s="2">
        <f>AC34</f>
        <v>0</v>
      </c>
      <c r="AD38" s="2">
        <f>AD34</f>
        <v>0</v>
      </c>
      <c r="AE38" s="2">
        <f>AE34</f>
        <v>0</v>
      </c>
      <c r="AF38" s="2">
        <f>AF34</f>
        <v>0</v>
      </c>
      <c r="AG38" s="24">
        <f>SUM(R38:U38)</f>
        <v>11672.5</v>
      </c>
      <c r="AH38" s="24">
        <f>SUM(V38:Y38)</f>
        <v>23287.5</v>
      </c>
      <c r="AI38" s="24">
        <f>AI34+AI9</f>
        <v>55620</v>
      </c>
      <c r="AJ38" s="24">
        <f>AJ34+AJ9</f>
        <v>85932.900000000009</v>
      </c>
      <c r="AK38" s="24">
        <f>AK34+AK9</f>
        <v>98345.430000000008</v>
      </c>
      <c r="AL38" s="24">
        <f>AL34+AL9</f>
        <v>101295.79290000001</v>
      </c>
      <c r="AM38" s="24">
        <f>AM34+AM9</f>
        <v>104334.66668700002</v>
      </c>
      <c r="AN38" s="24">
        <f>AN34+AN9</f>
        <v>107464.70668761003</v>
      </c>
      <c r="AO38" s="24">
        <f>AO34+AO9</f>
        <v>110688.64788823834</v>
      </c>
      <c r="AP38" s="24">
        <f>AP34+AP9</f>
        <v>114009.30732488549</v>
      </c>
      <c r="AQ38" s="24">
        <f>AQ34+AQ9</f>
        <v>117429.58654463205</v>
      </c>
      <c r="AR38" s="24">
        <f>AR34+AR9</f>
        <v>120952.47414097101</v>
      </c>
      <c r="AS38" s="24">
        <f>AS34+AS9</f>
        <v>124581.04836520014</v>
      </c>
      <c r="AT38" s="24">
        <f>AT34+AT9</f>
        <v>128318.47981615615</v>
      </c>
      <c r="AU38" s="24">
        <f>AU34+AU9</f>
        <v>132168.03421064085</v>
      </c>
      <c r="AV38" s="24">
        <f>AV34+AV9</f>
        <v>68066.537618480041</v>
      </c>
    </row>
    <row r="39" spans="1:48" x14ac:dyDescent="0.2">
      <c r="R39" s="1"/>
    </row>
    <row r="40" spans="1:48" x14ac:dyDescent="0.2">
      <c r="A40" t="s">
        <v>121</v>
      </c>
      <c r="R40" s="1"/>
      <c r="U40" s="9">
        <f>U38*(1-U41)</f>
        <v>101.24999999999997</v>
      </c>
      <c r="V40" s="9">
        <f t="shared" ref="V40:Y40" si="5">V38*(1-V41)</f>
        <v>303.74999999999994</v>
      </c>
      <c r="W40" s="9">
        <f t="shared" si="5"/>
        <v>506.24999999999989</v>
      </c>
      <c r="X40" s="9">
        <f t="shared" si="5"/>
        <v>708.74999999999977</v>
      </c>
      <c r="Y40" s="9">
        <f t="shared" si="5"/>
        <v>809.99999999999977</v>
      </c>
      <c r="AG40" s="9">
        <f>SUM(R40:U40)</f>
        <v>101.24999999999997</v>
      </c>
      <c r="AH40" s="9">
        <f>SUM(V40:Y40)</f>
        <v>2328.7499999999991</v>
      </c>
      <c r="AI40" s="9">
        <f t="shared" ref="AI40" si="6">AI38*(1-AI41)</f>
        <v>5561.9999999999991</v>
      </c>
      <c r="AJ40" s="9">
        <f t="shared" ref="AJ40" si="7">AJ38*(1-AJ41)</f>
        <v>8593.2899999999991</v>
      </c>
      <c r="AK40" s="9">
        <f t="shared" ref="AK40" si="8">AK38*(1-AK41)</f>
        <v>9834.5429999999978</v>
      </c>
      <c r="AL40" s="9">
        <f t="shared" ref="AL40" si="9">AL38*(1-AL41)</f>
        <v>10129.57929</v>
      </c>
      <c r="AM40" s="9">
        <f t="shared" ref="AM40" si="10">AM38*(1-AM41)</f>
        <v>10433.466668699999</v>
      </c>
      <c r="AN40" s="9">
        <f t="shared" ref="AN40" si="11">AN38*(1-AN41)</f>
        <v>10746.470668761</v>
      </c>
      <c r="AO40" s="9">
        <f t="shared" ref="AO40" si="12">AO38*(1-AO41)</f>
        <v>11068.864788823832</v>
      </c>
      <c r="AP40" s="9">
        <f t="shared" ref="AP40" si="13">AP38*(1-AP41)</f>
        <v>11400.930732488547</v>
      </c>
      <c r="AQ40" s="9">
        <f t="shared" ref="AQ40" si="14">AQ38*(1-AQ41)</f>
        <v>11742.958654463202</v>
      </c>
      <c r="AR40" s="9">
        <f t="shared" ref="AR40" si="15">AR38*(1-AR41)</f>
        <v>12095.247414097099</v>
      </c>
      <c r="AS40" s="9">
        <f t="shared" ref="AS40" si="16">AS38*(1-AS41)</f>
        <v>12458.104836520011</v>
      </c>
      <c r="AT40" s="9">
        <f t="shared" ref="AT40" si="17">AT38*(1-AT41)</f>
        <v>12831.847981615612</v>
      </c>
      <c r="AU40" s="9">
        <f t="shared" ref="AU40" si="18">AU38*(1-AU41)</f>
        <v>13216.803421064082</v>
      </c>
      <c r="AV40" s="9">
        <f t="shared" ref="AV40" si="19">AV38*(1-AV41)</f>
        <v>6806.6537618480024</v>
      </c>
    </row>
    <row r="41" spans="1:48" x14ac:dyDescent="0.2">
      <c r="A41" t="s">
        <v>122</v>
      </c>
      <c r="R41" s="1"/>
      <c r="U41" s="3">
        <v>0.9</v>
      </c>
      <c r="V41" s="3">
        <v>0.9</v>
      </c>
      <c r="W41" s="3">
        <v>0.9</v>
      </c>
      <c r="X41" s="3">
        <v>0.9</v>
      </c>
      <c r="Y41" s="3">
        <v>0.9</v>
      </c>
      <c r="AG41" s="7">
        <f>AG42/AG38</f>
        <v>0.99132576568858433</v>
      </c>
      <c r="AH41" s="7">
        <f>AH42/AH38</f>
        <v>0.9</v>
      </c>
      <c r="AI41" s="7">
        <v>0.9</v>
      </c>
      <c r="AJ41" s="7">
        <v>0.9</v>
      </c>
      <c r="AK41" s="7">
        <v>0.9</v>
      </c>
      <c r="AL41" s="7">
        <v>0.9</v>
      </c>
      <c r="AM41" s="7">
        <v>0.9</v>
      </c>
      <c r="AN41" s="7">
        <v>0.9</v>
      </c>
      <c r="AO41" s="7">
        <v>0.9</v>
      </c>
      <c r="AP41" s="7">
        <v>0.9</v>
      </c>
      <c r="AQ41" s="7">
        <v>0.9</v>
      </c>
      <c r="AR41" s="7">
        <v>0.9</v>
      </c>
      <c r="AS41" s="7">
        <v>0.9</v>
      </c>
      <c r="AT41" s="7">
        <v>0.9</v>
      </c>
      <c r="AU41" s="7">
        <v>0.9</v>
      </c>
      <c r="AV41" s="7">
        <v>0.9</v>
      </c>
    </row>
    <row r="42" spans="1:48" x14ac:dyDescent="0.2">
      <c r="A42" s="2" t="s">
        <v>157</v>
      </c>
      <c r="J42">
        <f t="shared" ref="J42:S42" si="20">J38-J40</f>
        <v>0</v>
      </c>
      <c r="K42">
        <f t="shared" si="20"/>
        <v>0</v>
      </c>
      <c r="L42">
        <f t="shared" si="20"/>
        <v>0</v>
      </c>
      <c r="M42">
        <f t="shared" si="20"/>
        <v>0</v>
      </c>
      <c r="N42">
        <f t="shared" si="20"/>
        <v>0</v>
      </c>
      <c r="O42">
        <f t="shared" si="20"/>
        <v>0</v>
      </c>
      <c r="P42">
        <f t="shared" si="20"/>
        <v>0</v>
      </c>
      <c r="Q42">
        <f t="shared" si="20"/>
        <v>0</v>
      </c>
      <c r="R42">
        <f t="shared" si="20"/>
        <v>10660</v>
      </c>
      <c r="S42">
        <f t="shared" si="20"/>
        <v>0</v>
      </c>
      <c r="T42">
        <f t="shared" ref="T42:X42" si="21">T38-T40</f>
        <v>0</v>
      </c>
      <c r="U42" s="9">
        <f t="shared" si="21"/>
        <v>911.25</v>
      </c>
      <c r="V42" s="9">
        <f t="shared" si="21"/>
        <v>2733.75</v>
      </c>
      <c r="W42" s="9">
        <f t="shared" si="21"/>
        <v>4556.25</v>
      </c>
      <c r="X42" s="9">
        <f t="shared" si="21"/>
        <v>6378.7499999999991</v>
      </c>
      <c r="Y42" s="9">
        <f>Y38-Y40</f>
        <v>7290</v>
      </c>
      <c r="AC42">
        <f>AC38-AC40</f>
        <v>0</v>
      </c>
      <c r="AD42">
        <f t="shared" ref="AD42:AF42" si="22">AD38-AD40</f>
        <v>0</v>
      </c>
      <c r="AE42">
        <f t="shared" si="22"/>
        <v>0</v>
      </c>
      <c r="AF42">
        <f t="shared" si="22"/>
        <v>0</v>
      </c>
      <c r="AG42" s="9">
        <f>AG38-AG40</f>
        <v>11571.25</v>
      </c>
      <c r="AH42" s="9">
        <f>AH38-AH40</f>
        <v>20958.75</v>
      </c>
      <c r="AI42" s="9">
        <f t="shared" ref="AI42:AV42" si="23">AI38-AI40</f>
        <v>50058</v>
      </c>
      <c r="AJ42" s="9">
        <f t="shared" si="23"/>
        <v>77339.610000000015</v>
      </c>
      <c r="AK42" s="9">
        <f t="shared" si="23"/>
        <v>88510.887000000017</v>
      </c>
      <c r="AL42" s="9">
        <f t="shared" si="23"/>
        <v>91166.213610000021</v>
      </c>
      <c r="AM42" s="9">
        <f t="shared" si="23"/>
        <v>93901.20001830002</v>
      </c>
      <c r="AN42" s="9">
        <f t="shared" si="23"/>
        <v>96718.236018849027</v>
      </c>
      <c r="AO42" s="9">
        <f t="shared" si="23"/>
        <v>99619.783099414504</v>
      </c>
      <c r="AP42" s="9">
        <f t="shared" si="23"/>
        <v>102608.37659239695</v>
      </c>
      <c r="AQ42" s="9">
        <f t="shared" si="23"/>
        <v>105686.62789016885</v>
      </c>
      <c r="AR42" s="9">
        <f t="shared" si="23"/>
        <v>108857.22672687391</v>
      </c>
      <c r="AS42" s="9">
        <f t="shared" si="23"/>
        <v>112122.94352868013</v>
      </c>
      <c r="AT42" s="9">
        <f t="shared" si="23"/>
        <v>115486.63183454053</v>
      </c>
      <c r="AU42" s="9">
        <f t="shared" si="23"/>
        <v>118951.23078957677</v>
      </c>
      <c r="AV42" s="9">
        <f t="shared" si="23"/>
        <v>61259.883856632041</v>
      </c>
    </row>
    <row r="43" spans="1:48" x14ac:dyDescent="0.2">
      <c r="R43" s="1"/>
    </row>
    <row r="44" spans="1:48" x14ac:dyDescent="0.2">
      <c r="A44" s="2" t="s">
        <v>42</v>
      </c>
    </row>
    <row r="45" spans="1:48" x14ac:dyDescent="0.2">
      <c r="A45" s="2"/>
    </row>
    <row r="46" spans="1:48" x14ac:dyDescent="0.2">
      <c r="A46" t="s">
        <v>7</v>
      </c>
      <c r="J46" s="1">
        <v>6454</v>
      </c>
      <c r="K46" s="1">
        <v>10172</v>
      </c>
      <c r="L46" s="1">
        <v>11778</v>
      </c>
      <c r="M46">
        <f t="shared" ref="M46:M50" si="24">AE46-L46-K46-J46</f>
        <v>11919</v>
      </c>
      <c r="N46" s="1">
        <v>11528</v>
      </c>
      <c r="O46" s="1">
        <v>12402</v>
      </c>
      <c r="P46" s="1">
        <v>10035</v>
      </c>
      <c r="Q46">
        <f t="shared" ref="Q46:Q50" si="25">AF46-P46-O46-N46</f>
        <v>8963</v>
      </c>
      <c r="R46" s="1">
        <v>11816</v>
      </c>
      <c r="S46" s="1">
        <v>8744</v>
      </c>
      <c r="U46" s="1"/>
      <c r="V46" s="1"/>
      <c r="W46" s="1"/>
      <c r="X46" s="1"/>
      <c r="Y46" s="1"/>
      <c r="Z46" s="1"/>
      <c r="AC46" s="1">
        <v>17436</v>
      </c>
      <c r="AD46" s="1">
        <v>28736</v>
      </c>
      <c r="AE46" s="1">
        <v>40323</v>
      </c>
      <c r="AF46" s="1">
        <v>42928</v>
      </c>
      <c r="AG46" s="9">
        <f>SUM(R46:U46)</f>
        <v>20560</v>
      </c>
      <c r="AH46" s="9">
        <f>SUM(V46:Y46)</f>
        <v>0</v>
      </c>
    </row>
    <row r="47" spans="1:48" x14ac:dyDescent="0.2">
      <c r="A47" t="s">
        <v>8</v>
      </c>
      <c r="J47" s="1">
        <v>5820</v>
      </c>
      <c r="K47" s="1">
        <v>2316</v>
      </c>
      <c r="L47" s="1">
        <v>3172</v>
      </c>
      <c r="M47">
        <f t="shared" si="24"/>
        <v>602</v>
      </c>
      <c r="N47" s="1">
        <v>231</v>
      </c>
      <c r="O47" s="1">
        <v>136</v>
      </c>
      <c r="P47" s="1">
        <v>236</v>
      </c>
      <c r="Q47">
        <f t="shared" si="25"/>
        <v>354</v>
      </c>
      <c r="R47" s="1">
        <v>1271</v>
      </c>
      <c r="S47" s="1">
        <v>540</v>
      </c>
      <c r="U47" s="1"/>
      <c r="V47" s="1"/>
      <c r="W47" s="1"/>
      <c r="X47" s="1"/>
      <c r="Y47" s="1"/>
      <c r="Z47" s="1"/>
      <c r="AC47" s="1">
        <v>9069</v>
      </c>
      <c r="AD47" s="1">
        <v>24424</v>
      </c>
      <c r="AE47" s="1">
        <v>11910</v>
      </c>
      <c r="AF47" s="1">
        <v>957</v>
      </c>
      <c r="AG47" s="9">
        <f t="shared" ref="AG47:AG50" si="26">SUM(R47:U47)</f>
        <v>1811</v>
      </c>
      <c r="AH47" s="9">
        <f t="shared" ref="AH47:AH50" si="27">SUM(V47:Y47)</f>
        <v>0</v>
      </c>
    </row>
    <row r="48" spans="1:48" x14ac:dyDescent="0.2">
      <c r="A48" t="s">
        <v>9</v>
      </c>
      <c r="J48" s="1">
        <v>1092</v>
      </c>
      <c r="K48" s="1">
        <v>1270</v>
      </c>
      <c r="L48" s="1">
        <v>1368</v>
      </c>
      <c r="M48">
        <f t="shared" si="24"/>
        <v>1799</v>
      </c>
      <c r="N48" s="1">
        <v>1937</v>
      </c>
      <c r="O48" s="1">
        <v>1578</v>
      </c>
      <c r="P48" s="1">
        <v>1416</v>
      </c>
      <c r="Q48">
        <f t="shared" si="25"/>
        <v>1717</v>
      </c>
      <c r="R48" s="1">
        <v>1700</v>
      </c>
      <c r="S48" s="1">
        <v>1408</v>
      </c>
      <c r="U48" s="1"/>
      <c r="V48" s="1"/>
      <c r="W48" s="1"/>
      <c r="X48" s="1"/>
      <c r="Y48" s="1"/>
      <c r="Z48" s="1"/>
      <c r="AC48" s="1">
        <v>2728</v>
      </c>
      <c r="AD48" s="1">
        <v>3351</v>
      </c>
      <c r="AE48" s="1">
        <v>5529</v>
      </c>
      <c r="AF48" s="1">
        <v>6648</v>
      </c>
      <c r="AG48" s="9">
        <f t="shared" si="26"/>
        <v>3108</v>
      </c>
      <c r="AH48" s="9">
        <f t="shared" si="27"/>
        <v>0</v>
      </c>
    </row>
    <row r="49" spans="1:48" x14ac:dyDescent="0.2">
      <c r="A49" t="s">
        <v>10</v>
      </c>
      <c r="J49" s="1">
        <v>799</v>
      </c>
      <c r="K49" s="1">
        <v>533</v>
      </c>
      <c r="L49" s="1">
        <v>642</v>
      </c>
      <c r="M49">
        <f t="shared" si="24"/>
        <v>785</v>
      </c>
      <c r="N49" s="1">
        <v>856</v>
      </c>
      <c r="O49" s="1">
        <v>788</v>
      </c>
      <c r="P49" s="1">
        <v>1178</v>
      </c>
      <c r="Q49">
        <f t="shared" si="25"/>
        <v>797</v>
      </c>
      <c r="R49" s="1">
        <v>862</v>
      </c>
      <c r="S49" s="1">
        <v>752</v>
      </c>
      <c r="U49" s="1"/>
      <c r="V49" s="1"/>
      <c r="W49" s="1"/>
      <c r="X49" s="1"/>
      <c r="Y49" s="1"/>
      <c r="Z49" s="1"/>
      <c r="AC49" s="1">
        <v>2762</v>
      </c>
      <c r="AD49" s="1">
        <v>2580</v>
      </c>
      <c r="AE49" s="1">
        <v>2759</v>
      </c>
      <c r="AF49" s="1">
        <v>3619</v>
      </c>
      <c r="AG49" s="9">
        <f t="shared" si="26"/>
        <v>1614</v>
      </c>
      <c r="AH49" s="9">
        <f t="shared" si="27"/>
        <v>0</v>
      </c>
    </row>
    <row r="50" spans="1:48" x14ac:dyDescent="0.2">
      <c r="A50" t="s">
        <v>11</v>
      </c>
      <c r="J50" s="1">
        <v>283</v>
      </c>
      <c r="K50" s="1">
        <v>511</v>
      </c>
      <c r="L50" s="1">
        <v>637</v>
      </c>
      <c r="M50">
        <f t="shared" si="24"/>
        <v>618</v>
      </c>
      <c r="N50" s="1">
        <v>478</v>
      </c>
      <c r="O50" s="1">
        <v>492</v>
      </c>
      <c r="P50" s="1">
        <v>251</v>
      </c>
      <c r="Q50">
        <f t="shared" si="25"/>
        <v>261</v>
      </c>
      <c r="R50" s="1">
        <v>286</v>
      </c>
      <c r="S50" s="1">
        <v>439</v>
      </c>
      <c r="U50" s="1"/>
      <c r="V50" s="1"/>
      <c r="W50" s="1"/>
      <c r="X50" s="1"/>
      <c r="Y50" s="1"/>
      <c r="Z50" s="1"/>
      <c r="AC50" s="1">
        <v>355</v>
      </c>
      <c r="AD50" s="1">
        <v>2697</v>
      </c>
      <c r="AE50" s="1">
        <v>2049</v>
      </c>
      <c r="AF50" s="1">
        <v>1482</v>
      </c>
      <c r="AG50" s="9">
        <f t="shared" si="26"/>
        <v>725</v>
      </c>
      <c r="AH50" s="9">
        <f t="shared" si="27"/>
        <v>0</v>
      </c>
    </row>
    <row r="51" spans="1:48" s="2" customFormat="1" x14ac:dyDescent="0.2">
      <c r="A51" s="2" t="s">
        <v>0</v>
      </c>
      <c r="J51" s="2">
        <f t="shared" ref="J51:O51" si="28">J50+J49+J48+J47+J46</f>
        <v>14448</v>
      </c>
      <c r="K51" s="2">
        <f t="shared" si="28"/>
        <v>14802</v>
      </c>
      <c r="L51" s="2">
        <f t="shared" si="28"/>
        <v>17597</v>
      </c>
      <c r="M51" s="2">
        <f t="shared" si="28"/>
        <v>15723</v>
      </c>
      <c r="N51" s="2">
        <f t="shared" si="28"/>
        <v>15030</v>
      </c>
      <c r="O51" s="2">
        <f t="shared" si="28"/>
        <v>15396</v>
      </c>
      <c r="P51" s="2">
        <f t="shared" ref="P51:S51" si="29">P50+P49+P48+P47+P46</f>
        <v>13116</v>
      </c>
      <c r="Q51" s="2">
        <f t="shared" si="29"/>
        <v>12092</v>
      </c>
      <c r="R51" s="2">
        <f t="shared" si="29"/>
        <v>15935</v>
      </c>
      <c r="S51" s="2">
        <f t="shared" si="29"/>
        <v>11883</v>
      </c>
      <c r="T51" s="2">
        <f t="shared" ref="T51" si="30">T50+T49+T48+T47+T46</f>
        <v>0</v>
      </c>
      <c r="U51" s="2">
        <f t="shared" ref="U51" si="31">U50+U49+U48+U47+U46</f>
        <v>0</v>
      </c>
      <c r="V51" s="2">
        <f t="shared" ref="V51" si="32">V50+V49+V48+V47+V46</f>
        <v>0</v>
      </c>
      <c r="W51" s="2">
        <f t="shared" ref="W51" si="33">W50+W49+W48+W47+W46</f>
        <v>0</v>
      </c>
      <c r="X51" s="2">
        <f t="shared" ref="X51" si="34">X50+X49+X48+X47+X46</f>
        <v>0</v>
      </c>
      <c r="Y51" s="2">
        <f t="shared" ref="Y51" si="35">Y50+Y49+Y48+Y47+Y46</f>
        <v>0</v>
      </c>
      <c r="AC51" s="2">
        <f>AC50+AC49+AC48+AC47+AC46</f>
        <v>32350</v>
      </c>
      <c r="AD51" s="2">
        <f t="shared" ref="AD51:AF51" si="36">AD50+AD49+AD48+AD47+AD46</f>
        <v>61788</v>
      </c>
      <c r="AE51" s="2">
        <f t="shared" si="36"/>
        <v>62570</v>
      </c>
      <c r="AF51" s="2">
        <f t="shared" si="36"/>
        <v>55634</v>
      </c>
      <c r="AG51" s="2">
        <f t="shared" ref="AG51" si="37">AG50+AG49+AG48+AG47+AG46</f>
        <v>27818</v>
      </c>
      <c r="AH51" s="2">
        <f t="shared" ref="AH51" si="38">AH50+AH49+AH48+AH47+AH46</f>
        <v>0</v>
      </c>
      <c r="AI51" s="2">
        <f t="shared" ref="AI51" si="39">AI50+AI49+AI48+AI47+AI46</f>
        <v>0</v>
      </c>
      <c r="AJ51" s="2">
        <f t="shared" ref="AJ51" si="40">AJ50+AJ49+AJ48+AJ47+AJ46</f>
        <v>0</v>
      </c>
      <c r="AK51" s="2">
        <f t="shared" ref="AK51" si="41">AK50+AK49+AK48+AK47+AK46</f>
        <v>0</v>
      </c>
      <c r="AL51" s="2">
        <f t="shared" ref="AL51" si="42">AL50+AL49+AL48+AL47+AL46</f>
        <v>0</v>
      </c>
      <c r="AM51" s="2">
        <f t="shared" ref="AM51" si="43">AM50+AM49+AM48+AM47+AM46</f>
        <v>0</v>
      </c>
      <c r="AN51" s="2">
        <f t="shared" ref="AN51" si="44">AN50+AN49+AN48+AN47+AN46</f>
        <v>0</v>
      </c>
      <c r="AO51" s="2">
        <f t="shared" ref="AO51" si="45">AO50+AO49+AO48+AO47+AO46</f>
        <v>0</v>
      </c>
      <c r="AP51" s="2">
        <f t="shared" ref="AP51" si="46">AP50+AP49+AP48+AP47+AP46</f>
        <v>0</v>
      </c>
      <c r="AQ51" s="2">
        <f t="shared" ref="AQ51" si="47">AQ50+AQ49+AQ48+AQ47+AQ46</f>
        <v>0</v>
      </c>
      <c r="AR51" s="2">
        <f t="shared" ref="AR51" si="48">AR50+AR49+AR48+AR47+AR46</f>
        <v>0</v>
      </c>
      <c r="AS51" s="2">
        <f t="shared" ref="AS51" si="49">AS50+AS49+AS48+AS47+AS46</f>
        <v>0</v>
      </c>
      <c r="AT51" s="2">
        <f t="shared" ref="AT51" si="50">AT50+AT49+AT48+AT47+AT46</f>
        <v>0</v>
      </c>
      <c r="AU51" s="2">
        <f t="shared" ref="AU51" si="51">AU50+AU49+AU48+AU47+AU46</f>
        <v>0</v>
      </c>
      <c r="AV51" s="2">
        <f t="shared" ref="AV51" si="52">AV50+AV49+AV48+AV47+AV46</f>
        <v>0</v>
      </c>
    </row>
    <row r="53" spans="1:48" x14ac:dyDescent="0.2">
      <c r="A53" t="s">
        <v>14</v>
      </c>
      <c r="J53" s="1">
        <v>1771</v>
      </c>
      <c r="K53" s="1">
        <v>1826</v>
      </c>
      <c r="L53" s="1">
        <v>1511</v>
      </c>
      <c r="M53">
        <f t="shared" ref="M53:M58" si="53">AE53-L53-K53-J53</f>
        <v>1232</v>
      </c>
      <c r="N53" s="1">
        <v>1619</v>
      </c>
      <c r="O53" s="1">
        <v>1359</v>
      </c>
      <c r="P53" s="1">
        <v>1341</v>
      </c>
      <c r="Q53">
        <f t="shared" ref="Q53:Q58" si="54">AF53-P53-O53-N53</f>
        <v>2535</v>
      </c>
      <c r="R53" s="1">
        <v>1487</v>
      </c>
      <c r="S53" s="1">
        <v>1605</v>
      </c>
      <c r="U53" s="1"/>
      <c r="V53" s="1"/>
      <c r="W53" s="1"/>
      <c r="X53" s="1"/>
      <c r="Y53" s="1"/>
      <c r="Z53" s="1"/>
      <c r="AC53" s="1">
        <v>4397</v>
      </c>
      <c r="AD53" s="1">
        <v>8451</v>
      </c>
      <c r="AE53" s="1">
        <v>6340</v>
      </c>
      <c r="AF53" s="1">
        <v>6854</v>
      </c>
      <c r="AG53" s="9">
        <f>SUM(R53:U53)</f>
        <v>3092</v>
      </c>
      <c r="AH53" s="9">
        <f>SUM(V53:Y53)</f>
        <v>0</v>
      </c>
    </row>
    <row r="54" spans="1:48" x14ac:dyDescent="0.2">
      <c r="A54" t="s">
        <v>15</v>
      </c>
      <c r="J54" s="1">
        <v>1932</v>
      </c>
      <c r="K54" s="1">
        <v>2695</v>
      </c>
      <c r="L54" s="1">
        <v>3111</v>
      </c>
      <c r="M54">
        <f t="shared" si="53"/>
        <v>3603</v>
      </c>
      <c r="N54" s="1">
        <v>1288</v>
      </c>
      <c r="O54" s="1">
        <v>241</v>
      </c>
      <c r="P54" s="1">
        <v>315</v>
      </c>
      <c r="Q54">
        <f t="shared" si="54"/>
        <v>349</v>
      </c>
      <c r="R54" s="1">
        <v>143</v>
      </c>
      <c r="S54" s="1">
        <v>228</v>
      </c>
      <c r="U54" s="1"/>
      <c r="V54" s="1"/>
      <c r="W54" s="1"/>
      <c r="X54" s="1"/>
      <c r="Y54" s="1"/>
      <c r="Z54" s="1"/>
      <c r="AC54" s="1"/>
      <c r="AD54" s="1">
        <v>5746</v>
      </c>
      <c r="AE54" s="1">
        <v>11341</v>
      </c>
      <c r="AF54" s="1">
        <v>2193</v>
      </c>
      <c r="AG54" s="9">
        <f t="shared" ref="AG54:AG58" si="55">SUM(R54:U54)</f>
        <v>371</v>
      </c>
      <c r="AH54" s="9">
        <f t="shared" ref="AH54:AH58" si="56">SUM(V54:Y54)</f>
        <v>0</v>
      </c>
    </row>
    <row r="55" spans="1:48" x14ac:dyDescent="0.2">
      <c r="A55" t="s">
        <v>9</v>
      </c>
      <c r="J55" s="1">
        <v>1544</v>
      </c>
      <c r="K55" s="1">
        <v>1725</v>
      </c>
      <c r="L55" s="1">
        <v>1653</v>
      </c>
      <c r="M55">
        <f t="shared" si="53"/>
        <v>1695</v>
      </c>
      <c r="N55" s="1">
        <v>1768</v>
      </c>
      <c r="O55" s="1">
        <v>1294</v>
      </c>
      <c r="P55" s="1">
        <v>1157</v>
      </c>
      <c r="Q55">
        <f t="shared" si="54"/>
        <v>1318</v>
      </c>
      <c r="R55" s="1">
        <v>1227</v>
      </c>
      <c r="S55" s="1">
        <v>889</v>
      </c>
      <c r="U55" s="1"/>
      <c r="V55" s="1"/>
      <c r="W55" s="1"/>
      <c r="X55" s="1"/>
      <c r="Y55" s="1"/>
      <c r="Z55" s="1"/>
      <c r="AC55" s="1">
        <v>1462</v>
      </c>
      <c r="AD55" s="1">
        <v>5651</v>
      </c>
      <c r="AE55" s="1">
        <v>6617</v>
      </c>
      <c r="AF55" s="1">
        <v>5537</v>
      </c>
      <c r="AG55" s="9">
        <f t="shared" si="55"/>
        <v>2116</v>
      </c>
      <c r="AH55" s="9">
        <f t="shared" si="56"/>
        <v>0</v>
      </c>
    </row>
    <row r="56" spans="1:48" x14ac:dyDescent="0.2">
      <c r="A56" t="s">
        <v>10</v>
      </c>
      <c r="J56" s="1">
        <v>2182</v>
      </c>
      <c r="K56" s="1">
        <v>2169</v>
      </c>
      <c r="L56" s="1">
        <v>2003</v>
      </c>
      <c r="M56">
        <f t="shared" si="53"/>
        <v>2064</v>
      </c>
      <c r="N56" s="1">
        <v>1221</v>
      </c>
      <c r="O56" s="1">
        <v>1443</v>
      </c>
      <c r="P56" s="1">
        <v>1678</v>
      </c>
      <c r="Q56">
        <f t="shared" si="54"/>
        <v>1201</v>
      </c>
      <c r="R56" s="1">
        <v>1192</v>
      </c>
      <c r="S56" s="1">
        <v>1091</v>
      </c>
      <c r="U56" s="1"/>
      <c r="V56" s="1"/>
      <c r="W56" s="1"/>
      <c r="X56" s="1"/>
      <c r="Y56" s="1"/>
      <c r="Z56" s="1"/>
      <c r="AC56" s="1">
        <v>3409</v>
      </c>
      <c r="AD56" s="1">
        <v>5446</v>
      </c>
      <c r="AE56" s="1">
        <v>8418</v>
      </c>
      <c r="AF56" s="1">
        <v>5543</v>
      </c>
      <c r="AG56" s="9">
        <f t="shared" si="55"/>
        <v>2283</v>
      </c>
      <c r="AH56" s="9">
        <f t="shared" si="56"/>
        <v>0</v>
      </c>
    </row>
    <row r="57" spans="1:48" x14ac:dyDescent="0.2">
      <c r="A57" t="s">
        <v>16</v>
      </c>
      <c r="J57" s="1">
        <v>1010</v>
      </c>
      <c r="K57" s="1">
        <v>1084</v>
      </c>
      <c r="L57" s="1">
        <v>1152</v>
      </c>
      <c r="M57">
        <f t="shared" si="53"/>
        <v>1153</v>
      </c>
      <c r="N57" s="1">
        <v>1125</v>
      </c>
      <c r="O57" s="1">
        <v>945</v>
      </c>
      <c r="P57" s="1">
        <v>810</v>
      </c>
      <c r="Q57">
        <f t="shared" si="54"/>
        <v>802</v>
      </c>
      <c r="R57" s="1">
        <v>798</v>
      </c>
      <c r="S57" s="1">
        <v>607</v>
      </c>
      <c r="U57" s="1"/>
      <c r="V57" s="1"/>
      <c r="W57" s="1"/>
      <c r="X57" s="1"/>
      <c r="Y57" s="1"/>
      <c r="Z57" s="1"/>
      <c r="AC57" s="1">
        <v>1993</v>
      </c>
      <c r="AD57" s="1">
        <v>3764</v>
      </c>
      <c r="AE57" s="1">
        <v>4399</v>
      </c>
      <c r="AF57" s="1">
        <v>3682</v>
      </c>
      <c r="AG57" s="9">
        <f t="shared" si="55"/>
        <v>1405</v>
      </c>
      <c r="AH57" s="9">
        <f t="shared" si="56"/>
        <v>0</v>
      </c>
    </row>
    <row r="58" spans="1:48" x14ac:dyDescent="0.2">
      <c r="A58" t="s">
        <v>17</v>
      </c>
      <c r="J58" s="1">
        <v>1312</v>
      </c>
      <c r="K58" s="1">
        <v>1574</v>
      </c>
      <c r="L58" s="1">
        <v>1403</v>
      </c>
      <c r="M58">
        <f t="shared" si="53"/>
        <v>1644</v>
      </c>
      <c r="N58" s="1">
        <v>1050</v>
      </c>
      <c r="O58" s="1">
        <v>843</v>
      </c>
      <c r="P58" s="1">
        <v>939</v>
      </c>
      <c r="Q58">
        <f t="shared" si="54"/>
        <v>675</v>
      </c>
      <c r="R58" s="1">
        <v>736</v>
      </c>
      <c r="S58" s="1">
        <v>873</v>
      </c>
      <c r="U58" s="1"/>
      <c r="V58" s="1"/>
      <c r="W58" s="1"/>
      <c r="X58" s="1"/>
      <c r="Y58" s="1"/>
      <c r="Z58" s="1"/>
      <c r="AC58" s="1">
        <v>1971</v>
      </c>
      <c r="AD58" s="1">
        <v>3620</v>
      </c>
      <c r="AE58" s="1">
        <v>5933</v>
      </c>
      <c r="AF58" s="1">
        <v>3507</v>
      </c>
      <c r="AG58" s="9">
        <f t="shared" si="55"/>
        <v>1609</v>
      </c>
      <c r="AH58" s="9">
        <f t="shared" si="56"/>
        <v>0</v>
      </c>
    </row>
    <row r="59" spans="1:48" s="2" customFormat="1" x14ac:dyDescent="0.2">
      <c r="A59" s="2" t="s">
        <v>1</v>
      </c>
      <c r="J59" s="2">
        <f t="shared" ref="J59:S59" si="57">J58+J57+J56+J55+J54+J53</f>
        <v>9751</v>
      </c>
      <c r="K59" s="2">
        <f t="shared" si="57"/>
        <v>11073</v>
      </c>
      <c r="L59" s="2">
        <f t="shared" si="57"/>
        <v>10833</v>
      </c>
      <c r="M59" s="2">
        <f t="shared" si="57"/>
        <v>11391</v>
      </c>
      <c r="N59" s="2">
        <f t="shared" si="57"/>
        <v>8071</v>
      </c>
      <c r="O59" s="2">
        <f t="shared" si="57"/>
        <v>6125</v>
      </c>
      <c r="P59" s="2">
        <f t="shared" si="57"/>
        <v>6240</v>
      </c>
      <c r="Q59" s="2">
        <f t="shared" si="57"/>
        <v>6880</v>
      </c>
      <c r="R59" s="2">
        <f t="shared" si="57"/>
        <v>5583</v>
      </c>
      <c r="S59" s="2">
        <f t="shared" si="57"/>
        <v>5293</v>
      </c>
      <c r="AC59" s="2">
        <f t="shared" ref="AC59:AV59" si="58">AC58+AC57+AC56+AC55+AC54+AC53</f>
        <v>13232</v>
      </c>
      <c r="AD59" s="2">
        <f t="shared" si="58"/>
        <v>32678</v>
      </c>
      <c r="AE59" s="2">
        <f t="shared" si="58"/>
        <v>43048</v>
      </c>
      <c r="AF59" s="2">
        <f t="shared" si="58"/>
        <v>27316</v>
      </c>
      <c r="AG59" s="2">
        <f t="shared" si="58"/>
        <v>10876</v>
      </c>
      <c r="AH59" s="2">
        <f t="shared" si="58"/>
        <v>0</v>
      </c>
      <c r="AI59" s="2">
        <f t="shared" si="58"/>
        <v>0</v>
      </c>
      <c r="AJ59" s="2">
        <f t="shared" si="58"/>
        <v>0</v>
      </c>
      <c r="AK59" s="2">
        <f t="shared" si="58"/>
        <v>0</v>
      </c>
      <c r="AL59" s="2">
        <f t="shared" si="58"/>
        <v>0</v>
      </c>
      <c r="AM59" s="2">
        <f t="shared" si="58"/>
        <v>0</v>
      </c>
      <c r="AN59" s="2">
        <f t="shared" si="58"/>
        <v>0</v>
      </c>
      <c r="AO59" s="2">
        <f t="shared" si="58"/>
        <v>0</v>
      </c>
      <c r="AP59" s="2">
        <f t="shared" si="58"/>
        <v>0</v>
      </c>
      <c r="AQ59" s="2">
        <f t="shared" si="58"/>
        <v>0</v>
      </c>
      <c r="AR59" s="2">
        <f t="shared" si="58"/>
        <v>0</v>
      </c>
      <c r="AS59" s="2">
        <f t="shared" si="58"/>
        <v>0</v>
      </c>
      <c r="AT59" s="2">
        <f t="shared" si="58"/>
        <v>0</v>
      </c>
      <c r="AU59" s="2">
        <f t="shared" si="58"/>
        <v>0</v>
      </c>
      <c r="AV59" s="2">
        <f t="shared" si="58"/>
        <v>0</v>
      </c>
    </row>
    <row r="61" spans="1:48" s="2" customFormat="1" x14ac:dyDescent="0.2">
      <c r="A61" s="2" t="s">
        <v>41</v>
      </c>
      <c r="J61" s="2">
        <f t="shared" ref="J61:S61" si="59">J51+J59</f>
        <v>24199</v>
      </c>
      <c r="K61" s="2">
        <f t="shared" si="59"/>
        <v>25875</v>
      </c>
      <c r="L61" s="2">
        <f t="shared" si="59"/>
        <v>28430</v>
      </c>
      <c r="M61" s="2">
        <f t="shared" si="59"/>
        <v>27114</v>
      </c>
      <c r="N61" s="2">
        <f t="shared" si="59"/>
        <v>23101</v>
      </c>
      <c r="O61" s="2">
        <f t="shared" si="59"/>
        <v>21521</v>
      </c>
      <c r="P61" s="2">
        <f t="shared" si="59"/>
        <v>19356</v>
      </c>
      <c r="Q61" s="2">
        <f t="shared" si="59"/>
        <v>18972</v>
      </c>
      <c r="R61" s="2">
        <f t="shared" si="59"/>
        <v>21518</v>
      </c>
      <c r="S61" s="2">
        <f t="shared" si="59"/>
        <v>17176</v>
      </c>
      <c r="T61" s="2">
        <f>S61</f>
        <v>17176</v>
      </c>
      <c r="U61" s="2">
        <f t="shared" ref="U61:Y61" si="60">T61</f>
        <v>17176</v>
      </c>
      <c r="V61" s="2">
        <f t="shared" si="60"/>
        <v>17176</v>
      </c>
      <c r="W61" s="2">
        <f t="shared" si="60"/>
        <v>17176</v>
      </c>
      <c r="X61" s="2">
        <f t="shared" si="60"/>
        <v>17176</v>
      </c>
      <c r="Y61" s="2">
        <f t="shared" si="60"/>
        <v>17176</v>
      </c>
      <c r="AC61" s="2">
        <f>AC51+AC59</f>
        <v>45582</v>
      </c>
      <c r="AD61" s="2">
        <f>AD51+AD59</f>
        <v>94466</v>
      </c>
      <c r="AE61" s="2">
        <f>AE51+AE59</f>
        <v>105618</v>
      </c>
      <c r="AF61" s="2">
        <f>AF51+AF59</f>
        <v>82950</v>
      </c>
      <c r="AG61" s="2">
        <f>AG51+AG59</f>
        <v>38694</v>
      </c>
      <c r="AH61" s="24">
        <f>AG61*1.03</f>
        <v>39854.82</v>
      </c>
      <c r="AI61" s="24">
        <f t="shared" ref="AI61:AU61" si="61">AH61*1.03</f>
        <v>41050.464599999999</v>
      </c>
      <c r="AJ61" s="24">
        <f t="shared" si="61"/>
        <v>42281.978538000003</v>
      </c>
      <c r="AK61" s="24">
        <f t="shared" si="61"/>
        <v>43550.437894140006</v>
      </c>
      <c r="AL61" s="24">
        <f t="shared" si="61"/>
        <v>44856.951030964206</v>
      </c>
      <c r="AM61" s="24">
        <f t="shared" si="61"/>
        <v>46202.659561893131</v>
      </c>
      <c r="AN61" s="24">
        <f t="shared" si="61"/>
        <v>47588.739348749928</v>
      </c>
      <c r="AO61" s="24">
        <f t="shared" si="61"/>
        <v>49016.401529212424</v>
      </c>
      <c r="AP61" s="24">
        <f t="shared" si="61"/>
        <v>50486.893575088798</v>
      </c>
      <c r="AQ61" s="24">
        <f t="shared" si="61"/>
        <v>52001.500382341466</v>
      </c>
      <c r="AR61" s="24">
        <f t="shared" si="61"/>
        <v>53561.545393811713</v>
      </c>
      <c r="AS61" s="24">
        <f t="shared" si="61"/>
        <v>55168.391755626064</v>
      </c>
      <c r="AT61" s="24">
        <f t="shared" si="61"/>
        <v>56823.443508294848</v>
      </c>
      <c r="AU61" s="24">
        <f t="shared" si="61"/>
        <v>58528.146813543695</v>
      </c>
      <c r="AV61" s="24">
        <f>AU61*0.8</f>
        <v>46822.517450834959</v>
      </c>
    </row>
    <row r="62" spans="1:48" s="2" customFormat="1" x14ac:dyDescent="0.2"/>
    <row r="63" spans="1:48" x14ac:dyDescent="0.2">
      <c r="A63" s="2" t="s">
        <v>44</v>
      </c>
      <c r="J63">
        <f t="shared" ref="J63:S63" si="62">J42-J61</f>
        <v>-24199</v>
      </c>
      <c r="K63">
        <f t="shared" si="62"/>
        <v>-25875</v>
      </c>
      <c r="L63">
        <f t="shared" si="62"/>
        <v>-28430</v>
      </c>
      <c r="M63">
        <f t="shared" si="62"/>
        <v>-27114</v>
      </c>
      <c r="N63">
        <f t="shared" si="62"/>
        <v>-23101</v>
      </c>
      <c r="O63">
        <f t="shared" si="62"/>
        <v>-21521</v>
      </c>
      <c r="P63">
        <f t="shared" si="62"/>
        <v>-19356</v>
      </c>
      <c r="Q63">
        <f t="shared" si="62"/>
        <v>-18972</v>
      </c>
      <c r="R63">
        <f t="shared" si="62"/>
        <v>-10858</v>
      </c>
      <c r="S63">
        <f t="shared" si="62"/>
        <v>-17176</v>
      </c>
      <c r="T63">
        <f t="shared" ref="T63:Y63" si="63">T42-T61</f>
        <v>-17176</v>
      </c>
      <c r="U63">
        <f t="shared" si="63"/>
        <v>-16264.75</v>
      </c>
      <c r="V63">
        <f t="shared" si="63"/>
        <v>-14442.25</v>
      </c>
      <c r="W63">
        <f t="shared" si="63"/>
        <v>-12619.75</v>
      </c>
      <c r="X63">
        <f t="shared" si="63"/>
        <v>-10797.25</v>
      </c>
      <c r="Y63">
        <f t="shared" si="63"/>
        <v>-9886</v>
      </c>
      <c r="AC63">
        <f t="shared" ref="AC63:AV63" si="64">AC42-AC61</f>
        <v>-45582</v>
      </c>
      <c r="AD63">
        <f t="shared" si="64"/>
        <v>-94466</v>
      </c>
      <c r="AE63">
        <f t="shared" si="64"/>
        <v>-105618</v>
      </c>
      <c r="AF63">
        <f t="shared" si="64"/>
        <v>-82950</v>
      </c>
      <c r="AG63" s="9">
        <f t="shared" si="64"/>
        <v>-27122.75</v>
      </c>
      <c r="AH63" s="9">
        <f t="shared" si="64"/>
        <v>-18896.07</v>
      </c>
      <c r="AI63" s="9">
        <f t="shared" si="64"/>
        <v>9007.5354000000007</v>
      </c>
      <c r="AJ63" s="9">
        <f t="shared" si="64"/>
        <v>35057.631462000012</v>
      </c>
      <c r="AK63" s="9">
        <f t="shared" si="64"/>
        <v>44960.449105860011</v>
      </c>
      <c r="AL63" s="9">
        <f t="shared" si="64"/>
        <v>46309.262579035814</v>
      </c>
      <c r="AM63" s="9">
        <f t="shared" si="64"/>
        <v>47698.540456406889</v>
      </c>
      <c r="AN63" s="9">
        <f t="shared" si="64"/>
        <v>49129.496670099099</v>
      </c>
      <c r="AO63" s="9">
        <f t="shared" si="64"/>
        <v>50603.38157020208</v>
      </c>
      <c r="AP63" s="9">
        <f t="shared" si="64"/>
        <v>52121.48301730815</v>
      </c>
      <c r="AQ63" s="9">
        <f t="shared" si="64"/>
        <v>53685.127507827383</v>
      </c>
      <c r="AR63" s="9">
        <f t="shared" si="64"/>
        <v>55295.681333062195</v>
      </c>
      <c r="AS63" s="9">
        <f t="shared" si="64"/>
        <v>56954.551773054067</v>
      </c>
      <c r="AT63" s="9">
        <f t="shared" si="64"/>
        <v>58663.188326245683</v>
      </c>
      <c r="AU63" s="9">
        <f t="shared" si="64"/>
        <v>60423.083976033078</v>
      </c>
      <c r="AV63" s="9">
        <f t="shared" si="64"/>
        <v>14437.366405797082</v>
      </c>
    </row>
    <row r="65" spans="1:48" x14ac:dyDescent="0.2">
      <c r="A65" t="s">
        <v>2</v>
      </c>
      <c r="J65" s="1">
        <v>76</v>
      </c>
      <c r="K65" s="1">
        <v>169</v>
      </c>
      <c r="L65" s="1">
        <v>76</v>
      </c>
      <c r="M65">
        <f t="shared" ref="M65:M67" si="65">AE65-L65-K65-J65</f>
        <v>234</v>
      </c>
      <c r="N65" s="1">
        <v>76</v>
      </c>
      <c r="O65" s="1">
        <v>111</v>
      </c>
      <c r="P65" s="1">
        <v>227</v>
      </c>
      <c r="Q65">
        <f t="shared" ref="Q65:Q67" si="66">AF65-P65-O65-N65</f>
        <v>271</v>
      </c>
      <c r="R65" s="1">
        <v>221</v>
      </c>
      <c r="S65" s="1">
        <v>408</v>
      </c>
      <c r="U65" s="1"/>
      <c r="V65" s="1"/>
      <c r="W65" s="1"/>
      <c r="X65" s="1"/>
      <c r="Y65" s="1"/>
      <c r="Z65" s="1"/>
      <c r="AC65" s="1">
        <v>93</v>
      </c>
      <c r="AD65" s="1">
        <v>559</v>
      </c>
      <c r="AE65" s="1">
        <v>555</v>
      </c>
      <c r="AF65" s="1">
        <v>685</v>
      </c>
      <c r="AG65" s="9">
        <f t="shared" ref="AG65" si="67">SUM(R65:U65)</f>
        <v>629</v>
      </c>
      <c r="AH65" s="9">
        <f t="shared" ref="AH65" si="68">SUM(V65:Y65)</f>
        <v>0</v>
      </c>
    </row>
    <row r="66" spans="1:48" x14ac:dyDescent="0.2">
      <c r="A66" t="s">
        <v>13</v>
      </c>
      <c r="O66" s="1">
        <v>-4357</v>
      </c>
      <c r="P66" s="1">
        <v>36</v>
      </c>
      <c r="Q66">
        <f t="shared" si="66"/>
        <v>4255</v>
      </c>
      <c r="R66" s="1">
        <v>469</v>
      </c>
      <c r="S66" s="1">
        <v>-12804</v>
      </c>
      <c r="U66" s="1"/>
      <c r="V66" s="1"/>
      <c r="W66" s="1"/>
      <c r="X66" s="1"/>
      <c r="Y66" s="1"/>
      <c r="Z66" s="1"/>
      <c r="AF66" s="1">
        <v>-66</v>
      </c>
      <c r="AG66" s="9">
        <f t="shared" ref="AG66:AG67" si="69">SUM(R66:U66)</f>
        <v>-12335</v>
      </c>
      <c r="AH66" s="9">
        <f t="shared" ref="AH66:AH67" si="70">SUM(V66:Y66)</f>
        <v>0</v>
      </c>
    </row>
    <row r="67" spans="1:48" x14ac:dyDescent="0.2">
      <c r="A67" t="s">
        <v>3</v>
      </c>
      <c r="J67" s="1">
        <v>-56</v>
      </c>
      <c r="K67" s="1">
        <v>-122</v>
      </c>
      <c r="L67" s="1">
        <v>-64</v>
      </c>
      <c r="M67">
        <f t="shared" si="65"/>
        <v>-279</v>
      </c>
      <c r="N67" s="1">
        <v>-96</v>
      </c>
      <c r="O67" s="1">
        <v>-90</v>
      </c>
      <c r="P67" s="1">
        <v>-8</v>
      </c>
      <c r="Q67">
        <f t="shared" si="66"/>
        <v>17</v>
      </c>
      <c r="R67" s="1">
        <v>31</v>
      </c>
      <c r="S67" s="1">
        <v>-5</v>
      </c>
      <c r="U67" s="1"/>
      <c r="V67" s="1"/>
      <c r="W67" s="1"/>
      <c r="X67" s="1"/>
      <c r="Y67" s="1"/>
      <c r="Z67" s="1"/>
      <c r="AC67" s="1">
        <v>-24</v>
      </c>
      <c r="AD67" s="1">
        <v>-54</v>
      </c>
      <c r="AE67" s="1">
        <v>-521</v>
      </c>
      <c r="AF67" s="1">
        <v>-177</v>
      </c>
      <c r="AG67" s="9">
        <f t="shared" si="69"/>
        <v>26</v>
      </c>
      <c r="AH67" s="9">
        <f t="shared" si="70"/>
        <v>0</v>
      </c>
    </row>
    <row r="68" spans="1:48" s="2" customFormat="1" x14ac:dyDescent="0.2">
      <c r="A68" s="2" t="s">
        <v>4</v>
      </c>
      <c r="J68" s="2">
        <f>J65+J66+J67</f>
        <v>20</v>
      </c>
      <c r="K68" s="2">
        <f t="shared" ref="K68:S68" si="71">K65+K66+K67</f>
        <v>47</v>
      </c>
      <c r="L68" s="2">
        <f t="shared" si="71"/>
        <v>12</v>
      </c>
      <c r="M68" s="2">
        <f t="shared" si="71"/>
        <v>-45</v>
      </c>
      <c r="N68" s="2">
        <f t="shared" si="71"/>
        <v>-20</v>
      </c>
      <c r="O68" s="2">
        <f t="shared" si="71"/>
        <v>-4336</v>
      </c>
      <c r="P68" s="2">
        <f t="shared" si="71"/>
        <v>255</v>
      </c>
      <c r="Q68" s="2">
        <f t="shared" si="71"/>
        <v>4543</v>
      </c>
      <c r="R68" s="2">
        <f t="shared" si="71"/>
        <v>721</v>
      </c>
      <c r="S68" s="2">
        <f t="shared" si="71"/>
        <v>-12401</v>
      </c>
      <c r="AC68" s="2">
        <f>AC67+AC66+AC65</f>
        <v>69</v>
      </c>
      <c r="AD68" s="2">
        <f t="shared" ref="AD68:AH68" si="72">AD67+AD66+AD65</f>
        <v>505</v>
      </c>
      <c r="AE68" s="2">
        <f t="shared" si="72"/>
        <v>34</v>
      </c>
      <c r="AF68" s="2">
        <f t="shared" si="72"/>
        <v>442</v>
      </c>
      <c r="AG68" s="2">
        <f t="shared" si="72"/>
        <v>-11680</v>
      </c>
      <c r="AH68" s="2">
        <f t="shared" si="72"/>
        <v>0</v>
      </c>
      <c r="AI68" s="2">
        <f>AI67+AI66+AI65</f>
        <v>0</v>
      </c>
      <c r="AJ68" s="2">
        <f t="shared" ref="AJ68" si="73">AJ67+AJ66+AJ65</f>
        <v>0</v>
      </c>
      <c r="AK68" s="2">
        <f t="shared" ref="AK68" si="74">AK67+AK66+AK65</f>
        <v>0</v>
      </c>
      <c r="AL68" s="2">
        <f t="shared" ref="AL68" si="75">AL67+AL66+AL65</f>
        <v>0</v>
      </c>
      <c r="AM68" s="2">
        <f t="shared" ref="AM68" si="76">AM67+AM66+AM65</f>
        <v>0</v>
      </c>
      <c r="AN68" s="2">
        <f t="shared" ref="AN68" si="77">AN67+AN66+AN65</f>
        <v>0</v>
      </c>
      <c r="AO68" s="2">
        <f t="shared" ref="AO68" si="78">AO67+AO66+AO65</f>
        <v>0</v>
      </c>
      <c r="AP68" s="2">
        <f t="shared" ref="AP68" si="79">AP67+AP66+AP65</f>
        <v>0</v>
      </c>
      <c r="AQ68" s="2">
        <f t="shared" ref="AQ68" si="80">AQ67+AQ66+AQ65</f>
        <v>0</v>
      </c>
      <c r="AR68" s="2">
        <f t="shared" ref="AR68" si="81">AR67+AR66+AR65</f>
        <v>0</v>
      </c>
      <c r="AS68" s="2">
        <f t="shared" ref="AS68" si="82">AS67+AS66+AS65</f>
        <v>0</v>
      </c>
      <c r="AT68" s="2">
        <f t="shared" ref="AT68" si="83">AT67+AT66+AT65</f>
        <v>0</v>
      </c>
      <c r="AU68" s="2">
        <f t="shared" ref="AU68" si="84">AU67+AU66+AU65</f>
        <v>0</v>
      </c>
      <c r="AV68" s="2">
        <f t="shared" ref="AV68" si="85">AV67+AV66+AV65</f>
        <v>0</v>
      </c>
    </row>
    <row r="70" spans="1:48" x14ac:dyDescent="0.2">
      <c r="A70" s="2" t="s">
        <v>40</v>
      </c>
      <c r="J70">
        <f>J63+J68</f>
        <v>-24179</v>
      </c>
      <c r="K70">
        <f t="shared" ref="K70:Y70" si="86">K63+K68</f>
        <v>-25828</v>
      </c>
      <c r="L70">
        <f t="shared" si="86"/>
        <v>-28418</v>
      </c>
      <c r="M70">
        <f t="shared" si="86"/>
        <v>-27159</v>
      </c>
      <c r="N70">
        <f t="shared" si="86"/>
        <v>-23121</v>
      </c>
      <c r="O70">
        <f t="shared" si="86"/>
        <v>-25857</v>
      </c>
      <c r="P70">
        <f t="shared" si="86"/>
        <v>-19101</v>
      </c>
      <c r="Q70">
        <f t="shared" si="86"/>
        <v>-14429</v>
      </c>
      <c r="R70">
        <f t="shared" si="86"/>
        <v>-10137</v>
      </c>
      <c r="S70">
        <f t="shared" si="86"/>
        <v>-29577</v>
      </c>
      <c r="T70">
        <f t="shared" si="86"/>
        <v>-17176</v>
      </c>
      <c r="U70">
        <f t="shared" si="86"/>
        <v>-16264.75</v>
      </c>
      <c r="V70">
        <f t="shared" si="86"/>
        <v>-14442.25</v>
      </c>
      <c r="W70">
        <f t="shared" si="86"/>
        <v>-12619.75</v>
      </c>
      <c r="X70">
        <f t="shared" si="86"/>
        <v>-10797.25</v>
      </c>
      <c r="Y70">
        <f t="shared" si="86"/>
        <v>-9886</v>
      </c>
      <c r="AC70">
        <f t="shared" ref="AC70:AV70" si="87">AC63+AC68</f>
        <v>-45513</v>
      </c>
      <c r="AD70">
        <f t="shared" si="87"/>
        <v>-93961</v>
      </c>
      <c r="AE70">
        <f t="shared" si="87"/>
        <v>-105584</v>
      </c>
      <c r="AF70">
        <f t="shared" si="87"/>
        <v>-82508</v>
      </c>
      <c r="AG70" s="9">
        <f t="shared" si="87"/>
        <v>-38802.75</v>
      </c>
      <c r="AH70" s="9">
        <f t="shared" si="87"/>
        <v>-18896.07</v>
      </c>
      <c r="AI70" s="9">
        <f t="shared" si="87"/>
        <v>9007.5354000000007</v>
      </c>
      <c r="AJ70" s="9">
        <f t="shared" si="87"/>
        <v>35057.631462000012</v>
      </c>
      <c r="AK70" s="9">
        <f t="shared" si="87"/>
        <v>44960.449105860011</v>
      </c>
      <c r="AL70" s="9">
        <f t="shared" si="87"/>
        <v>46309.262579035814</v>
      </c>
      <c r="AM70" s="9">
        <f t="shared" si="87"/>
        <v>47698.540456406889</v>
      </c>
      <c r="AN70" s="9">
        <f t="shared" si="87"/>
        <v>49129.496670099099</v>
      </c>
      <c r="AO70" s="9">
        <f t="shared" si="87"/>
        <v>50603.38157020208</v>
      </c>
      <c r="AP70" s="9">
        <f t="shared" si="87"/>
        <v>52121.48301730815</v>
      </c>
      <c r="AQ70" s="9">
        <f t="shared" si="87"/>
        <v>53685.127507827383</v>
      </c>
      <c r="AR70" s="9">
        <f t="shared" si="87"/>
        <v>55295.681333062195</v>
      </c>
      <c r="AS70" s="9">
        <f t="shared" si="87"/>
        <v>56954.551773054067</v>
      </c>
      <c r="AT70" s="9">
        <f t="shared" si="87"/>
        <v>58663.188326245683</v>
      </c>
      <c r="AU70" s="9">
        <f t="shared" si="87"/>
        <v>60423.083976033078</v>
      </c>
      <c r="AV70" s="9">
        <f t="shared" si="87"/>
        <v>14437.366405797082</v>
      </c>
    </row>
    <row r="71" spans="1:48" x14ac:dyDescent="0.2">
      <c r="A71" s="2"/>
    </row>
    <row r="72" spans="1:48" x14ac:dyDescent="0.2">
      <c r="A72" t="s">
        <v>45</v>
      </c>
    </row>
    <row r="73" spans="1:48" x14ac:dyDescent="0.2">
      <c r="A73" t="s">
        <v>5</v>
      </c>
    </row>
    <row r="74" spans="1:48" x14ac:dyDescent="0.2">
      <c r="A74" t="s">
        <v>39</v>
      </c>
      <c r="J74" s="1">
        <v>-24179</v>
      </c>
      <c r="K74" s="1">
        <v>-25828</v>
      </c>
      <c r="L74" s="1">
        <v>-28418</v>
      </c>
      <c r="M74">
        <f t="shared" ref="M74" si="88">AE74-L74-K74-J74</f>
        <v>-27159</v>
      </c>
      <c r="N74" s="1">
        <v>-23121</v>
      </c>
      <c r="O74" s="1">
        <v>-25857</v>
      </c>
      <c r="P74" s="1">
        <v>-19101</v>
      </c>
      <c r="Q74">
        <f t="shared" ref="Q74" si="89">AF74-P74-O74-N74</f>
        <v>-14429</v>
      </c>
      <c r="R74" s="1">
        <v>-10137</v>
      </c>
      <c r="S74" s="1">
        <v>-29577</v>
      </c>
      <c r="U74" s="1"/>
      <c r="V74" s="1"/>
      <c r="W74" s="1"/>
      <c r="X74" s="1"/>
      <c r="Y74" s="1"/>
      <c r="Z74" s="1"/>
      <c r="AC74">
        <v>-45513</v>
      </c>
      <c r="AD74">
        <v>-93961</v>
      </c>
      <c r="AE74">
        <v>-105584</v>
      </c>
      <c r="AF74">
        <v>-82508</v>
      </c>
      <c r="AH74" s="8"/>
    </row>
    <row r="75" spans="1:48" s="2" customFormat="1" x14ac:dyDescent="0.2">
      <c r="A75" s="2" t="s">
        <v>6</v>
      </c>
      <c r="J75" s="2">
        <f>J70-J72</f>
        <v>-24179</v>
      </c>
      <c r="K75" s="2">
        <f t="shared" ref="K75:Y75" si="90">K70-K72</f>
        <v>-25828</v>
      </c>
      <c r="L75" s="2">
        <f t="shared" si="90"/>
        <v>-28418</v>
      </c>
      <c r="M75" s="2">
        <f t="shared" si="90"/>
        <v>-27159</v>
      </c>
      <c r="N75" s="2">
        <f t="shared" si="90"/>
        <v>-23121</v>
      </c>
      <c r="O75" s="2">
        <f t="shared" si="90"/>
        <v>-25857</v>
      </c>
      <c r="P75" s="2">
        <f t="shared" si="90"/>
        <v>-19101</v>
      </c>
      <c r="Q75" s="2">
        <f t="shared" si="90"/>
        <v>-14429</v>
      </c>
      <c r="R75" s="2">
        <f t="shared" si="90"/>
        <v>-10137</v>
      </c>
      <c r="S75" s="2">
        <f t="shared" si="90"/>
        <v>-29577</v>
      </c>
      <c r="T75" s="2">
        <f t="shared" si="90"/>
        <v>-17176</v>
      </c>
      <c r="U75" s="2">
        <f t="shared" si="90"/>
        <v>-16264.75</v>
      </c>
      <c r="V75" s="2">
        <f t="shared" si="90"/>
        <v>-14442.25</v>
      </c>
      <c r="W75" s="2">
        <f t="shared" si="90"/>
        <v>-12619.75</v>
      </c>
      <c r="X75" s="2">
        <f t="shared" si="90"/>
        <v>-10797.25</v>
      </c>
      <c r="Y75" s="2">
        <f t="shared" si="90"/>
        <v>-9886</v>
      </c>
      <c r="AC75" s="2">
        <f t="shared" ref="AC75:AV75" si="91">AC70-AC72</f>
        <v>-45513</v>
      </c>
      <c r="AD75" s="2">
        <f t="shared" si="91"/>
        <v>-93961</v>
      </c>
      <c r="AE75" s="2">
        <f t="shared" si="91"/>
        <v>-105584</v>
      </c>
      <c r="AF75" s="2">
        <f t="shared" si="91"/>
        <v>-82508</v>
      </c>
      <c r="AG75" s="24">
        <f t="shared" si="91"/>
        <v>-38802.75</v>
      </c>
      <c r="AH75" s="24">
        <f t="shared" si="91"/>
        <v>-18896.07</v>
      </c>
      <c r="AI75" s="24">
        <f t="shared" si="91"/>
        <v>9007.5354000000007</v>
      </c>
      <c r="AJ75" s="24">
        <f t="shared" si="91"/>
        <v>35057.631462000012</v>
      </c>
      <c r="AK75" s="24">
        <f t="shared" si="91"/>
        <v>44960.449105860011</v>
      </c>
      <c r="AL75" s="24">
        <f t="shared" si="91"/>
        <v>46309.262579035814</v>
      </c>
      <c r="AM75" s="24">
        <f t="shared" si="91"/>
        <v>47698.540456406889</v>
      </c>
      <c r="AN75" s="24">
        <f t="shared" si="91"/>
        <v>49129.496670099099</v>
      </c>
      <c r="AO75" s="24">
        <f t="shared" si="91"/>
        <v>50603.38157020208</v>
      </c>
      <c r="AP75" s="24">
        <f t="shared" si="91"/>
        <v>52121.48301730815</v>
      </c>
      <c r="AQ75" s="24">
        <f t="shared" si="91"/>
        <v>53685.127507827383</v>
      </c>
      <c r="AR75" s="24">
        <f t="shared" si="91"/>
        <v>55295.681333062195</v>
      </c>
      <c r="AS75" s="24">
        <f t="shared" si="91"/>
        <v>56954.551773054067</v>
      </c>
      <c r="AT75" s="24">
        <f t="shared" si="91"/>
        <v>58663.188326245683</v>
      </c>
      <c r="AU75" s="24">
        <f t="shared" si="91"/>
        <v>60423.083976033078</v>
      </c>
      <c r="AV75" s="24">
        <f t="shared" si="91"/>
        <v>14437.366405797082</v>
      </c>
    </row>
    <row r="76" spans="1:48" x14ac:dyDescent="0.2">
      <c r="A76" t="s">
        <v>12</v>
      </c>
      <c r="J76" t="b">
        <f>J75=J74</f>
        <v>1</v>
      </c>
      <c r="K76" t="b">
        <f t="shared" ref="K76:S76" si="92">K75=K74</f>
        <v>1</v>
      </c>
      <c r="L76" t="b">
        <f t="shared" si="92"/>
        <v>1</v>
      </c>
      <c r="M76" t="b">
        <f t="shared" si="92"/>
        <v>1</v>
      </c>
      <c r="N76" t="b">
        <f t="shared" si="92"/>
        <v>1</v>
      </c>
      <c r="O76" t="b">
        <f t="shared" si="92"/>
        <v>1</v>
      </c>
      <c r="P76" t="b">
        <f t="shared" si="92"/>
        <v>1</v>
      </c>
      <c r="Q76" t="b">
        <f t="shared" si="92"/>
        <v>1</v>
      </c>
      <c r="R76" t="b">
        <f t="shared" si="92"/>
        <v>1</v>
      </c>
      <c r="S76" t="b">
        <f t="shared" si="92"/>
        <v>1</v>
      </c>
      <c r="U76" s="1"/>
      <c r="V76" s="1"/>
      <c r="W76" s="1"/>
      <c r="X76" s="1"/>
      <c r="Y76" s="1"/>
      <c r="Z76" s="1"/>
      <c r="AC76" t="b">
        <f t="shared" ref="AC76" si="93">AC75=AC74</f>
        <v>1</v>
      </c>
      <c r="AD76" t="b">
        <f t="shared" ref="AD76" si="94">AD75=AD74</f>
        <v>1</v>
      </c>
      <c r="AE76" t="b">
        <f t="shared" ref="AE76" si="95">AE75=AE74</f>
        <v>1</v>
      </c>
      <c r="AF76" t="b">
        <f t="shared" ref="AF76" si="96">AF75=AF74</f>
        <v>1</v>
      </c>
    </row>
    <row r="77" spans="1:48" x14ac:dyDescent="0.2">
      <c r="J77" s="1"/>
      <c r="K77" s="1"/>
      <c r="L77" s="1"/>
      <c r="M77" s="1"/>
      <c r="N77" s="1"/>
      <c r="O77" s="1"/>
      <c r="P77" s="1"/>
      <c r="Q77" s="1"/>
      <c r="R77" s="1"/>
      <c r="S77" s="1"/>
      <c r="U77" s="1"/>
      <c r="V77" s="1"/>
      <c r="W77" s="1"/>
      <c r="X77" s="1"/>
      <c r="Y77" s="1"/>
      <c r="Z77" s="1"/>
      <c r="AC77" s="1"/>
      <c r="AD77" s="1"/>
      <c r="AE77" s="1"/>
      <c r="AF77" s="1"/>
    </row>
    <row r="78" spans="1:48" x14ac:dyDescent="0.2">
      <c r="A78" t="s">
        <v>173</v>
      </c>
      <c r="J78" s="1">
        <v>24135735</v>
      </c>
      <c r="K78" s="1">
        <v>26082525</v>
      </c>
      <c r="L78" s="1">
        <v>26177079</v>
      </c>
      <c r="M78" s="1">
        <f>AE78*4-L78-K78-J78</f>
        <v>-76395236.607275993</v>
      </c>
      <c r="N78" s="1">
        <v>26215514</v>
      </c>
      <c r="O78" s="1">
        <v>26901069</v>
      </c>
      <c r="P78" s="1">
        <v>48000183</v>
      </c>
      <c r="Q78" s="1">
        <f>AF78*4-P78-O78-N78</f>
        <v>-101116614.698276</v>
      </c>
      <c r="R78" s="1">
        <v>56357983</v>
      </c>
      <c r="S78" s="1">
        <v>79041695</v>
      </c>
      <c r="U78" s="1"/>
      <c r="V78" s="1"/>
      <c r="W78" s="1"/>
      <c r="X78" s="1"/>
      <c r="Y78" s="1"/>
      <c r="Z78" s="1"/>
      <c r="AE78" s="25">
        <v>25.598181</v>
      </c>
      <c r="AF78" s="25">
        <v>37.825431000000002</v>
      </c>
    </row>
    <row r="81" spans="1:19" x14ac:dyDescent="0.2">
      <c r="A81" t="s">
        <v>56</v>
      </c>
    </row>
    <row r="82" spans="1:19" x14ac:dyDescent="0.2">
      <c r="A82" t="s">
        <v>57</v>
      </c>
    </row>
    <row r="87" spans="1:19" s="6" customFormat="1" x14ac:dyDescent="0.2">
      <c r="A87" s="6" t="s">
        <v>123</v>
      </c>
    </row>
    <row r="89" spans="1:19" x14ac:dyDescent="0.2">
      <c r="A89" t="s">
        <v>124</v>
      </c>
      <c r="Q89">
        <v>16657</v>
      </c>
      <c r="S89">
        <v>35616</v>
      </c>
    </row>
    <row r="90" spans="1:19" x14ac:dyDescent="0.2">
      <c r="A90" t="s">
        <v>125</v>
      </c>
      <c r="Q90">
        <v>13923</v>
      </c>
    </row>
    <row r="91" spans="1:19" x14ac:dyDescent="0.2">
      <c r="A91" t="s">
        <v>126</v>
      </c>
      <c r="Q91">
        <v>6728</v>
      </c>
      <c r="S91">
        <v>7205</v>
      </c>
    </row>
    <row r="92" spans="1:19" s="2" customFormat="1" x14ac:dyDescent="0.2">
      <c r="A92" s="2" t="s">
        <v>135</v>
      </c>
      <c r="Q92" s="2">
        <f>Q91+Q89+Q90</f>
        <v>37308</v>
      </c>
      <c r="S92" s="2">
        <f>S91+S89+S90</f>
        <v>42821</v>
      </c>
    </row>
    <row r="94" spans="1:19" x14ac:dyDescent="0.2">
      <c r="A94" t="s">
        <v>136</v>
      </c>
      <c r="Q94">
        <v>857</v>
      </c>
      <c r="S94">
        <v>628</v>
      </c>
    </row>
    <row r="95" spans="1:19" x14ac:dyDescent="0.2">
      <c r="A95" t="s">
        <v>137</v>
      </c>
      <c r="Q95">
        <v>198</v>
      </c>
      <c r="S95">
        <v>197</v>
      </c>
    </row>
    <row r="96" spans="1:19" x14ac:dyDescent="0.2">
      <c r="A96" t="s">
        <v>154</v>
      </c>
      <c r="Q96">
        <f>Q95+Q94</f>
        <v>1055</v>
      </c>
      <c r="S96">
        <f>S95+S94</f>
        <v>825</v>
      </c>
    </row>
    <row r="97" spans="1:19" s="2" customFormat="1" x14ac:dyDescent="0.2">
      <c r="A97" s="2" t="s">
        <v>138</v>
      </c>
      <c r="Q97" s="2">
        <f>Q95+Q94+Q92</f>
        <v>38363</v>
      </c>
      <c r="S97" s="2">
        <f>S95+S94+S92</f>
        <v>43646</v>
      </c>
    </row>
    <row r="99" spans="1:19" x14ac:dyDescent="0.2">
      <c r="A99" t="s">
        <v>139</v>
      </c>
      <c r="Q99">
        <v>477</v>
      </c>
      <c r="S99">
        <v>486</v>
      </c>
    </row>
    <row r="100" spans="1:19" x14ac:dyDescent="0.2">
      <c r="A100" t="s">
        <v>140</v>
      </c>
      <c r="Q100">
        <v>4534</v>
      </c>
      <c r="S100">
        <v>4687</v>
      </c>
    </row>
    <row r="101" spans="1:19" x14ac:dyDescent="0.2">
      <c r="A101" t="s">
        <v>141</v>
      </c>
      <c r="Q101">
        <v>14756</v>
      </c>
      <c r="S101">
        <v>16023</v>
      </c>
    </row>
    <row r="102" spans="1:19" x14ac:dyDescent="0.2">
      <c r="A102" t="s">
        <v>142</v>
      </c>
      <c r="Q102">
        <v>13657</v>
      </c>
      <c r="S102">
        <v>25992</v>
      </c>
    </row>
    <row r="103" spans="1:19" s="2" customFormat="1" x14ac:dyDescent="0.2">
      <c r="A103" s="2" t="s">
        <v>143</v>
      </c>
      <c r="Q103" s="2">
        <f>Q99+Q100+Q101+Q102</f>
        <v>33424</v>
      </c>
      <c r="S103" s="2">
        <f>S99+S100+S101+S102</f>
        <v>47188</v>
      </c>
    </row>
    <row r="105" spans="1:19" x14ac:dyDescent="0.2">
      <c r="A105" t="s">
        <v>144</v>
      </c>
      <c r="Q105">
        <v>414</v>
      </c>
      <c r="S105">
        <v>170</v>
      </c>
    </row>
    <row r="106" spans="1:19" x14ac:dyDescent="0.2">
      <c r="A106" t="s">
        <v>145</v>
      </c>
      <c r="Q106">
        <v>464</v>
      </c>
      <c r="S106">
        <v>622</v>
      </c>
    </row>
    <row r="107" spans="1:19" x14ac:dyDescent="0.2">
      <c r="A107" t="s">
        <v>146</v>
      </c>
      <c r="Q107">
        <f>Q106+Q105</f>
        <v>878</v>
      </c>
      <c r="S107">
        <f>S106+S105</f>
        <v>792</v>
      </c>
    </row>
    <row r="108" spans="1:19" s="2" customFormat="1" x14ac:dyDescent="0.2">
      <c r="A108" s="2" t="s">
        <v>147</v>
      </c>
      <c r="Q108" s="2">
        <f>Q107+Q103</f>
        <v>34302</v>
      </c>
      <c r="S108" s="2">
        <f>S107+S103</f>
        <v>47980</v>
      </c>
    </row>
    <row r="110" spans="1:19" x14ac:dyDescent="0.2">
      <c r="A110" t="s">
        <v>149</v>
      </c>
      <c r="Q110">
        <v>5</v>
      </c>
      <c r="S110">
        <v>6</v>
      </c>
    </row>
    <row r="111" spans="1:19" x14ac:dyDescent="0.2">
      <c r="A111" t="s">
        <v>148</v>
      </c>
    </row>
    <row r="112" spans="1:19" x14ac:dyDescent="0.2">
      <c r="A112" t="s">
        <v>155</v>
      </c>
      <c r="Q112">
        <v>352828</v>
      </c>
      <c r="S112">
        <v>384197</v>
      </c>
    </row>
    <row r="113" spans="1:19" x14ac:dyDescent="0.2">
      <c r="A113" t="s">
        <v>150</v>
      </c>
      <c r="Q113">
        <v>51</v>
      </c>
    </row>
    <row r="114" spans="1:19" x14ac:dyDescent="0.2">
      <c r="A114" t="s">
        <v>151</v>
      </c>
      <c r="Q114">
        <v>-348823</v>
      </c>
      <c r="S114">
        <v>-388537</v>
      </c>
    </row>
    <row r="115" spans="1:19" s="2" customFormat="1" x14ac:dyDescent="0.2">
      <c r="A115" s="2" t="s">
        <v>152</v>
      </c>
      <c r="Q115" s="2">
        <f>Q114+Q113+Q112+Q111+Q110</f>
        <v>4061</v>
      </c>
      <c r="S115" s="2">
        <f>S114+S113+S112+S111+S110</f>
        <v>-4334</v>
      </c>
    </row>
    <row r="117" spans="1:19" s="2" customFormat="1" x14ac:dyDescent="0.2">
      <c r="A117" s="2" t="s">
        <v>153</v>
      </c>
      <c r="Q117" s="2">
        <f>Q115+Q108</f>
        <v>38363</v>
      </c>
      <c r="S117" s="2">
        <f>S115+S108</f>
        <v>43646</v>
      </c>
    </row>
    <row r="118" spans="1:19" x14ac:dyDescent="0.2">
      <c r="A118" t="s">
        <v>12</v>
      </c>
      <c r="Q118" t="b">
        <f>Q117=Q97</f>
        <v>1</v>
      </c>
      <c r="S118" t="b">
        <f>S117=S97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75F-29B7-9342-B5A3-7256B9575DF3}">
  <dimension ref="B10:X34"/>
  <sheetViews>
    <sheetView topLeftCell="I5" zoomScale="226" workbookViewId="0">
      <selection activeCell="I13" sqref="I13"/>
    </sheetView>
  </sheetViews>
  <sheetFormatPr baseColWidth="10" defaultRowHeight="16" x14ac:dyDescent="0.2"/>
  <cols>
    <col min="1" max="1" width="10.83203125" style="11"/>
    <col min="2" max="2" width="22.5" style="11" bestFit="1" customWidth="1"/>
    <col min="3" max="3" width="7.6640625" style="11" bestFit="1" customWidth="1"/>
    <col min="4" max="4" width="10.83203125" style="11"/>
    <col min="5" max="5" width="22.83203125" style="11" bestFit="1" customWidth="1"/>
    <col min="6" max="10" width="8.5" style="11" bestFit="1" customWidth="1"/>
    <col min="11" max="24" width="8.1640625" style="11" bestFit="1" customWidth="1"/>
    <col min="25" max="16384" width="10.83203125" style="11"/>
  </cols>
  <sheetData>
    <row r="10" spans="2:24" x14ac:dyDescent="0.2">
      <c r="F10" s="16" t="s">
        <v>59</v>
      </c>
      <c r="G10" s="16" t="s">
        <v>77</v>
      </c>
      <c r="H10" s="16" t="s">
        <v>118</v>
      </c>
      <c r="I10" s="16" t="s">
        <v>119</v>
      </c>
      <c r="J10" s="16" t="s">
        <v>120</v>
      </c>
      <c r="K10" s="16" t="s">
        <v>62</v>
      </c>
      <c r="L10" s="16" t="s">
        <v>63</v>
      </c>
      <c r="M10" s="16" t="s">
        <v>64</v>
      </c>
      <c r="N10" s="16" t="s">
        <v>65</v>
      </c>
      <c r="O10" s="16" t="s">
        <v>107</v>
      </c>
      <c r="P10" s="16" t="s">
        <v>108</v>
      </c>
      <c r="Q10" s="16" t="s">
        <v>109</v>
      </c>
      <c r="R10" s="16" t="s">
        <v>110</v>
      </c>
      <c r="S10" s="16" t="s">
        <v>111</v>
      </c>
      <c r="T10" s="16" t="s">
        <v>112</v>
      </c>
      <c r="U10" s="16" t="s">
        <v>113</v>
      </c>
      <c r="V10" s="16" t="s">
        <v>114</v>
      </c>
      <c r="W10" s="16" t="s">
        <v>115</v>
      </c>
      <c r="X10" s="16" t="s">
        <v>116</v>
      </c>
    </row>
    <row r="11" spans="2:24" x14ac:dyDescent="0.2">
      <c r="B11" s="35" t="s">
        <v>158</v>
      </c>
      <c r="C11" s="35"/>
      <c r="E11" s="29" t="s">
        <v>43</v>
      </c>
      <c r="F11" s="37">
        <f>VLOOKUP($E11,Model!$A$1:$BR$157,MATCH(Valuation!F$10,Model!$A$3:$BR$3,0),FALSE)</f>
        <v>1012.5</v>
      </c>
      <c r="G11" s="37">
        <f>VLOOKUP($E11,Model!$A$1:$BR$157,MATCH(Valuation!G$10,Model!$A$3:$BR$3,0),FALSE)</f>
        <v>3037.5</v>
      </c>
      <c r="H11" s="37">
        <f>VLOOKUP($E11,Model!$A$1:$BR$157,MATCH(Valuation!H$10,Model!$A$3:$BR$3,0),FALSE)</f>
        <v>5062.5</v>
      </c>
      <c r="I11" s="37">
        <f>VLOOKUP($E11,Model!$A$1:$BR$157,MATCH(Valuation!I$10,Model!$A$3:$BR$3,0),FALSE)</f>
        <v>7087.4999999999991</v>
      </c>
      <c r="J11" s="37">
        <f>VLOOKUP($E11,Model!$A$1:$BR$157,MATCH(Valuation!J$10,Model!$A$3:$BR$3,0),FALSE)</f>
        <v>8100</v>
      </c>
      <c r="K11" s="37">
        <f>VLOOKUP($E11,Model!$A$1:$BR$157,MATCH(Valuation!K$10,Model!$A$3:$BR$3,0),FALSE)</f>
        <v>55620</v>
      </c>
      <c r="L11" s="37">
        <f>VLOOKUP($E11,Model!$A$1:$BR$157,MATCH(Valuation!L$10,Model!$A$3:$BR$3,0),FALSE)</f>
        <v>85932.900000000009</v>
      </c>
      <c r="M11" s="37">
        <f>VLOOKUP($E11,Model!$A$1:$BR$157,MATCH(Valuation!M$10,Model!$A$3:$BR$3,0),FALSE)</f>
        <v>98345.430000000008</v>
      </c>
      <c r="N11" s="37">
        <f>VLOOKUP($E11,Model!$A$1:$BR$157,MATCH(Valuation!N$10,Model!$A$3:$BR$3,0),FALSE)</f>
        <v>101295.79290000001</v>
      </c>
      <c r="O11" s="37">
        <f>VLOOKUP($E11,Model!$A$1:$BR$157,MATCH(Valuation!O$10,Model!$A$3:$BR$3,0),FALSE)</f>
        <v>104334.66668700002</v>
      </c>
      <c r="P11" s="37">
        <f>VLOOKUP($E11,Model!$A$1:$BR$157,MATCH(Valuation!P$10,Model!$A$3:$BR$3,0),FALSE)</f>
        <v>107464.70668761003</v>
      </c>
      <c r="Q11" s="37">
        <f>VLOOKUP($E11,Model!$A$1:$BR$157,MATCH(Valuation!Q$10,Model!$A$3:$BR$3,0),FALSE)</f>
        <v>110688.64788823834</v>
      </c>
      <c r="R11" s="37">
        <f>VLOOKUP($E11,Model!$A$1:$BR$157,MATCH(Valuation!R$10,Model!$A$3:$BR$3,0),FALSE)</f>
        <v>114009.30732488549</v>
      </c>
      <c r="S11" s="37">
        <f>VLOOKUP($E11,Model!$A$1:$BR$157,MATCH(Valuation!S$10,Model!$A$3:$BR$3,0),FALSE)</f>
        <v>117429.58654463205</v>
      </c>
      <c r="T11" s="37">
        <f>VLOOKUP($E11,Model!$A$1:$BR$157,MATCH(Valuation!T$10,Model!$A$3:$BR$3,0),FALSE)</f>
        <v>120952.47414097101</v>
      </c>
      <c r="U11" s="37">
        <f>VLOOKUP($E11,Model!$A$1:$BR$157,MATCH(Valuation!U$10,Model!$A$3:$BR$3,0),FALSE)</f>
        <v>124581.04836520014</v>
      </c>
      <c r="V11" s="37">
        <f>VLOOKUP($E11,Model!$A$1:$BR$157,MATCH(Valuation!V$10,Model!$A$3:$BR$3,0),FALSE)</f>
        <v>128318.47981615615</v>
      </c>
      <c r="W11" s="37">
        <f>VLOOKUP($E11,Model!$A$1:$BR$157,MATCH(Valuation!W$10,Model!$A$3:$BR$3,0),FALSE)</f>
        <v>132168.03421064085</v>
      </c>
      <c r="X11" s="38">
        <f>VLOOKUP($E11,Model!$A$1:$BR$157,MATCH(Valuation!X$10,Model!$A$3:$BR$3,0),FALSE)</f>
        <v>68066.537618480041</v>
      </c>
    </row>
    <row r="12" spans="2:24" x14ac:dyDescent="0.2">
      <c r="B12" s="28" t="s">
        <v>159</v>
      </c>
      <c r="C12" s="30">
        <v>2.8</v>
      </c>
      <c r="E12" s="27" t="s">
        <v>157</v>
      </c>
      <c r="F12" s="39">
        <f>VLOOKUP($E12,Model!$A$1:$BR$157,MATCH(Valuation!F$10,Model!$A$3:$BR$3,0),FALSE)</f>
        <v>911.25</v>
      </c>
      <c r="G12" s="39">
        <f>VLOOKUP($E12,Model!$A$1:$BR$157,MATCH(Valuation!G$10,Model!$A$3:$BR$3,0),FALSE)</f>
        <v>2733.75</v>
      </c>
      <c r="H12" s="39">
        <f>VLOOKUP($E12,Model!$A$1:$BR$157,MATCH(Valuation!H$10,Model!$A$3:$BR$3,0),FALSE)</f>
        <v>4556.25</v>
      </c>
      <c r="I12" s="39">
        <f>VLOOKUP($E12,Model!$A$1:$BR$157,MATCH(Valuation!I$10,Model!$A$3:$BR$3,0),FALSE)</f>
        <v>6378.7499999999991</v>
      </c>
      <c r="J12" s="39">
        <f>VLOOKUP($E12,Model!$A$1:$BR$157,MATCH(Valuation!J$10,Model!$A$3:$BR$3,0),FALSE)</f>
        <v>7290</v>
      </c>
      <c r="K12" s="39">
        <f>VLOOKUP($E12,Model!$A$1:$BR$157,MATCH(Valuation!K$10,Model!$A$3:$BR$3,0),FALSE)</f>
        <v>50058</v>
      </c>
      <c r="L12" s="39">
        <f>VLOOKUP($E12,Model!$A$1:$BR$157,MATCH(Valuation!L$10,Model!$A$3:$BR$3,0),FALSE)</f>
        <v>77339.610000000015</v>
      </c>
      <c r="M12" s="39">
        <f>VLOOKUP($E12,Model!$A$1:$BR$157,MATCH(Valuation!M$10,Model!$A$3:$BR$3,0),FALSE)</f>
        <v>88510.887000000017</v>
      </c>
      <c r="N12" s="39">
        <f>VLOOKUP($E12,Model!$A$1:$BR$157,MATCH(Valuation!N$10,Model!$A$3:$BR$3,0),FALSE)</f>
        <v>91166.213610000021</v>
      </c>
      <c r="O12" s="39">
        <f>VLOOKUP($E12,Model!$A$1:$BR$157,MATCH(Valuation!O$10,Model!$A$3:$BR$3,0),FALSE)</f>
        <v>93901.20001830002</v>
      </c>
      <c r="P12" s="39">
        <f>VLOOKUP($E12,Model!$A$1:$BR$157,MATCH(Valuation!P$10,Model!$A$3:$BR$3,0),FALSE)</f>
        <v>96718.236018849027</v>
      </c>
      <c r="Q12" s="39">
        <f>VLOOKUP($E12,Model!$A$1:$BR$157,MATCH(Valuation!Q$10,Model!$A$3:$BR$3,0),FALSE)</f>
        <v>99619.783099414504</v>
      </c>
      <c r="R12" s="39">
        <f>VLOOKUP($E12,Model!$A$1:$BR$157,MATCH(Valuation!R$10,Model!$A$3:$BR$3,0),FALSE)</f>
        <v>102608.37659239695</v>
      </c>
      <c r="S12" s="39">
        <f>VLOOKUP($E12,Model!$A$1:$BR$157,MATCH(Valuation!S$10,Model!$A$3:$BR$3,0),FALSE)</f>
        <v>105686.62789016885</v>
      </c>
      <c r="T12" s="39">
        <f>VLOOKUP($E12,Model!$A$1:$BR$157,MATCH(Valuation!T$10,Model!$A$3:$BR$3,0),FALSE)</f>
        <v>108857.22672687391</v>
      </c>
      <c r="U12" s="39">
        <f>VLOOKUP($E12,Model!$A$1:$BR$157,MATCH(Valuation!U$10,Model!$A$3:$BR$3,0),FALSE)</f>
        <v>112122.94352868013</v>
      </c>
      <c r="V12" s="39">
        <f>VLOOKUP($E12,Model!$A$1:$BR$157,MATCH(Valuation!V$10,Model!$A$3:$BR$3,0),FALSE)</f>
        <v>115486.63183454053</v>
      </c>
      <c r="W12" s="39">
        <f>VLOOKUP($E12,Model!$A$1:$BR$157,MATCH(Valuation!W$10,Model!$A$3:$BR$3,0),FALSE)</f>
        <v>118951.23078957677</v>
      </c>
      <c r="X12" s="39">
        <f>VLOOKUP($E12,Model!$A$1:$BR$157,MATCH(Valuation!X$10,Model!$A$3:$BR$3,0),FALSE)</f>
        <v>61259.883856632041</v>
      </c>
    </row>
    <row r="13" spans="2:24" x14ac:dyDescent="0.2">
      <c r="B13" s="28" t="s">
        <v>160</v>
      </c>
      <c r="C13" s="32">
        <v>63.12</v>
      </c>
      <c r="E13" s="28" t="s">
        <v>0</v>
      </c>
      <c r="F13" s="40">
        <f>VLOOKUP($E13,Model!$A$1:$BR$157,MATCH(Valuation!F$10,Model!$A$3:$BR$3,0),FALSE)</f>
        <v>0</v>
      </c>
      <c r="G13" s="40">
        <f>VLOOKUP($E13,Model!$A$1:$BR$157,MATCH(Valuation!G$10,Model!$A$3:$BR$3,0),FALSE)</f>
        <v>0</v>
      </c>
      <c r="H13" s="40">
        <f>VLOOKUP($E13,Model!$A$1:$BR$157,MATCH(Valuation!H$10,Model!$A$3:$BR$3,0),FALSE)</f>
        <v>0</v>
      </c>
      <c r="I13" s="40">
        <f>VLOOKUP($E13,Model!$A$1:$BR$157,MATCH(Valuation!I$10,Model!$A$3:$BR$3,0),FALSE)</f>
        <v>0</v>
      </c>
      <c r="J13" s="40">
        <f>VLOOKUP($E13,Model!$A$1:$BR$157,MATCH(Valuation!J$10,Model!$A$3:$BR$3,0),FALSE)</f>
        <v>0</v>
      </c>
      <c r="K13" s="40">
        <f>VLOOKUP($E13,Model!$A$1:$BR$157,MATCH(Valuation!K$10,Model!$A$3:$BR$3,0),FALSE)</f>
        <v>0</v>
      </c>
      <c r="L13" s="40">
        <f>VLOOKUP($E13,Model!$A$1:$BR$157,MATCH(Valuation!L$10,Model!$A$3:$BR$3,0),FALSE)</f>
        <v>0</v>
      </c>
      <c r="M13" s="40">
        <f>VLOOKUP($E13,Model!$A$1:$BR$157,MATCH(Valuation!M$10,Model!$A$3:$BR$3,0),FALSE)</f>
        <v>0</v>
      </c>
      <c r="N13" s="40">
        <f>VLOOKUP($E13,Model!$A$1:$BR$157,MATCH(Valuation!N$10,Model!$A$3:$BR$3,0),FALSE)</f>
        <v>0</v>
      </c>
      <c r="O13" s="40">
        <f>VLOOKUP($E13,Model!$A$1:$BR$157,MATCH(Valuation!O$10,Model!$A$3:$BR$3,0),FALSE)</f>
        <v>0</v>
      </c>
      <c r="P13" s="40">
        <f>VLOOKUP($E13,Model!$A$1:$BR$157,MATCH(Valuation!P$10,Model!$A$3:$BR$3,0),FALSE)</f>
        <v>0</v>
      </c>
      <c r="Q13" s="40">
        <f>VLOOKUP($E13,Model!$A$1:$BR$157,MATCH(Valuation!Q$10,Model!$A$3:$BR$3,0),FALSE)</f>
        <v>0</v>
      </c>
      <c r="R13" s="40">
        <f>VLOOKUP($E13,Model!$A$1:$BR$157,MATCH(Valuation!R$10,Model!$A$3:$BR$3,0),FALSE)</f>
        <v>0</v>
      </c>
      <c r="S13" s="40">
        <f>VLOOKUP($E13,Model!$A$1:$BR$157,MATCH(Valuation!S$10,Model!$A$3:$BR$3,0),FALSE)</f>
        <v>0</v>
      </c>
      <c r="T13" s="40">
        <f>VLOOKUP($E13,Model!$A$1:$BR$157,MATCH(Valuation!T$10,Model!$A$3:$BR$3,0),FALSE)</f>
        <v>0</v>
      </c>
      <c r="U13" s="40">
        <f>VLOOKUP($E13,Model!$A$1:$BR$157,MATCH(Valuation!U$10,Model!$A$3:$BR$3,0),FALSE)</f>
        <v>0</v>
      </c>
      <c r="V13" s="40">
        <f>VLOOKUP($E13,Model!$A$1:$BR$157,MATCH(Valuation!V$10,Model!$A$3:$BR$3,0),FALSE)</f>
        <v>0</v>
      </c>
      <c r="W13" s="40">
        <f>VLOOKUP($E13,Model!$A$1:$BR$157,MATCH(Valuation!W$10,Model!$A$3:$BR$3,0),FALSE)</f>
        <v>0</v>
      </c>
      <c r="X13" s="40">
        <f>VLOOKUP($E13,Model!$A$1:$BR$157,MATCH(Valuation!X$10,Model!$A$3:$BR$3,0),FALSE)</f>
        <v>0</v>
      </c>
    </row>
    <row r="14" spans="2:24" x14ac:dyDescent="0.2">
      <c r="B14" s="28" t="s">
        <v>161</v>
      </c>
      <c r="C14" s="32">
        <f>C12*C13</f>
        <v>176.73599999999999</v>
      </c>
      <c r="E14" s="11" t="s">
        <v>1</v>
      </c>
      <c r="F14" s="40">
        <f>VLOOKUP($E14,Model!$A$1:$BR$157,MATCH(Valuation!F$10,Model!$A$3:$BR$3,0),FALSE)</f>
        <v>0</v>
      </c>
      <c r="G14" s="40">
        <f>VLOOKUP($E14,Model!$A$1:$BR$157,MATCH(Valuation!G$10,Model!$A$3:$BR$3,0),FALSE)</f>
        <v>0</v>
      </c>
      <c r="H14" s="40">
        <f>VLOOKUP($E14,Model!$A$1:$BR$157,MATCH(Valuation!H$10,Model!$A$3:$BR$3,0),FALSE)</f>
        <v>0</v>
      </c>
      <c r="I14" s="40">
        <f>VLOOKUP($E14,Model!$A$1:$BR$157,MATCH(Valuation!I$10,Model!$A$3:$BR$3,0),FALSE)</f>
        <v>0</v>
      </c>
      <c r="J14" s="40">
        <f>VLOOKUP($E14,Model!$A$1:$BR$157,MATCH(Valuation!J$10,Model!$A$3:$BR$3,0),FALSE)</f>
        <v>0</v>
      </c>
      <c r="K14" s="40">
        <f>VLOOKUP($E14,Model!$A$1:$BR$157,MATCH(Valuation!K$10,Model!$A$3:$BR$3,0),FALSE)</f>
        <v>0</v>
      </c>
      <c r="L14" s="40">
        <f>VLOOKUP($E14,Model!$A$1:$BR$157,MATCH(Valuation!L$10,Model!$A$3:$BR$3,0),FALSE)</f>
        <v>0</v>
      </c>
      <c r="M14" s="40">
        <f>VLOOKUP($E14,Model!$A$1:$BR$157,MATCH(Valuation!M$10,Model!$A$3:$BR$3,0),FALSE)</f>
        <v>0</v>
      </c>
      <c r="N14" s="40">
        <f>VLOOKUP($E14,Model!$A$1:$BR$157,MATCH(Valuation!N$10,Model!$A$3:$BR$3,0),FALSE)</f>
        <v>0</v>
      </c>
      <c r="O14" s="40">
        <f>VLOOKUP($E14,Model!$A$1:$BR$157,MATCH(Valuation!O$10,Model!$A$3:$BR$3,0),FALSE)</f>
        <v>0</v>
      </c>
      <c r="P14" s="40">
        <f>VLOOKUP($E14,Model!$A$1:$BR$157,MATCH(Valuation!P$10,Model!$A$3:$BR$3,0),FALSE)</f>
        <v>0</v>
      </c>
      <c r="Q14" s="40">
        <f>VLOOKUP($E14,Model!$A$1:$BR$157,MATCH(Valuation!Q$10,Model!$A$3:$BR$3,0),FALSE)</f>
        <v>0</v>
      </c>
      <c r="R14" s="40">
        <f>VLOOKUP($E14,Model!$A$1:$BR$157,MATCH(Valuation!R$10,Model!$A$3:$BR$3,0),FALSE)</f>
        <v>0</v>
      </c>
      <c r="S14" s="40">
        <f>VLOOKUP($E14,Model!$A$1:$BR$157,MATCH(Valuation!S$10,Model!$A$3:$BR$3,0),FALSE)</f>
        <v>0</v>
      </c>
      <c r="T14" s="40">
        <f>VLOOKUP($E14,Model!$A$1:$BR$157,MATCH(Valuation!T$10,Model!$A$3:$BR$3,0),FALSE)</f>
        <v>0</v>
      </c>
      <c r="U14" s="40">
        <f>VLOOKUP($E14,Model!$A$1:$BR$157,MATCH(Valuation!U$10,Model!$A$3:$BR$3,0),FALSE)</f>
        <v>0</v>
      </c>
      <c r="V14" s="40">
        <f>VLOOKUP($E14,Model!$A$1:$BR$157,MATCH(Valuation!V$10,Model!$A$3:$BR$3,0),FALSE)</f>
        <v>0</v>
      </c>
      <c r="W14" s="40">
        <f>VLOOKUP($E14,Model!$A$1:$BR$157,MATCH(Valuation!W$10,Model!$A$3:$BR$3,0),FALSE)</f>
        <v>0</v>
      </c>
      <c r="X14" s="40">
        <f>VLOOKUP($E14,Model!$A$1:$BR$157,MATCH(Valuation!X$10,Model!$A$3:$BR$3,0),FALSE)</f>
        <v>0</v>
      </c>
    </row>
    <row r="15" spans="2:24" x14ac:dyDescent="0.2">
      <c r="B15" s="28" t="s">
        <v>162</v>
      </c>
      <c r="C15" s="31"/>
      <c r="E15" s="26" t="s">
        <v>44</v>
      </c>
      <c r="F15" s="41">
        <f>VLOOKUP($E15,Model!$A$1:$BR$157,MATCH(Valuation!F$10,Model!$A$3:$BR$3,0),FALSE)</f>
        <v>-16264.75</v>
      </c>
      <c r="G15" s="41">
        <f>VLOOKUP($E15,Model!$A$1:$BR$157,MATCH(Valuation!G$10,Model!$A$3:$BR$3,0),FALSE)</f>
        <v>-14442.25</v>
      </c>
      <c r="H15" s="41">
        <f>VLOOKUP($E15,Model!$A$1:$BR$157,MATCH(Valuation!H$10,Model!$A$3:$BR$3,0),FALSE)</f>
        <v>-12619.75</v>
      </c>
      <c r="I15" s="41">
        <f>VLOOKUP($E15,Model!$A$1:$BR$157,MATCH(Valuation!I$10,Model!$A$3:$BR$3,0),FALSE)</f>
        <v>-10797.25</v>
      </c>
      <c r="J15" s="41">
        <f>VLOOKUP($E15,Model!$A$1:$BR$157,MATCH(Valuation!J$10,Model!$A$3:$BR$3,0),FALSE)</f>
        <v>-9886</v>
      </c>
      <c r="K15" s="41">
        <f>VLOOKUP($E15,Model!$A$1:$BR$157,MATCH(Valuation!K$10,Model!$A$3:$BR$3,0),FALSE)</f>
        <v>9007.5354000000007</v>
      </c>
      <c r="L15" s="41">
        <f>VLOOKUP($E15,Model!$A$1:$BR$157,MATCH(Valuation!L$10,Model!$A$3:$BR$3,0),FALSE)</f>
        <v>35057.631462000012</v>
      </c>
      <c r="M15" s="41">
        <f>VLOOKUP($E15,Model!$A$1:$BR$157,MATCH(Valuation!M$10,Model!$A$3:$BR$3,0),FALSE)</f>
        <v>44960.449105860011</v>
      </c>
      <c r="N15" s="41">
        <f>VLOOKUP($E15,Model!$A$1:$BR$157,MATCH(Valuation!N$10,Model!$A$3:$BR$3,0),FALSE)</f>
        <v>46309.262579035814</v>
      </c>
      <c r="O15" s="41">
        <f>VLOOKUP($E15,Model!$A$1:$BR$157,MATCH(Valuation!O$10,Model!$A$3:$BR$3,0),FALSE)</f>
        <v>47698.540456406889</v>
      </c>
      <c r="P15" s="41">
        <f>VLOOKUP($E15,Model!$A$1:$BR$157,MATCH(Valuation!P$10,Model!$A$3:$BR$3,0),FALSE)</f>
        <v>49129.496670099099</v>
      </c>
      <c r="Q15" s="41">
        <f>VLOOKUP($E15,Model!$A$1:$BR$157,MATCH(Valuation!Q$10,Model!$A$3:$BR$3,0),FALSE)</f>
        <v>50603.38157020208</v>
      </c>
      <c r="R15" s="41">
        <f>VLOOKUP($E15,Model!$A$1:$BR$157,MATCH(Valuation!R$10,Model!$A$3:$BR$3,0),FALSE)</f>
        <v>52121.48301730815</v>
      </c>
      <c r="S15" s="41">
        <f>VLOOKUP($E15,Model!$A$1:$BR$157,MATCH(Valuation!S$10,Model!$A$3:$BR$3,0),FALSE)</f>
        <v>53685.127507827383</v>
      </c>
      <c r="T15" s="41">
        <f>VLOOKUP($E15,Model!$A$1:$BR$157,MATCH(Valuation!T$10,Model!$A$3:$BR$3,0),FALSE)</f>
        <v>55295.681333062195</v>
      </c>
      <c r="U15" s="41">
        <f>VLOOKUP($E15,Model!$A$1:$BR$157,MATCH(Valuation!U$10,Model!$A$3:$BR$3,0),FALSE)</f>
        <v>56954.551773054067</v>
      </c>
      <c r="V15" s="41">
        <f>VLOOKUP($E15,Model!$A$1:$BR$157,MATCH(Valuation!V$10,Model!$A$3:$BR$3,0),FALSE)</f>
        <v>58663.188326245683</v>
      </c>
      <c r="W15" s="41">
        <f>VLOOKUP($E15,Model!$A$1:$BR$157,MATCH(Valuation!W$10,Model!$A$3:$BR$3,0),FALSE)</f>
        <v>60423.083976033078</v>
      </c>
      <c r="X15" s="42">
        <f>VLOOKUP($E15,Model!$A$1:$BR$157,MATCH(Valuation!X$10,Model!$A$3:$BR$3,0),FALSE)</f>
        <v>14437.366405797082</v>
      </c>
    </row>
    <row r="16" spans="2:24" x14ac:dyDescent="0.2">
      <c r="B16" s="28" t="s">
        <v>163</v>
      </c>
      <c r="C16" s="32">
        <f>Model!S102/1000</f>
        <v>25.992000000000001</v>
      </c>
      <c r="E16" s="11" t="s">
        <v>4</v>
      </c>
      <c r="F16" s="40">
        <f>VLOOKUP($E16,Model!$A$1:$BR$157,MATCH(Valuation!F$10,Model!$A$3:$BR$3,0),FALSE)</f>
        <v>0</v>
      </c>
      <c r="G16" s="40">
        <f>VLOOKUP($E16,Model!$A$1:$BR$157,MATCH(Valuation!G$10,Model!$A$3:$BR$3,0),FALSE)</f>
        <v>0</v>
      </c>
      <c r="H16" s="40">
        <f>VLOOKUP($E16,Model!$A$1:$BR$157,MATCH(Valuation!H$10,Model!$A$3:$BR$3,0),FALSE)</f>
        <v>0</v>
      </c>
      <c r="I16" s="40">
        <f>VLOOKUP($E16,Model!$A$1:$BR$157,MATCH(Valuation!I$10,Model!$A$3:$BR$3,0),FALSE)</f>
        <v>0</v>
      </c>
      <c r="J16" s="40">
        <f>VLOOKUP($E16,Model!$A$1:$BR$157,MATCH(Valuation!J$10,Model!$A$3:$BR$3,0),FALSE)</f>
        <v>0</v>
      </c>
      <c r="K16" s="40">
        <f>VLOOKUP($E16,Model!$A$1:$BR$157,MATCH(Valuation!K$10,Model!$A$3:$BR$3,0),FALSE)</f>
        <v>0</v>
      </c>
      <c r="L16" s="40">
        <f>VLOOKUP($E16,Model!$A$1:$BR$157,MATCH(Valuation!L$10,Model!$A$3:$BR$3,0),FALSE)</f>
        <v>0</v>
      </c>
      <c r="M16" s="40">
        <f>VLOOKUP($E16,Model!$A$1:$BR$157,MATCH(Valuation!M$10,Model!$A$3:$BR$3,0),FALSE)</f>
        <v>0</v>
      </c>
      <c r="N16" s="40">
        <f>VLOOKUP($E16,Model!$A$1:$BR$157,MATCH(Valuation!N$10,Model!$A$3:$BR$3,0),FALSE)</f>
        <v>0</v>
      </c>
      <c r="O16" s="40">
        <f>VLOOKUP($E16,Model!$A$1:$BR$157,MATCH(Valuation!O$10,Model!$A$3:$BR$3,0),FALSE)</f>
        <v>0</v>
      </c>
      <c r="P16" s="40">
        <f>VLOOKUP($E16,Model!$A$1:$BR$157,MATCH(Valuation!P$10,Model!$A$3:$BR$3,0),FALSE)</f>
        <v>0</v>
      </c>
      <c r="Q16" s="40">
        <f>VLOOKUP($E16,Model!$A$1:$BR$157,MATCH(Valuation!Q$10,Model!$A$3:$BR$3,0),FALSE)</f>
        <v>0</v>
      </c>
      <c r="R16" s="40">
        <f>VLOOKUP($E16,Model!$A$1:$BR$157,MATCH(Valuation!R$10,Model!$A$3:$BR$3,0),FALSE)</f>
        <v>0</v>
      </c>
      <c r="S16" s="40">
        <f>VLOOKUP($E16,Model!$A$1:$BR$157,MATCH(Valuation!S$10,Model!$A$3:$BR$3,0),FALSE)</f>
        <v>0</v>
      </c>
      <c r="T16" s="40">
        <f>VLOOKUP($E16,Model!$A$1:$BR$157,MATCH(Valuation!T$10,Model!$A$3:$BR$3,0),FALSE)</f>
        <v>0</v>
      </c>
      <c r="U16" s="40">
        <f>VLOOKUP($E16,Model!$A$1:$BR$157,MATCH(Valuation!U$10,Model!$A$3:$BR$3,0),FALSE)</f>
        <v>0</v>
      </c>
      <c r="V16" s="40">
        <f>VLOOKUP($E16,Model!$A$1:$BR$157,MATCH(Valuation!V$10,Model!$A$3:$BR$3,0),FALSE)</f>
        <v>0</v>
      </c>
      <c r="W16" s="40">
        <f>VLOOKUP($E16,Model!$A$1:$BR$157,MATCH(Valuation!W$10,Model!$A$3:$BR$3,0),FALSE)</f>
        <v>0</v>
      </c>
      <c r="X16" s="40">
        <f>VLOOKUP($E16,Model!$A$1:$BR$157,MATCH(Valuation!X$10,Model!$A$3:$BR$3,0),FALSE)</f>
        <v>0</v>
      </c>
    </row>
    <row r="17" spans="2:24" x14ac:dyDescent="0.2">
      <c r="B17" s="28" t="s">
        <v>164</v>
      </c>
      <c r="C17" s="32">
        <f>Model!S89/1000</f>
        <v>35.616</v>
      </c>
      <c r="E17" s="26" t="s">
        <v>40</v>
      </c>
      <c r="F17" s="41">
        <f>VLOOKUP($E17,Model!$A$1:$BR$157,MATCH(Valuation!F$10,Model!$A$3:$BR$3,0),FALSE)</f>
        <v>-16264.75</v>
      </c>
      <c r="G17" s="41">
        <f>VLOOKUP($E17,Model!$A$1:$BR$157,MATCH(Valuation!G$10,Model!$A$3:$BR$3,0),FALSE)</f>
        <v>-14442.25</v>
      </c>
      <c r="H17" s="41">
        <f>VLOOKUP($E17,Model!$A$1:$BR$157,MATCH(Valuation!H$10,Model!$A$3:$BR$3,0),FALSE)</f>
        <v>-12619.75</v>
      </c>
      <c r="I17" s="41">
        <f>VLOOKUP($E17,Model!$A$1:$BR$157,MATCH(Valuation!I$10,Model!$A$3:$BR$3,0),FALSE)</f>
        <v>-10797.25</v>
      </c>
      <c r="J17" s="41">
        <f>VLOOKUP($E17,Model!$A$1:$BR$157,MATCH(Valuation!J$10,Model!$A$3:$BR$3,0),FALSE)</f>
        <v>-9886</v>
      </c>
      <c r="K17" s="41">
        <f>VLOOKUP($E17,Model!$A$1:$BR$157,MATCH(Valuation!K$10,Model!$A$3:$BR$3,0),FALSE)</f>
        <v>9007.5354000000007</v>
      </c>
      <c r="L17" s="41">
        <f>VLOOKUP($E17,Model!$A$1:$BR$157,MATCH(Valuation!L$10,Model!$A$3:$BR$3,0),FALSE)</f>
        <v>35057.631462000012</v>
      </c>
      <c r="M17" s="41">
        <f>VLOOKUP($E17,Model!$A$1:$BR$157,MATCH(Valuation!M$10,Model!$A$3:$BR$3,0),FALSE)</f>
        <v>44960.449105860011</v>
      </c>
      <c r="N17" s="41">
        <f>VLOOKUP($E17,Model!$A$1:$BR$157,MATCH(Valuation!N$10,Model!$A$3:$BR$3,0),FALSE)</f>
        <v>46309.262579035814</v>
      </c>
      <c r="O17" s="41">
        <f>VLOOKUP($E17,Model!$A$1:$BR$157,MATCH(Valuation!O$10,Model!$A$3:$BR$3,0),FALSE)</f>
        <v>47698.540456406889</v>
      </c>
      <c r="P17" s="41">
        <f>VLOOKUP($E17,Model!$A$1:$BR$157,MATCH(Valuation!P$10,Model!$A$3:$BR$3,0),FALSE)</f>
        <v>49129.496670099099</v>
      </c>
      <c r="Q17" s="41">
        <f>VLOOKUP($E17,Model!$A$1:$BR$157,MATCH(Valuation!Q$10,Model!$A$3:$BR$3,0),FALSE)</f>
        <v>50603.38157020208</v>
      </c>
      <c r="R17" s="41">
        <f>VLOOKUP($E17,Model!$A$1:$BR$157,MATCH(Valuation!R$10,Model!$A$3:$BR$3,0),FALSE)</f>
        <v>52121.48301730815</v>
      </c>
      <c r="S17" s="41">
        <f>VLOOKUP($E17,Model!$A$1:$BR$157,MATCH(Valuation!S$10,Model!$A$3:$BR$3,0),FALSE)</f>
        <v>53685.127507827383</v>
      </c>
      <c r="T17" s="41">
        <f>VLOOKUP($E17,Model!$A$1:$BR$157,MATCH(Valuation!T$10,Model!$A$3:$BR$3,0),FALSE)</f>
        <v>55295.681333062195</v>
      </c>
      <c r="U17" s="41">
        <f>VLOOKUP($E17,Model!$A$1:$BR$157,MATCH(Valuation!U$10,Model!$A$3:$BR$3,0),FALSE)</f>
        <v>56954.551773054067</v>
      </c>
      <c r="V17" s="41">
        <f>VLOOKUP($E17,Model!$A$1:$BR$157,MATCH(Valuation!V$10,Model!$A$3:$BR$3,0),FALSE)</f>
        <v>58663.188326245683</v>
      </c>
      <c r="W17" s="41">
        <f>VLOOKUP($E17,Model!$A$1:$BR$157,MATCH(Valuation!W$10,Model!$A$3:$BR$3,0),FALSE)</f>
        <v>60423.083976033078</v>
      </c>
      <c r="X17" s="42">
        <f>VLOOKUP($E17,Model!$A$1:$BR$157,MATCH(Valuation!X$10,Model!$A$3:$BR$3,0),FALSE)</f>
        <v>14437.366405797082</v>
      </c>
    </row>
    <row r="18" spans="2:24" x14ac:dyDescent="0.2">
      <c r="B18" s="28" t="s">
        <v>165</v>
      </c>
      <c r="C18" s="32">
        <f>C14-C17+C16</f>
        <v>167.11199999999999</v>
      </c>
      <c r="E18" s="27" t="s">
        <v>6</v>
      </c>
      <c r="F18" s="39">
        <f>VLOOKUP($E18,Model!$A$1:$BR$157,MATCH(Valuation!F$10,Model!$A$3:$BR$3,0),FALSE)</f>
        <v>-16264.75</v>
      </c>
      <c r="G18" s="39">
        <f>VLOOKUP($E18,Model!$A$1:$BR$157,MATCH(Valuation!G$10,Model!$A$3:$BR$3,0),FALSE)</f>
        <v>-14442.25</v>
      </c>
      <c r="H18" s="39">
        <f>VLOOKUP($E18,Model!$A$1:$BR$157,MATCH(Valuation!H$10,Model!$A$3:$BR$3,0),FALSE)</f>
        <v>-12619.75</v>
      </c>
      <c r="I18" s="39">
        <f>VLOOKUP($E18,Model!$A$1:$BR$157,MATCH(Valuation!I$10,Model!$A$3:$BR$3,0),FALSE)</f>
        <v>-10797.25</v>
      </c>
      <c r="J18" s="39">
        <f>VLOOKUP($E18,Model!$A$1:$BR$157,MATCH(Valuation!J$10,Model!$A$3:$BR$3,0),FALSE)</f>
        <v>-9886</v>
      </c>
      <c r="K18" s="39">
        <f>VLOOKUP($E18,Model!$A$1:$BR$157,MATCH(Valuation!K$10,Model!$A$3:$BR$3,0),FALSE)</f>
        <v>9007.5354000000007</v>
      </c>
      <c r="L18" s="39">
        <f>VLOOKUP($E18,Model!$A$1:$BR$157,MATCH(Valuation!L$10,Model!$A$3:$BR$3,0),FALSE)</f>
        <v>35057.631462000012</v>
      </c>
      <c r="M18" s="39">
        <f>VLOOKUP($E18,Model!$A$1:$BR$157,MATCH(Valuation!M$10,Model!$A$3:$BR$3,0),FALSE)</f>
        <v>44960.449105860011</v>
      </c>
      <c r="N18" s="39">
        <f>VLOOKUP($E18,Model!$A$1:$BR$157,MATCH(Valuation!N$10,Model!$A$3:$BR$3,0),FALSE)</f>
        <v>46309.262579035814</v>
      </c>
      <c r="O18" s="39">
        <f>VLOOKUP($E18,Model!$A$1:$BR$157,MATCH(Valuation!O$10,Model!$A$3:$BR$3,0),FALSE)</f>
        <v>47698.540456406889</v>
      </c>
      <c r="P18" s="39">
        <f>VLOOKUP($E18,Model!$A$1:$BR$157,MATCH(Valuation!P$10,Model!$A$3:$BR$3,0),FALSE)</f>
        <v>49129.496670099099</v>
      </c>
      <c r="Q18" s="39">
        <f>VLOOKUP($E18,Model!$A$1:$BR$157,MATCH(Valuation!Q$10,Model!$A$3:$BR$3,0),FALSE)</f>
        <v>50603.38157020208</v>
      </c>
      <c r="R18" s="39">
        <f>VLOOKUP($E18,Model!$A$1:$BR$157,MATCH(Valuation!R$10,Model!$A$3:$BR$3,0),FALSE)</f>
        <v>52121.48301730815</v>
      </c>
      <c r="S18" s="39">
        <f>VLOOKUP($E18,Model!$A$1:$BR$157,MATCH(Valuation!S$10,Model!$A$3:$BR$3,0),FALSE)</f>
        <v>53685.127507827383</v>
      </c>
      <c r="T18" s="39">
        <f>VLOOKUP($E18,Model!$A$1:$BR$157,MATCH(Valuation!T$10,Model!$A$3:$BR$3,0),FALSE)</f>
        <v>55295.681333062195</v>
      </c>
      <c r="U18" s="39">
        <f>VLOOKUP($E18,Model!$A$1:$BR$157,MATCH(Valuation!U$10,Model!$A$3:$BR$3,0),FALSE)</f>
        <v>56954.551773054067</v>
      </c>
      <c r="V18" s="39">
        <f>VLOOKUP($E18,Model!$A$1:$BR$157,MATCH(Valuation!V$10,Model!$A$3:$BR$3,0),FALSE)</f>
        <v>58663.188326245683</v>
      </c>
      <c r="W18" s="39">
        <f>VLOOKUP($E18,Model!$A$1:$BR$157,MATCH(Valuation!W$10,Model!$A$3:$BR$3,0),FALSE)</f>
        <v>60423.083976033078</v>
      </c>
      <c r="X18" s="39">
        <f>VLOOKUP($E18,Model!$A$1:$BR$157,MATCH(Valuation!X$10,Model!$A$3:$BR$3,0),FALSE)</f>
        <v>14437.366405797082</v>
      </c>
    </row>
    <row r="19" spans="2:24" x14ac:dyDescent="0.2">
      <c r="B19" s="28"/>
      <c r="C19" s="28"/>
    </row>
    <row r="20" spans="2:24" x14ac:dyDescent="0.2">
      <c r="B20" s="28" t="s">
        <v>166</v>
      </c>
      <c r="C20" s="33">
        <f>C21+C22</f>
        <v>0.1</v>
      </c>
    </row>
    <row r="21" spans="2:24" x14ac:dyDescent="0.2">
      <c r="B21" s="34" t="s">
        <v>167</v>
      </c>
      <c r="C21" s="33">
        <v>0.04</v>
      </c>
    </row>
    <row r="22" spans="2:24" x14ac:dyDescent="0.2">
      <c r="B22" s="28" t="s">
        <v>168</v>
      </c>
      <c r="C22" s="33">
        <v>0.06</v>
      </c>
    </row>
    <row r="23" spans="2:24" x14ac:dyDescent="0.2">
      <c r="B23" s="28" t="s">
        <v>169</v>
      </c>
      <c r="C23" s="33">
        <v>-0.02</v>
      </c>
    </row>
    <row r="24" spans="2:24" x14ac:dyDescent="0.2">
      <c r="B24" s="28"/>
      <c r="C24" s="33"/>
    </row>
    <row r="25" spans="2:24" x14ac:dyDescent="0.2">
      <c r="B25" s="28"/>
      <c r="C25" s="28"/>
    </row>
    <row r="26" spans="2:24" x14ac:dyDescent="0.2">
      <c r="B26" s="28" t="s">
        <v>170</v>
      </c>
      <c r="C26" s="32">
        <f>NPV(C20,F18:X18,X18/0.1)/1000</f>
        <v>166.86721114050184</v>
      </c>
      <c r="J26" s="14"/>
    </row>
    <row r="27" spans="2:24" x14ac:dyDescent="0.2">
      <c r="B27" s="28" t="s">
        <v>171</v>
      </c>
      <c r="C27" s="32">
        <f>C17</f>
        <v>35.616</v>
      </c>
      <c r="F27" s="43"/>
      <c r="G27" s="14"/>
      <c r="H27" s="14"/>
      <c r="I27" s="14"/>
      <c r="J27" s="14"/>
      <c r="K27" s="14"/>
    </row>
    <row r="28" spans="2:24" x14ac:dyDescent="0.2">
      <c r="B28" s="28" t="s">
        <v>172</v>
      </c>
      <c r="C28" s="32">
        <f>C26+C27-C16</f>
        <v>176.49121114050186</v>
      </c>
      <c r="F28" s="13"/>
      <c r="G28" s="13"/>
    </row>
    <row r="29" spans="2:24" x14ac:dyDescent="0.2">
      <c r="B29" s="27" t="s">
        <v>175</v>
      </c>
      <c r="C29" s="36">
        <f>C28/C13</f>
        <v>2.7961218495009801</v>
      </c>
      <c r="F29" s="13"/>
    </row>
    <row r="30" spans="2:24" x14ac:dyDescent="0.2">
      <c r="F30" s="13"/>
    </row>
    <row r="31" spans="2:24" x14ac:dyDescent="0.2">
      <c r="F31" s="13"/>
    </row>
    <row r="32" spans="2:24" x14ac:dyDescent="0.2">
      <c r="F32" s="13"/>
    </row>
    <row r="33" spans="6:6" x14ac:dyDescent="0.2">
      <c r="F33" s="13"/>
    </row>
    <row r="34" spans="6:6" x14ac:dyDescent="0.2">
      <c r="F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2023-08-04T02:50:06Z</dcterms:created>
  <dcterms:modified xsi:type="dcterms:W3CDTF">2023-10-17T15:33:31Z</dcterms:modified>
</cp:coreProperties>
</file>