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antandernet-my.sharepoint.com/personal/x261847_prservicos_com_br/Documents/Desktop/Passarin/"/>
    </mc:Choice>
  </mc:AlternateContent>
  <xr:revisionPtr revIDLastSave="543" documentId="8_{9E8EB3A9-F4A6-4E14-A1A1-8FCD8E846508}" xr6:coauthVersionLast="47" xr6:coauthVersionMax="47" xr10:uidLastSave="{C2EBDF18-2E7B-4B53-93D3-FAFDD64DADB1}"/>
  <bookViews>
    <workbookView xWindow="-120" yWindow="-120" windowWidth="20730" windowHeight="11160" tabRatio="688" activeTab="4" xr2:uid="{13D73816-DD54-4F2D-BF58-FFFE69E835B2}"/>
  </bookViews>
  <sheets>
    <sheet name="DE_PARA" sheetId="4" r:id="rId1"/>
    <sheet name="EST_PRODUTOS" sheetId="10" r:id="rId2"/>
    <sheet name="EST_GARRAFAS" sheetId="5" r:id="rId3"/>
    <sheet name="FCST" sheetId="8" r:id="rId4"/>
    <sheet name="DIN" sheetId="13" r:id="rId5"/>
    <sheet name="PCP" sheetId="2" r:id="rId6"/>
    <sheet name="NOTAS" sheetId="7" r:id="rId7"/>
    <sheet name="EST_MIN_WIP" sheetId="1" r:id="rId8"/>
    <sheet name="PEDIDOS_WIP" sheetId="6" r:id="rId9"/>
  </sheets>
  <definedNames>
    <definedName name="_xlnm._FilterDatabase" localSheetId="0" hidden="1">DE_PARA!$A$1:$E$34</definedName>
    <definedName name="_xlnm._FilterDatabase" localSheetId="2" hidden="1">EST_GARRAFAS!$A$1:$E$1</definedName>
    <definedName name="_xlnm._FilterDatabase" localSheetId="7" hidden="1">EST_MIN_WIP!$A$2:$G$2</definedName>
    <definedName name="_xlnm._FilterDatabase" localSheetId="1" hidden="1">EST_PRODUTOS!$A$3:$N$3</definedName>
  </definedNames>
  <calcPr calcId="191029"/>
  <pivotCaches>
    <pivotCache cacheId="16" r:id="rId10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10" l="1"/>
  <c r="N33" i="10"/>
  <c r="L33" i="10" s="1"/>
  <c r="N29" i="10"/>
  <c r="L29" i="10" s="1"/>
  <c r="N25" i="10"/>
  <c r="L25" i="10" s="1"/>
  <c r="N21" i="10"/>
  <c r="L21" i="10" s="1"/>
  <c r="N17" i="10"/>
  <c r="L17" i="10" s="1"/>
  <c r="N13" i="10"/>
  <c r="L13" i="10" s="1"/>
  <c r="N9" i="10"/>
  <c r="L9" i="10" s="1"/>
  <c r="M4" i="10"/>
  <c r="K4" i="10" s="1"/>
  <c r="J7" i="10"/>
  <c r="C19" i="2"/>
  <c r="F9" i="2"/>
  <c r="F8" i="2"/>
  <c r="F7" i="2"/>
  <c r="F6" i="2"/>
  <c r="F5" i="2"/>
  <c r="F11" i="2"/>
  <c r="F10" i="2"/>
  <c r="F13" i="2"/>
  <c r="F12" i="2"/>
  <c r="N3" i="10"/>
  <c r="J32" i="10"/>
  <c r="J31" i="10"/>
  <c r="J28" i="10"/>
  <c r="J27" i="10"/>
  <c r="J23" i="10"/>
  <c r="J16" i="10"/>
  <c r="J15" i="10"/>
  <c r="J12" i="10"/>
  <c r="J11" i="10"/>
  <c r="I3" i="10"/>
  <c r="H3" i="10"/>
  <c r="G35" i="10"/>
  <c r="M35" i="10" s="1"/>
  <c r="K35" i="10" s="1"/>
  <c r="G34" i="10"/>
  <c r="N34" i="10" s="1"/>
  <c r="L34" i="10" s="1"/>
  <c r="G33" i="10"/>
  <c r="J33" i="10" s="1"/>
  <c r="G32" i="10"/>
  <c r="M32" i="10" s="1"/>
  <c r="K32" i="10" s="1"/>
  <c r="G31" i="10"/>
  <c r="M31" i="10" s="1"/>
  <c r="K31" i="10" s="1"/>
  <c r="G30" i="10"/>
  <c r="N30" i="10" s="1"/>
  <c r="L30" i="10" s="1"/>
  <c r="G29" i="10"/>
  <c r="J29" i="10" s="1"/>
  <c r="G28" i="10"/>
  <c r="M28" i="10" s="1"/>
  <c r="K28" i="10" s="1"/>
  <c r="G27" i="10"/>
  <c r="M27" i="10" s="1"/>
  <c r="K27" i="10" s="1"/>
  <c r="G26" i="10"/>
  <c r="J26" i="10" s="1"/>
  <c r="G25" i="10"/>
  <c r="J25" i="10" s="1"/>
  <c r="G24" i="10"/>
  <c r="M24" i="10" s="1"/>
  <c r="K24" i="10" s="1"/>
  <c r="G23" i="10"/>
  <c r="M23" i="10" s="1"/>
  <c r="K23" i="10" s="1"/>
  <c r="G22" i="10"/>
  <c r="J22" i="10" s="1"/>
  <c r="G21" i="10"/>
  <c r="J21" i="10" s="1"/>
  <c r="G20" i="10"/>
  <c r="M20" i="10" s="1"/>
  <c r="K20" i="10" s="1"/>
  <c r="G19" i="10"/>
  <c r="M19" i="10" s="1"/>
  <c r="K19" i="10" s="1"/>
  <c r="G18" i="10"/>
  <c r="N18" i="10" s="1"/>
  <c r="L18" i="10" s="1"/>
  <c r="G17" i="10"/>
  <c r="J17" i="10" s="1"/>
  <c r="G16" i="10"/>
  <c r="M16" i="10" s="1"/>
  <c r="K16" i="10" s="1"/>
  <c r="G15" i="10"/>
  <c r="M15" i="10" s="1"/>
  <c r="K15" i="10" s="1"/>
  <c r="G14" i="10"/>
  <c r="N14" i="10" s="1"/>
  <c r="L14" i="10" s="1"/>
  <c r="G13" i="10"/>
  <c r="M13" i="10" s="1"/>
  <c r="K13" i="10" s="1"/>
  <c r="G12" i="10"/>
  <c r="M12" i="10" s="1"/>
  <c r="K12" i="10" s="1"/>
  <c r="G11" i="10"/>
  <c r="M11" i="10" s="1"/>
  <c r="K11" i="10" s="1"/>
  <c r="G10" i="10"/>
  <c r="J10" i="10" s="1"/>
  <c r="G9" i="10"/>
  <c r="J9" i="10" s="1"/>
  <c r="G8" i="10"/>
  <c r="M8" i="10" s="1"/>
  <c r="K8" i="10" s="1"/>
  <c r="G7" i="10"/>
  <c r="G6" i="10"/>
  <c r="M6" i="10" s="1"/>
  <c r="K6" i="10" s="1"/>
  <c r="G5" i="10"/>
  <c r="J5" i="10" s="1"/>
  <c r="G4" i="10"/>
  <c r="J4" i="10" s="1"/>
  <c r="E1" i="10"/>
  <c r="F1" i="10"/>
  <c r="H4" i="10"/>
  <c r="N4" i="10" s="1"/>
  <c r="L4" i="10" s="1"/>
  <c r="I35" i="10"/>
  <c r="H35" i="10"/>
  <c r="N35" i="10" s="1"/>
  <c r="L35" i="10" s="1"/>
  <c r="I34" i="10"/>
  <c r="H34" i="10"/>
  <c r="I33" i="10"/>
  <c r="H33" i="10"/>
  <c r="I32" i="10"/>
  <c r="H32" i="10"/>
  <c r="N32" i="10" s="1"/>
  <c r="L32" i="10" s="1"/>
  <c r="I31" i="10"/>
  <c r="H31" i="10"/>
  <c r="N31" i="10" s="1"/>
  <c r="L31" i="10" s="1"/>
  <c r="I30" i="10"/>
  <c r="H30" i="10"/>
  <c r="I29" i="10"/>
  <c r="H29" i="10"/>
  <c r="I28" i="10"/>
  <c r="H28" i="10"/>
  <c r="N28" i="10" s="1"/>
  <c r="L28" i="10" s="1"/>
  <c r="I27" i="10"/>
  <c r="H27" i="10"/>
  <c r="N27" i="10" s="1"/>
  <c r="L27" i="10" s="1"/>
  <c r="I26" i="10"/>
  <c r="H26" i="10"/>
  <c r="I25" i="10"/>
  <c r="H25" i="10"/>
  <c r="I24" i="10"/>
  <c r="H24" i="10"/>
  <c r="N24" i="10" s="1"/>
  <c r="L24" i="10" s="1"/>
  <c r="I23" i="10"/>
  <c r="H23" i="10"/>
  <c r="N23" i="10" s="1"/>
  <c r="L23" i="10" s="1"/>
  <c r="I22" i="10"/>
  <c r="H22" i="10"/>
  <c r="I21" i="10"/>
  <c r="H21" i="10"/>
  <c r="I20" i="10"/>
  <c r="H20" i="10"/>
  <c r="N20" i="10" s="1"/>
  <c r="L20" i="10" s="1"/>
  <c r="I19" i="10"/>
  <c r="H19" i="10"/>
  <c r="N19" i="10" s="1"/>
  <c r="L19" i="10" s="1"/>
  <c r="I18" i="10"/>
  <c r="H18" i="10"/>
  <c r="I17" i="10"/>
  <c r="H17" i="10"/>
  <c r="I16" i="10"/>
  <c r="H16" i="10"/>
  <c r="N16" i="10" s="1"/>
  <c r="L16" i="10" s="1"/>
  <c r="I15" i="10"/>
  <c r="H15" i="10"/>
  <c r="N15" i="10" s="1"/>
  <c r="L15" i="10" s="1"/>
  <c r="I14" i="10"/>
  <c r="H14" i="10"/>
  <c r="I13" i="10"/>
  <c r="H13" i="10"/>
  <c r="I12" i="10"/>
  <c r="H12" i="10"/>
  <c r="N12" i="10" s="1"/>
  <c r="L12" i="10" s="1"/>
  <c r="I11" i="10"/>
  <c r="H11" i="10"/>
  <c r="N11" i="10" s="1"/>
  <c r="L11" i="10" s="1"/>
  <c r="I10" i="10"/>
  <c r="H10" i="10"/>
  <c r="I9" i="10"/>
  <c r="H9" i="10"/>
  <c r="I8" i="10"/>
  <c r="H8" i="10"/>
  <c r="N8" i="10" s="1"/>
  <c r="L8" i="10" s="1"/>
  <c r="I7" i="10"/>
  <c r="H7" i="10"/>
  <c r="N7" i="10" s="1"/>
  <c r="L7" i="10" s="1"/>
  <c r="I6" i="10"/>
  <c r="H6" i="10"/>
  <c r="I5" i="10"/>
  <c r="N5" i="10" s="1"/>
  <c r="L5" i="10" s="1"/>
  <c r="H5" i="10"/>
  <c r="I4" i="10"/>
  <c r="C21" i="2"/>
  <c r="C22" i="2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A2" i="8"/>
  <c r="D35" i="10"/>
  <c r="D34" i="10"/>
  <c r="D33" i="10"/>
  <c r="D32" i="10"/>
  <c r="D31" i="10"/>
  <c r="D30" i="10"/>
  <c r="D29" i="10"/>
  <c r="D28" i="10"/>
  <c r="D27" i="10"/>
  <c r="D26" i="10"/>
  <c r="D25" i="10"/>
  <c r="D24" i="10"/>
  <c r="D23" i="10"/>
  <c r="D22" i="10"/>
  <c r="D21" i="10"/>
  <c r="D20" i="10"/>
  <c r="D19" i="10"/>
  <c r="D18" i="10"/>
  <c r="D17" i="10"/>
  <c r="D16" i="10"/>
  <c r="D15" i="10"/>
  <c r="D14" i="10"/>
  <c r="D13" i="10"/>
  <c r="D12" i="10"/>
  <c r="D11" i="10"/>
  <c r="D10" i="10"/>
  <c r="D9" i="10"/>
  <c r="D8" i="10"/>
  <c r="D7" i="10"/>
  <c r="D6" i="10"/>
  <c r="D5" i="10"/>
  <c r="D4" i="10"/>
  <c r="J6" i="10" l="1"/>
  <c r="J18" i="10"/>
  <c r="J34" i="10"/>
  <c r="M10" i="10"/>
  <c r="K10" i="10" s="1"/>
  <c r="M14" i="10"/>
  <c r="K14" i="10" s="1"/>
  <c r="M18" i="10"/>
  <c r="K18" i="10" s="1"/>
  <c r="M22" i="10"/>
  <c r="K22" i="10" s="1"/>
  <c r="M26" i="10"/>
  <c r="K26" i="10" s="1"/>
  <c r="M30" i="10"/>
  <c r="K30" i="10" s="1"/>
  <c r="M34" i="10"/>
  <c r="K34" i="10" s="1"/>
  <c r="J8" i="10"/>
  <c r="J14" i="10"/>
  <c r="J19" i="10"/>
  <c r="J24" i="10"/>
  <c r="J30" i="10"/>
  <c r="J35" i="10"/>
  <c r="M5" i="10"/>
  <c r="K5" i="10" s="1"/>
  <c r="N6" i="10"/>
  <c r="L6" i="10" s="1"/>
  <c r="N10" i="10"/>
  <c r="L10" i="10" s="1"/>
  <c r="N22" i="10"/>
  <c r="L22" i="10" s="1"/>
  <c r="L1" i="10" s="1"/>
  <c r="N26" i="10"/>
  <c r="L26" i="10" s="1"/>
  <c r="J20" i="10"/>
  <c r="M7" i="10"/>
  <c r="K7" i="10" s="1"/>
  <c r="M9" i="10"/>
  <c r="K9" i="10" s="1"/>
  <c r="M17" i="10"/>
  <c r="K17" i="10" s="1"/>
  <c r="M21" i="10"/>
  <c r="K21" i="10" s="1"/>
  <c r="M25" i="10"/>
  <c r="K25" i="10" s="1"/>
  <c r="M29" i="10"/>
  <c r="K29" i="10" s="1"/>
  <c r="M33" i="10"/>
  <c r="K33" i="10" s="1"/>
  <c r="H1" i="10"/>
  <c r="J13" i="10"/>
  <c r="I1" i="10"/>
  <c r="K1" i="10" l="1"/>
  <c r="F3" i="1" l="1"/>
  <c r="F4" i="1"/>
  <c r="F5" i="1"/>
  <c r="F6" i="1"/>
  <c r="F7" i="1"/>
</calcChain>
</file>

<file path=xl/sharedStrings.xml><?xml version="1.0" encoding="utf-8"?>
<sst xmlns="http://schemas.openxmlformats.org/spreadsheetml/2006/main" count="405" uniqueCount="175">
  <si>
    <t>PRODUTO</t>
  </si>
  <si>
    <t>ESTOQUE</t>
  </si>
  <si>
    <t>PEDIDOS</t>
  </si>
  <si>
    <t>DISPONÍVEL</t>
  </si>
  <si>
    <t>ANTECIPADO</t>
  </si>
  <si>
    <t>CÓDIGO</t>
  </si>
  <si>
    <t>UNIDADE</t>
  </si>
  <si>
    <t>01.86</t>
  </si>
  <si>
    <t>01.87</t>
  </si>
  <si>
    <t>01.88</t>
  </si>
  <si>
    <t>01.89</t>
  </si>
  <si>
    <t>01.90</t>
  </si>
  <si>
    <t>P6</t>
  </si>
  <si>
    <t>Vinho</t>
  </si>
  <si>
    <t>Vodka</t>
  </si>
  <si>
    <t>Cerveja</t>
  </si>
  <si>
    <t>Paizano</t>
  </si>
  <si>
    <t>Menta</t>
  </si>
  <si>
    <t>Produto</t>
  </si>
  <si>
    <t>Garrafa</t>
  </si>
  <si>
    <t>01.96</t>
  </si>
  <si>
    <t>CHAP TT SECO 1.000 ML</t>
  </si>
  <si>
    <t>Código Garrafa</t>
  </si>
  <si>
    <t>Código Produto</t>
  </si>
  <si>
    <t>02.86</t>
  </si>
  <si>
    <t>02.96</t>
  </si>
  <si>
    <t>05.86</t>
  </si>
  <si>
    <t>06.86</t>
  </si>
  <si>
    <t>15.06</t>
  </si>
  <si>
    <t>16.06</t>
  </si>
  <si>
    <t>17.06</t>
  </si>
  <si>
    <t>17.16</t>
  </si>
  <si>
    <t>18.06</t>
  </si>
  <si>
    <t>22.16</t>
  </si>
  <si>
    <t>22.46</t>
  </si>
  <si>
    <t>23.06</t>
  </si>
  <si>
    <t>23.16</t>
  </si>
  <si>
    <t>25.16</t>
  </si>
  <si>
    <t>27.26</t>
  </si>
  <si>
    <t>28.06</t>
  </si>
  <si>
    <t>30.96</t>
  </si>
  <si>
    <t>36.06</t>
  </si>
  <si>
    <t>39.16</t>
  </si>
  <si>
    <t>48.96</t>
  </si>
  <si>
    <t>51.06</t>
  </si>
  <si>
    <t>52.06</t>
  </si>
  <si>
    <t>63.06</t>
  </si>
  <si>
    <t>64.06</t>
  </si>
  <si>
    <t>50.06</t>
  </si>
  <si>
    <t>72.06</t>
  </si>
  <si>
    <t>74.06</t>
  </si>
  <si>
    <t>75.06</t>
  </si>
  <si>
    <t>76.06</t>
  </si>
  <si>
    <t>77.06</t>
  </si>
  <si>
    <t>78.06</t>
  </si>
  <si>
    <t>CHAP TT SECO 750ML PILFER 6X1</t>
  </si>
  <si>
    <t>CHAP TT SUAVE 1.000 ML</t>
  </si>
  <si>
    <t>CHAP TT SUAVE 750ML PILFER 6X1</t>
  </si>
  <si>
    <t>MASTELA TT SECO 1.000 ML</t>
  </si>
  <si>
    <t>MASTELA TT SUAVE 1.000 ML</t>
  </si>
  <si>
    <t>PAIZANO TT 880ML 6X1</t>
  </si>
  <si>
    <t>PAIZANO BCO 880ML 6X1</t>
  </si>
  <si>
    <t xml:space="preserve">JURUBEBA </t>
  </si>
  <si>
    <t>JURUBEBA COM COPO</t>
  </si>
  <si>
    <t>ERVAS AMARGAS 6X1</t>
  </si>
  <si>
    <t>CONHAQUE PALHINHA</t>
  </si>
  <si>
    <t>PALHINHA MEL 17%</t>
  </si>
  <si>
    <t>JEROPIGA</t>
  </si>
  <si>
    <t>JEROPIGA GOLD 1.000 ML</t>
  </si>
  <si>
    <t>MENTA PALHINHA</t>
  </si>
  <si>
    <t>OLD OAK 1.000 ml</t>
  </si>
  <si>
    <t>VODKA NIKITA</t>
  </si>
  <si>
    <t>CHAP BCO SECO PILFER 750 ML 6X1</t>
  </si>
  <si>
    <t>CATUABA PET COQUETEL 6X1</t>
  </si>
  <si>
    <t>SAKE 750 ML</t>
  </si>
  <si>
    <t>CHAP BCO SUAVE PILFER 750ML 6x1</t>
  </si>
  <si>
    <t>FLOR DO RIO GRANDE SV 1.000 ML</t>
  </si>
  <si>
    <t>VINNY BLUE</t>
  </si>
  <si>
    <t>VINNY MEL E LIMÃO</t>
  </si>
  <si>
    <t>FLOR DO RIO GRANDE SV 750 ML 06X01</t>
  </si>
  <si>
    <t>FLOR DO RIO GRANDE SC 1.000 ML</t>
  </si>
  <si>
    <t>PALHINHA CACAU</t>
  </si>
  <si>
    <t>NEON BLUE 06X01</t>
  </si>
  <si>
    <t>FLOR RG BORDÔ SV 750ML 6x1</t>
  </si>
  <si>
    <t>FLOR RG BORDÔ SC 750ML 6x1</t>
  </si>
  <si>
    <t>FLOR RG NIÁGARA BCO SC 750ML 6x1</t>
  </si>
  <si>
    <t>FLOR RG NIÁGARA BCO SV 750ML 6x1</t>
  </si>
  <si>
    <t>Estoque</t>
  </si>
  <si>
    <t>Caixas</t>
  </si>
  <si>
    <t>Pedido</t>
  </si>
  <si>
    <t>Lead Time (dias corridos)</t>
  </si>
  <si>
    <t>Quantidade</t>
  </si>
  <si>
    <t>Prazo</t>
  </si>
  <si>
    <t>Carga máxima recife:</t>
  </si>
  <si>
    <t>* Garrafa 750 ML</t>
  </si>
  <si>
    <t>* Garrafa tubinho</t>
  </si>
  <si>
    <t>* Garrafa quadrada</t>
  </si>
  <si>
    <t>GARRAFAS 600 ML</t>
  </si>
  <si>
    <t>PRE FORMA CATUABA 48G</t>
  </si>
  <si>
    <t>LITRO APOLO 900 ML</t>
  </si>
  <si>
    <t>GARRAFA TUBINHO 880 ML</t>
  </si>
  <si>
    <t>GARRAFA 750 ML</t>
  </si>
  <si>
    <t>GARRAFA QUADRADA 1000 ML</t>
  </si>
  <si>
    <t>GARRAFA BOURGOGNE 750 ML</t>
  </si>
  <si>
    <t>GARRAFA SIBERIA 900 ML</t>
  </si>
  <si>
    <t>GARRAFA P/ VINHO 1000 ML PILFER</t>
  </si>
  <si>
    <t>Produto Detalhado</t>
  </si>
  <si>
    <t>VINHO TINTO CHAPINHA SECO 1L 6X1</t>
  </si>
  <si>
    <t xml:space="preserve">VINHO TINTO CHAPINHA SECO 750ML 6X1                  </t>
  </si>
  <si>
    <t>VINHTO TINTO CHAPINHA SUAVE 1L 6X1</t>
  </si>
  <si>
    <t xml:space="preserve">VINHO TINTO CHAPINHA SUAVE 750ML 6X1                  </t>
  </si>
  <si>
    <t xml:space="preserve">VINHO BRANCO CHAPINHA SUAVE 750ML 6X1                </t>
  </si>
  <si>
    <t xml:space="preserve">VINHO TINTO MASTELA  SECO 1LT 6X1       </t>
  </si>
  <si>
    <t xml:space="preserve">VINHO TINTO MASTELA SUAVE 1LT 6X1       </t>
  </si>
  <si>
    <t xml:space="preserve">VINHO TINTO SUAVE FLOR DO RIO GRANDE  750ML 6X1         </t>
  </si>
  <si>
    <t xml:space="preserve">VINHO TINTO FLOR DO RIO GRANDE BORDO SUAVE 750ML 6X1      </t>
  </si>
  <si>
    <t xml:space="preserve">VERMUTE PAIZANO TINTO 880ML 6X1                    </t>
  </si>
  <si>
    <t xml:space="preserve">VERMUTE PAIZANO BRANCO 880ML 6X1                    </t>
  </si>
  <si>
    <t xml:space="preserve">JURUBEBA CANGACEIRO DO NORTE 600ML 6X1          </t>
  </si>
  <si>
    <t xml:space="preserve">ERVAS AMARGAS PASSARIN 880ML 6X1                </t>
  </si>
  <si>
    <t>CONHAQUE PALHINHA OURO 900ML 6X1</t>
  </si>
  <si>
    <t xml:space="preserve">CONHAQUE PALHINHA MEL 900 ML 6X1                 </t>
  </si>
  <si>
    <t xml:space="preserve">COQUETEL PALHINHA CACAU 900ML 6X1                </t>
  </si>
  <si>
    <t>LICOR DE MENTA PALHINHA 900ML 6X1</t>
  </si>
  <si>
    <t xml:space="preserve">WHISKEY OLD OAK 1000 ML 6X1           </t>
  </si>
  <si>
    <t xml:space="preserve">VODKA NIKITA 900ML  6 X 1               </t>
  </si>
  <si>
    <t xml:space="preserve">COQUETEL FERMENTADO CATUABA PODEROSO 960ML                  </t>
  </si>
  <si>
    <t xml:space="preserve">SAKE SEISHU PASSARIN 750ML 6X1          </t>
  </si>
  <si>
    <t>NEON BLUE 6X1 900ML</t>
  </si>
  <si>
    <t xml:space="preserve">VINHO TINTO FLOR DO RIO GRANDE BORDO SECO 750ML 6X1      </t>
  </si>
  <si>
    <t xml:space="preserve">VINHO BRANCO CHAPINHA SECO PILFER 750ML 6X1         </t>
  </si>
  <si>
    <t xml:space="preserve">VINHO TINTO SUAVE FLOR DO RIO GRANDE 1L  6X1             </t>
  </si>
  <si>
    <t xml:space="preserve">VINNY MEL E LIMAO 1 L 6X1              </t>
  </si>
  <si>
    <t xml:space="preserve">VINNY BLUE 1L 6X1                       </t>
  </si>
  <si>
    <t xml:space="preserve">JEROPIGA GOLD 2001 1.000 ML 6X1                  </t>
  </si>
  <si>
    <t xml:space="preserve">JEROPIGA GOLD 2001 970 ML PP 6X1                 </t>
  </si>
  <si>
    <t xml:space="preserve">VINHO TINTO SECO FLOR DO RIO GRANDE 1L  6X1             </t>
  </si>
  <si>
    <t xml:space="preserve">VINHO BRANCO FLOR DO RIO GRANDE NIAGARA SECO 750ML 6X1   </t>
  </si>
  <si>
    <t xml:space="preserve">VINHO BRANCO FLOR DO RIO GRANDE NIAGARA  SUAVE 750ML 6X1   </t>
  </si>
  <si>
    <t>DESCRIÇÃO DETALHADA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</si>
  <si>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</si>
  <si>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</si>
  <si>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</si>
  <si>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</si>
  <si>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</si>
  <si>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</si>
  <si>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</si>
  <si>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</si>
  <si>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</si>
  <si>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</si>
  <si>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</si>
  <si>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</si>
  <si>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GARRAFA</t>
  </si>
  <si>
    <t>Seg</t>
  </si>
  <si>
    <t>Ter</t>
  </si>
  <si>
    <t>Qua</t>
  </si>
  <si>
    <t>Qui</t>
  </si>
  <si>
    <t>Sex</t>
  </si>
  <si>
    <t>Sab</t>
  </si>
  <si>
    <t>Row Labels</t>
  </si>
  <si>
    <t>Grand Total</t>
  </si>
  <si>
    <t>Data Atualização</t>
  </si>
  <si>
    <t>Carga Mínima</t>
  </si>
  <si>
    <t>Data:</t>
  </si>
  <si>
    <t>Disponível</t>
  </si>
  <si>
    <t>FCST JAN</t>
  </si>
  <si>
    <t>PROD - Pedidos G</t>
  </si>
  <si>
    <t>PROD - Fcst Jan G</t>
  </si>
  <si>
    <t>PROD - Fcst Fev G</t>
  </si>
  <si>
    <t>Sum of PROD - Pedidos G</t>
  </si>
  <si>
    <t>Sum of PROD - Fcst Jan G</t>
  </si>
  <si>
    <t>Sum of PROD - Fcst Fev G</t>
  </si>
  <si>
    <t>FCST FEV</t>
  </si>
  <si>
    <t>Litros (x ML)</t>
  </si>
  <si>
    <t>(All)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</si>
</sst>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4.9989318521683403E-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3" fontId="0" fillId="0" borderId="0" xfId="0" applyNumberFormat="1" applyAlignment="1">
      <alignment horizontal="center"/>
    </xf>
    <xf numFmtId="0" fontId="1" fillId="0" borderId="0" xfId="0" applyFont="1"/>
    <xf numFmtId="0" fontId="1" fillId="2" borderId="0" xfId="0" applyFont="1" applyFill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 applyAlignment="1">
      <alignment horizontal="center"/>
    </xf>
    <xf numFmtId="3" fontId="0" fillId="0" borderId="0" xfId="0" applyNumberFormat="1"/>
    <xf numFmtId="3" fontId="0" fillId="0" borderId="0" xfId="0" applyNumberFormat="1" applyBorder="1" applyAlignment="1">
      <alignment horizontal="center"/>
    </xf>
    <xf numFmtId="0" fontId="1" fillId="0" borderId="0" xfId="0" applyFont="1" applyFill="1" applyAlignment="1"/>
    <xf numFmtId="0" fontId="0" fillId="3" borderId="1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3" xfId="0" applyBorder="1" applyAlignment="1"/>
    <xf numFmtId="0" fontId="0" fillId="0" borderId="0" xfId="0" pivotButton="1"/>
    <xf numFmtId="0" fontId="0" fillId="0" borderId="0" xfId="0" applyAlignment="1">
      <alignment horizontal="left"/>
    </xf>
    <xf numFmtId="16" fontId="0" fillId="0" borderId="0" xfId="0" applyNumberFormat="1"/>
    <xf numFmtId="16" fontId="0" fillId="2" borderId="12" xfId="0" applyNumberFormat="1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1" fillId="4" borderId="0" xfId="0" applyFont="1" applyFill="1" applyAlignment="1"/>
    <xf numFmtId="3" fontId="0" fillId="4" borderId="0" xfId="0" applyNumberFormat="1" applyFill="1"/>
    <xf numFmtId="16" fontId="0" fillId="2" borderId="0" xfId="0" applyNumberFormat="1" applyFill="1" applyAlignment="1">
      <alignment horizontal="center"/>
    </xf>
    <xf numFmtId="0" fontId="0" fillId="0" borderId="7" xfId="0" applyBorder="1" applyAlignment="1">
      <alignment horizontal="center"/>
    </xf>
    <xf numFmtId="16" fontId="0" fillId="0" borderId="8" xfId="0" applyNumberFormat="1" applyBorder="1" applyAlignment="1">
      <alignment horizontal="center"/>
    </xf>
    <xf numFmtId="0" fontId="0" fillId="0" borderId="10" xfId="0" applyBorder="1"/>
    <xf numFmtId="0" fontId="1" fillId="0" borderId="10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3" fontId="0" fillId="0" borderId="3" xfId="0" applyNumberFormat="1" applyBorder="1" applyAlignment="1">
      <alignment horizontal="center"/>
    </xf>
    <xf numFmtId="0" fontId="1" fillId="0" borderId="0" xfId="0" applyFont="1" applyBorder="1" applyAlignment="1">
      <alignment horizontal="center"/>
    </xf>
    <xf numFmtId="3" fontId="0" fillId="4" borderId="0" xfId="0" applyNumberFormat="1" applyFill="1" applyAlignment="1">
      <alignment horizontal="center"/>
    </xf>
    <xf numFmtId="0" fontId="1" fillId="0" borderId="0" xfId="0" applyFont="1" applyAlignment="1"/>
  </cellXfs>
  <cellStyles count="1">
    <cellStyle name="Normal" xfId="0" builtinId="0"/>
  </cellStyles>
  <dxfs count="9"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vandro Geralduci Lugli (P)" refreshedDate="44558.459599305555" createdVersion="7" refreshedVersion="7" minRefreshableVersion="3" recordCount="32" xr:uid="{0F668AF4-4114-43B6-BF13-E76A41D21B13}">
  <cacheSource type="worksheet">
    <worksheetSource ref="A3:N35" sheet="EST_PRODUTOS"/>
  </cacheSource>
  <cacheFields count="14">
    <cacheField name="Código Produto" numFmtId="0">
      <sharedItems/>
    </cacheField>
    <cacheField name="Produto" numFmtId="0">
      <sharedItems/>
    </cacheField>
    <cacheField name="Produto Detalhado" numFmtId="0">
      <sharedItems count="32">
        <s v="VINHO TINTO CHAPINHA SECO 1L 6X1"/>
        <s v="VINHO TINTO CHAPINHA SECO 750ML 6X1                  "/>
        <s v="VINHTO TINTO CHAPINHA SUAVE 1L 6X1"/>
        <s v="VINHO TINTO CHAPINHA SUAVE 750ML 6X1                  "/>
        <s v="VINHO TINTO MASTELA  SECO 1LT 6X1       "/>
        <s v="VINHO TINTO MASTELA SUAVE 1LT 6X1       "/>
        <s v="VERMUTE PAIZANO TINTO 880ML 6X1                    "/>
        <s v="VERMUTE PAIZANO BRANCO 880ML 6X1                    "/>
        <s v="JURUBEBA CANGACEIRO DO NORTE 600ML 6X1          "/>
        <s v="ERVAS AMARGAS PASSARIN 880ML 6X1                "/>
        <s v="CONHAQUE PALHINHA OURO 900ML 6X1"/>
        <s v="CONHAQUE PALHINHA MEL 900 ML 6X1                 "/>
        <s v="JEROPIGA GOLD 2001 970 ML PP 6X1                 "/>
        <s v="JEROPIGA GOLD 2001 1.000 ML 6X1                  "/>
        <s v="LICOR DE MENTA PALHINHA 900ML 6X1"/>
        <s v="WHISKEY OLD OAK 1000 ML 6X1           "/>
        <s v="VODKA NIKITA 900ML  6 X 1               "/>
        <s v="VINHO BRANCO CHAPINHA SECO PILFER 750ML 6X1         "/>
        <s v="COQUETEL FERMENTADO CATUABA PODEROSO 960ML                  "/>
        <s v="SAKE SEISHU PASSARIN 750ML 6X1          "/>
        <s v="VINHO BRANCO CHAPINHA SUAVE 750ML 6X1                "/>
        <s v="VINHO TINTO SUAVE FLOR DO RIO GRANDE 1L  6X1             "/>
        <s v="VINNY BLUE 1L 6X1                       "/>
        <s v="VINNY MEL E LIMAO 1 L 6X1              "/>
        <s v="VINHO TINTO SUAVE FLOR DO RIO GRANDE  750ML 6X1         "/>
        <s v="VINHO TINTO SECO FLOR DO RIO GRANDE 1L  6X1             "/>
        <s v="COQUETEL PALHINHA CACAU 900ML 6X1                "/>
        <s v="NEON BLUE 6X1 900ML"/>
        <s v="VINHO TINTO FLOR DO RIO GRANDE BORDO SUAVE 750ML 6X1      "/>
        <s v="VINHO TINTO FLOR DO RIO GRANDE BORDO SECO 750ML 6X1      "/>
        <s v="VINHO BRANCO FLOR DO RIO GRANDE NIAGARA SECO 750ML 6X1   "/>
        <s v="VINHO BRANCO FLOR DO RIO GRANDE NIAGARA  SUAVE 750ML 6X1   "/>
      </sharedItems>
    </cacheField>
    <cacheField name="Garrafa" numFmtId="0">
      <sharedItems count="9">
        <s v="GARRAFA P/ VINHO 1000 ML PILFER"/>
        <s v="GARRAFA 750 ML"/>
        <s v="GARRAFA TUBINHO 880 ML"/>
        <s v="GARRAFAS 600 ML"/>
        <s v="LITRO APOLO 900 ML"/>
        <s v="GARRAFA QUADRADA 1000 ML"/>
        <s v="GARRAFA SIBERIA 900 ML"/>
        <s v="PRE FORMA CATUABA 48G"/>
        <s v="GARRAFA BOURGOGNE 750 ML"/>
      </sharedItems>
    </cacheField>
    <cacheField name="Estoque" numFmtId="3">
      <sharedItems containsSemiMixedTypes="0" containsString="0" containsNumber="1" containsInteger="1" minValue="0" maxValue="19832"/>
    </cacheField>
    <cacheField name="Pedido" numFmtId="3">
      <sharedItems containsString="0" containsBlank="1" containsNumber="1" containsInteger="1" minValue="4" maxValue="13900"/>
    </cacheField>
    <cacheField name="Disponível" numFmtId="3">
      <sharedItems containsSemiMixedTypes="0" containsString="0" containsNumber="1" containsInteger="1" minValue="-9899" maxValue="18959"/>
    </cacheField>
    <cacheField name="Fcst JAN" numFmtId="3">
      <sharedItems containsSemiMixedTypes="0" containsString="0" containsNumber="1" containsInteger="1" minValue="0" maxValue="20000"/>
    </cacheField>
    <cacheField name="Fcst FEV" numFmtId="3">
      <sharedItems containsSemiMixedTypes="0" containsString="0" containsNumber="1" containsInteger="1" minValue="0" maxValue="20000"/>
    </cacheField>
    <cacheField name="PROD - Pedidos G" numFmtId="3">
      <sharedItems containsMixedTypes="1" containsNumber="1" containsInteger="1" minValue="408" maxValue="59394"/>
    </cacheField>
    <cacheField name="PROD - Fcst Jan G" numFmtId="3">
      <sharedItems containsMixedTypes="1" containsNumber="1" containsInteger="1" minValue="288" maxValue="238134"/>
    </cacheField>
    <cacheField name="PROD - Fcst Fev G" numFmtId="3">
      <sharedItems containsMixedTypes="1" containsNumber="1" containsInteger="1" minValue="960" maxValue="358134"/>
    </cacheField>
    <cacheField name="Status JAN" numFmtId="3">
      <sharedItems containsSemiMixedTypes="0" containsString="0" containsNumber="1" containsInteger="1" minValue="-39689" maxValue="6870"/>
    </cacheField>
    <cacheField name="Status FEV" numFmtId="3">
      <sharedItems containsSemiMixedTypes="0" containsString="0" containsNumber="1" containsInteger="1" minValue="-59689" maxValue="50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2">
  <r>
    <s v="01.86"/>
    <s v="CHAP TT SECO 1.000 ML"/>
    <x v="0"/>
    <x v="0"/>
    <n v="25"/>
    <m/>
    <n v="25"/>
    <n v="4360"/>
    <n v="4360"/>
    <s v="-"/>
    <n v="26010"/>
    <n v="52170"/>
    <n v="-4335"/>
    <n v="-8695"/>
  </r>
  <r>
    <s v="01.96"/>
    <s v="CHAP TT SECO 750ML PILFER 6X1"/>
    <x v="1"/>
    <x v="1"/>
    <n v="2473"/>
    <n v="480"/>
    <n v="1993"/>
    <n v="4100"/>
    <n v="4100"/>
    <s v="-"/>
    <n v="15522"/>
    <n v="40122"/>
    <n v="-2587"/>
    <n v="-6687"/>
  </r>
  <r>
    <s v="02.86"/>
    <s v="CHAP TT SUAVE 1.000 ML"/>
    <x v="2"/>
    <x v="0"/>
    <n v="0"/>
    <m/>
    <n v="0"/>
    <n v="5100"/>
    <n v="5100"/>
    <s v="-"/>
    <n v="30600"/>
    <n v="61200"/>
    <n v="-5100"/>
    <n v="-10200"/>
  </r>
  <r>
    <s v="02.96"/>
    <s v="CHAP TT SUAVE 750ML PILFER 6X1"/>
    <x v="3"/>
    <x v="1"/>
    <n v="8111"/>
    <n v="13900"/>
    <n v="-5789"/>
    <n v="20000"/>
    <n v="20000"/>
    <n v="34734"/>
    <n v="238134"/>
    <n v="358134"/>
    <n v="-39689"/>
    <n v="-59689"/>
  </r>
  <r>
    <s v="05.86"/>
    <s v="MASTELA TT SECO 1.000 ML"/>
    <x v="4"/>
    <x v="0"/>
    <n v="0"/>
    <m/>
    <n v="0"/>
    <n v="1400"/>
    <n v="1400"/>
    <s v="-"/>
    <n v="8400"/>
    <n v="16800"/>
    <n v="-1400"/>
    <n v="-2800"/>
  </r>
  <r>
    <s v="06.86"/>
    <s v="MASTELA TT SUAVE 1.000 ML"/>
    <x v="5"/>
    <x v="0"/>
    <n v="0"/>
    <m/>
    <n v="0"/>
    <n v="4400"/>
    <n v="4400"/>
    <s v="-"/>
    <n v="26400"/>
    <n v="52800"/>
    <n v="-4400"/>
    <n v="-8800"/>
  </r>
  <r>
    <s v="15.06"/>
    <s v="PAIZANO TT 880ML 6X1"/>
    <x v="6"/>
    <x v="2"/>
    <n v="3522"/>
    <n v="373"/>
    <n v="3149"/>
    <n v="9400"/>
    <n v="9400"/>
    <s v="-"/>
    <n v="39744"/>
    <n v="96144"/>
    <n v="-6624"/>
    <n v="-16024"/>
  </r>
  <r>
    <s v="16.06"/>
    <s v="PAIZANO BCO 880ML 6X1"/>
    <x v="7"/>
    <x v="2"/>
    <n v="3091"/>
    <n v="185"/>
    <n v="2906"/>
    <n v="8300"/>
    <n v="8300"/>
    <s v="-"/>
    <n v="33474"/>
    <n v="83274"/>
    <n v="-5579"/>
    <n v="-13879"/>
  </r>
  <r>
    <s v="17.06"/>
    <s v="JURUBEBA "/>
    <x v="8"/>
    <x v="3"/>
    <n v="19832"/>
    <n v="873"/>
    <n v="18959"/>
    <n v="14500"/>
    <n v="14500"/>
    <s v="-"/>
    <s v="-"/>
    <n v="65484"/>
    <n v="3586"/>
    <n v="-10914"/>
  </r>
  <r>
    <s v="18.06"/>
    <s v="ERVAS AMARGAS 6X1"/>
    <x v="9"/>
    <x v="2"/>
    <n v="1602"/>
    <n v="45"/>
    <n v="1557"/>
    <n v="1560"/>
    <n v="1560"/>
    <s v="-"/>
    <n v="288"/>
    <n v="9648"/>
    <n v="-48"/>
    <n v="-1608"/>
  </r>
  <r>
    <s v="22.16"/>
    <s v="CONHAQUE PALHINHA"/>
    <x v="10"/>
    <x v="4"/>
    <n v="1766"/>
    <n v="474"/>
    <n v="1292"/>
    <n v="3000"/>
    <n v="3000"/>
    <s v="-"/>
    <n v="13092"/>
    <n v="31092"/>
    <n v="-2182"/>
    <n v="-5182"/>
  </r>
  <r>
    <s v="22.46"/>
    <s v="PALHINHA MEL 17%"/>
    <x v="11"/>
    <x v="4"/>
    <n v="1548"/>
    <n v="256"/>
    <n v="1292"/>
    <n v="2600"/>
    <n v="2600"/>
    <s v="-"/>
    <n v="9384"/>
    <n v="24984"/>
    <n v="-1564"/>
    <n v="-4164"/>
  </r>
  <r>
    <s v="23.06"/>
    <s v="JEROPIGA"/>
    <x v="12"/>
    <x v="5"/>
    <n v="0"/>
    <m/>
    <n v="0"/>
    <n v="0"/>
    <n v="0"/>
    <s v="-"/>
    <s v="-"/>
    <s v="-"/>
    <n v="0"/>
    <n v="0"/>
  </r>
  <r>
    <s v="23.16"/>
    <s v="JEROPIGA GOLD 1.000 ML"/>
    <x v="13"/>
    <x v="5"/>
    <n v="0"/>
    <m/>
    <n v="0"/>
    <n v="0"/>
    <n v="0"/>
    <s v="-"/>
    <s v="-"/>
    <s v="-"/>
    <n v="0"/>
    <n v="0"/>
  </r>
  <r>
    <s v="25.16"/>
    <s v="MENTA PALHINHA"/>
    <x v="14"/>
    <x v="4"/>
    <n v="6087"/>
    <n v="21"/>
    <n v="6066"/>
    <n v="7070"/>
    <n v="7070"/>
    <s v="-"/>
    <n v="6150"/>
    <n v="48570"/>
    <n v="-1025"/>
    <n v="-8095"/>
  </r>
  <r>
    <s v="27.26"/>
    <s v="OLD OAK 1.000 ml"/>
    <x v="15"/>
    <x v="5"/>
    <n v="1187"/>
    <n v="4"/>
    <n v="1183"/>
    <n v="1400"/>
    <n v="1400"/>
    <s v="-"/>
    <n v="1326"/>
    <n v="9726"/>
    <n v="-221"/>
    <n v="-1621"/>
  </r>
  <r>
    <s v="28.06"/>
    <s v="VODKA NIKITA"/>
    <x v="16"/>
    <x v="6"/>
    <n v="1226"/>
    <n v="11125"/>
    <n v="-9899"/>
    <n v="10200"/>
    <n v="10200"/>
    <n v="59394"/>
    <n v="187344"/>
    <n v="248544"/>
    <n v="-31224"/>
    <n v="-41424"/>
  </r>
  <r>
    <s v="30.96"/>
    <s v="CHAP BCO SECO PILFER 750 ML 6X1"/>
    <x v="17"/>
    <x v="1"/>
    <n v="0"/>
    <m/>
    <n v="0"/>
    <n v="0"/>
    <n v="0"/>
    <s v="-"/>
    <s v="-"/>
    <s v="-"/>
    <n v="0"/>
    <n v="0"/>
  </r>
  <r>
    <s v="36.06"/>
    <s v="CATUABA PET COQUETEL 6X1"/>
    <x v="18"/>
    <x v="7"/>
    <n v="9126"/>
    <n v="198"/>
    <n v="8928"/>
    <n v="1860"/>
    <n v="1860"/>
    <s v="-"/>
    <s v="-"/>
    <s v="-"/>
    <n v="6870"/>
    <n v="5010"/>
  </r>
  <r>
    <s v="39.16"/>
    <s v="SAKE 750 ML"/>
    <x v="19"/>
    <x v="8"/>
    <n v="2"/>
    <n v="70"/>
    <n v="-68"/>
    <n v="360"/>
    <n v="360"/>
    <n v="408"/>
    <n v="2988"/>
    <n v="5148"/>
    <n v="-498"/>
    <n v="-858"/>
  </r>
  <r>
    <s v="48.96"/>
    <s v="CHAP BCO SUAVE PILFER 750ML 6x1"/>
    <x v="20"/>
    <x v="1"/>
    <n v="381"/>
    <n v="150"/>
    <n v="231"/>
    <n v="650"/>
    <n v="650"/>
    <s v="-"/>
    <n v="3414"/>
    <n v="7314"/>
    <n v="-569"/>
    <n v="-1219"/>
  </r>
  <r>
    <s v="51.06"/>
    <s v="FLOR DO RIO GRANDE SV 1.000 ML"/>
    <x v="21"/>
    <x v="0"/>
    <n v="0"/>
    <m/>
    <n v="0"/>
    <n v="0"/>
    <n v="0"/>
    <s v="-"/>
    <s v="-"/>
    <s v="-"/>
    <n v="0"/>
    <n v="0"/>
  </r>
  <r>
    <s v="52.06"/>
    <s v="VINNY BLUE"/>
    <x v="22"/>
    <x v="4"/>
    <n v="0"/>
    <m/>
    <n v="0"/>
    <n v="0"/>
    <n v="0"/>
    <s v="-"/>
    <s v="-"/>
    <s v="-"/>
    <n v="0"/>
    <n v="0"/>
  </r>
  <r>
    <s v="63.06"/>
    <s v="VINNY MEL E LIMÃO"/>
    <x v="23"/>
    <x v="4"/>
    <n v="507"/>
    <m/>
    <n v="507"/>
    <n v="0"/>
    <n v="0"/>
    <s v="-"/>
    <s v="-"/>
    <s v="-"/>
    <n v="507"/>
    <n v="507"/>
  </r>
  <r>
    <s v="64.06"/>
    <s v="FLOR DO RIO GRANDE SV 750 ML 06X01"/>
    <x v="24"/>
    <x v="1"/>
    <n v="1"/>
    <m/>
    <n v="1"/>
    <n v="400"/>
    <n v="400"/>
    <s v="-"/>
    <n v="2394"/>
    <n v="4794"/>
    <n v="-399"/>
    <n v="-799"/>
  </r>
  <r>
    <s v="50.06"/>
    <s v="FLOR DO RIO GRANDE SC 1.000 ML"/>
    <x v="25"/>
    <x v="0"/>
    <n v="0"/>
    <m/>
    <n v="0"/>
    <n v="0"/>
    <n v="0"/>
    <s v="-"/>
    <s v="-"/>
    <s v="-"/>
    <n v="0"/>
    <n v="0"/>
  </r>
  <r>
    <s v="72.06"/>
    <s v="PALHINHA CACAU"/>
    <x v="26"/>
    <x v="4"/>
    <n v="0"/>
    <m/>
    <n v="0"/>
    <n v="1310"/>
    <n v="1310"/>
    <s v="-"/>
    <n v="7860"/>
    <n v="15720"/>
    <n v="-1310"/>
    <n v="-2620"/>
  </r>
  <r>
    <s v="74.06"/>
    <s v="NEON BLUE 06X01"/>
    <x v="27"/>
    <x v="4"/>
    <n v="114"/>
    <m/>
    <n v="114"/>
    <n v="1000"/>
    <n v="1000"/>
    <s v="-"/>
    <n v="5316"/>
    <n v="11316"/>
    <n v="-886"/>
    <n v="-1886"/>
  </r>
  <r>
    <s v="75.06"/>
    <s v="FLOR RG BORDÔ SV 750ML 6x1"/>
    <x v="28"/>
    <x v="1"/>
    <n v="0"/>
    <m/>
    <n v="0"/>
    <n v="80"/>
    <n v="80"/>
    <s v="-"/>
    <n v="480"/>
    <n v="960"/>
    <n v="-80"/>
    <n v="-160"/>
  </r>
  <r>
    <s v="76.06"/>
    <s v="FLOR RG BORDÔ SC 750ML 6x1"/>
    <x v="29"/>
    <x v="1"/>
    <n v="649"/>
    <m/>
    <n v="649"/>
    <n v="0"/>
    <n v="0"/>
    <s v="-"/>
    <s v="-"/>
    <s v="-"/>
    <n v="649"/>
    <n v="649"/>
  </r>
  <r>
    <s v="77.06"/>
    <s v="FLOR RG NIÁGARA BCO SC 750ML 6x1"/>
    <x v="30"/>
    <x v="1"/>
    <n v="462"/>
    <m/>
    <n v="462"/>
    <n v="0"/>
    <n v="0"/>
    <s v="-"/>
    <s v="-"/>
    <s v="-"/>
    <n v="462"/>
    <n v="462"/>
  </r>
  <r>
    <s v="78.06"/>
    <s v="FLOR RG NIÁGARA BCO SV 750ML 6x1"/>
    <x v="31"/>
    <x v="1"/>
    <n v="2011"/>
    <m/>
    <n v="2011"/>
    <n v="0"/>
    <n v="0"/>
    <s v="-"/>
    <s v="-"/>
    <s v="-"/>
    <n v="2011"/>
    <n v="20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D0AF4D-4EF3-4B60-9B38-1F6788DA444D}" name="PivotTable1" cacheId="1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D13" firstHeaderRow="0" firstDataRow="1" firstDataCol="1"/>
  <pivotFields count="14">
    <pivotField showAll="0"/>
    <pivotField showAll="0"/>
    <pivotField showAll="0"/>
    <pivotField axis="axisRow" showAll="0" sortType="descending">
      <items count="10">
        <item x="1"/>
        <item x="8"/>
        <item x="0"/>
        <item x="5"/>
        <item x="6"/>
        <item x="2"/>
        <item x="3"/>
        <item x="4"/>
        <item x="7"/>
        <item t="default"/>
      </items>
      <autoSortScope>
        <pivotArea dataOnly="0" outline="0" fieldPosition="0">
          <references count="1">
            <reference field="4294967294" count="1" selected="0">
              <x v="2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showAll="0"/>
    <pivotField showAll="0"/>
  </pivotFields>
  <rowFields count="1">
    <field x="3"/>
  </rowFields>
  <rowItems count="10">
    <i>
      <x/>
    </i>
    <i>
      <x v="4"/>
    </i>
    <i>
      <x v="5"/>
    </i>
    <i>
      <x v="2"/>
    </i>
    <i>
      <x v="7"/>
    </i>
    <i>
      <x v="6"/>
    </i>
    <i>
      <x v="3"/>
    </i>
    <i>
      <x v="1"/>
    </i>
    <i>
      <x v="8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PROD - Pedidos G" fld="9" baseField="3" baseItem="0"/>
    <dataField name="Sum of PROD - Fcst Jan G" fld="10" baseField="3" baseItem="0"/>
    <dataField name="Sum of PROD - Fcst Fev G" fld="11" baseField="3" baseItem="0"/>
  </dataFields>
  <formats count="1">
    <format dxfId="7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0C3F25-4B93-4B92-8B53-42402D45E76E}" name="PivotTable2" cacheId="16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18:D51" firstHeaderRow="0" firstDataRow="1" firstDataCol="1" rowPageCount="1" colPageCount="1"/>
  <pivotFields count="14">
    <pivotField showAll="0"/>
    <pivotField showAll="0"/>
    <pivotField axis="axisRow" showAll="0" sortType="descending">
      <items count="33">
        <item x="11"/>
        <item x="10"/>
        <item x="18"/>
        <item x="26"/>
        <item x="9"/>
        <item x="13"/>
        <item x="12"/>
        <item x="8"/>
        <item x="14"/>
        <item x="27"/>
        <item x="19"/>
        <item x="7"/>
        <item x="6"/>
        <item x="17"/>
        <item x="20"/>
        <item x="31"/>
        <item x="30"/>
        <item x="0"/>
        <item x="1"/>
        <item x="3"/>
        <item x="29"/>
        <item x="28"/>
        <item x="4"/>
        <item x="5"/>
        <item x="25"/>
        <item x="24"/>
        <item x="21"/>
        <item x="2"/>
        <item x="22"/>
        <item x="23"/>
        <item x="16"/>
        <item x="1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Page" showAll="0" sortType="descending">
      <items count="10">
        <item x="1"/>
        <item x="8"/>
        <item x="0"/>
        <item x="5"/>
        <item x="6"/>
        <item x="2"/>
        <item x="3"/>
        <item x="4"/>
        <item x="7"/>
        <item t="default"/>
      </items>
      <autoSortScope>
        <pivotArea dataOnly="0" outline="0" fieldPosition="0">
          <references count="1">
            <reference field="4294967294" count="1" selected="0">
              <x v="2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showAll="0"/>
    <pivotField showAll="0"/>
  </pivotFields>
  <rowFields count="1">
    <field x="2"/>
  </rowFields>
  <rowItems count="33">
    <i>
      <x v="30"/>
    </i>
    <i>
      <x v="19"/>
    </i>
    <i>
      <x v="10"/>
    </i>
    <i>
      <x v="18"/>
    </i>
    <i>
      <x v="28"/>
    </i>
    <i>
      <x v="24"/>
    </i>
    <i>
      <x v="4"/>
    </i>
    <i>
      <x v="16"/>
    </i>
    <i>
      <x v="5"/>
    </i>
    <i>
      <x v="20"/>
    </i>
    <i>
      <x v="6"/>
    </i>
    <i>
      <x v="26"/>
    </i>
    <i>
      <x v="7"/>
    </i>
    <i>
      <x v="31"/>
    </i>
    <i>
      <x v="8"/>
    </i>
    <i>
      <x v="17"/>
    </i>
    <i>
      <x v="9"/>
    </i>
    <i>
      <x v="2"/>
    </i>
    <i>
      <x v="21"/>
    </i>
    <i>
      <x v="3"/>
    </i>
    <i>
      <x v="22"/>
    </i>
    <i>
      <x v="23"/>
    </i>
    <i>
      <x v="11"/>
    </i>
    <i>
      <x v="25"/>
    </i>
    <i>
      <x v="12"/>
    </i>
    <i>
      <x v="27"/>
    </i>
    <i>
      <x v="13"/>
    </i>
    <i>
      <x v="1"/>
    </i>
    <i>
      <x v="29"/>
    </i>
    <i>
      <x v="14"/>
    </i>
    <i>
      <x/>
    </i>
    <i>
      <x v="15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3" hier="-1"/>
  </pageFields>
  <dataFields count="3">
    <dataField name="Sum of PROD - Pedidos G" fld="9" baseField="3" baseItem="0"/>
    <dataField name="Sum of PROD - Fcst Jan G" fld="10" baseField="3" baseItem="0"/>
    <dataField name="Sum of PROD - Fcst Fev G" fld="11" baseField="3" baseItem="0"/>
  </dataFields>
  <formats count="1">
    <format dxfId="8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5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EDAFAF-5A30-451D-8FE9-C07B7B2A9468}">
  <dimension ref="A1:E34"/>
  <sheetViews>
    <sheetView zoomScaleNormal="100" workbookViewId="0"/>
  </sheetViews>
  <sheetFormatPr defaultRowHeight="15" x14ac:dyDescent="0.25"/>
  <cols>
    <col min="1" max="1" width="14.85546875" bestFit="1" customWidth="1"/>
    <col min="2" max="2" width="35.5703125" bestFit="1" customWidth="1"/>
    <col min="3" max="3" width="59.28515625" bestFit="1" customWidth="1"/>
    <col min="4" max="4" width="16.5703125" bestFit="1" customWidth="1"/>
    <col min="5" max="5" width="32.5703125" bestFit="1" customWidth="1"/>
  </cols>
  <sheetData>
    <row r="1" spans="1:5" s="4" customFormat="1" x14ac:dyDescent="0.25">
      <c r="A1" s="4" t="s">
        <v>23</v>
      </c>
      <c r="B1" s="4" t="s">
        <v>18</v>
      </c>
      <c r="C1" s="4" t="s">
        <v>106</v>
      </c>
      <c r="D1" s="4" t="s">
        <v>22</v>
      </c>
      <c r="E1" s="4" t="s">
        <v>19</v>
      </c>
    </row>
    <row r="2" spans="1:5" x14ac:dyDescent="0.25">
      <c r="A2" t="s">
        <v>7</v>
      </c>
      <c r="B2" t="s">
        <v>21</v>
      </c>
      <c r="C2" t="s">
        <v>107</v>
      </c>
      <c r="D2" s="1">
        <v>3025</v>
      </c>
      <c r="E2" t="s">
        <v>105</v>
      </c>
    </row>
    <row r="3" spans="1:5" x14ac:dyDescent="0.25">
      <c r="A3" t="s">
        <v>20</v>
      </c>
      <c r="B3" t="s">
        <v>55</v>
      </c>
      <c r="C3" t="s">
        <v>108</v>
      </c>
      <c r="D3" s="1">
        <v>1482</v>
      </c>
      <c r="E3" t="s">
        <v>101</v>
      </c>
    </row>
    <row r="4" spans="1:5" x14ac:dyDescent="0.25">
      <c r="A4" t="s">
        <v>24</v>
      </c>
      <c r="B4" t="s">
        <v>56</v>
      </c>
      <c r="C4" t="s">
        <v>109</v>
      </c>
      <c r="D4" s="1">
        <v>3025</v>
      </c>
      <c r="E4" t="s">
        <v>105</v>
      </c>
    </row>
    <row r="5" spans="1:5" x14ac:dyDescent="0.25">
      <c r="A5" t="s">
        <v>25</v>
      </c>
      <c r="B5" t="s">
        <v>57</v>
      </c>
      <c r="C5" t="s">
        <v>110</v>
      </c>
      <c r="D5" s="1">
        <v>1482</v>
      </c>
      <c r="E5" t="s">
        <v>101</v>
      </c>
    </row>
    <row r="6" spans="1:5" x14ac:dyDescent="0.25">
      <c r="A6" t="s">
        <v>26</v>
      </c>
      <c r="B6" t="s">
        <v>58</v>
      </c>
      <c r="C6" t="s">
        <v>112</v>
      </c>
      <c r="D6" s="1">
        <v>3025</v>
      </c>
      <c r="E6" t="s">
        <v>105</v>
      </c>
    </row>
    <row r="7" spans="1:5" x14ac:dyDescent="0.25">
      <c r="A7" t="s">
        <v>27</v>
      </c>
      <c r="B7" t="s">
        <v>59</v>
      </c>
      <c r="C7" t="s">
        <v>113</v>
      </c>
      <c r="D7" s="1">
        <v>3025</v>
      </c>
      <c r="E7" t="s">
        <v>105</v>
      </c>
    </row>
    <row r="8" spans="1:5" x14ac:dyDescent="0.25">
      <c r="A8" t="s">
        <v>28</v>
      </c>
      <c r="B8" t="s">
        <v>60</v>
      </c>
      <c r="C8" t="s">
        <v>116</v>
      </c>
      <c r="D8" s="1">
        <v>307</v>
      </c>
      <c r="E8" t="s">
        <v>100</v>
      </c>
    </row>
    <row r="9" spans="1:5" x14ac:dyDescent="0.25">
      <c r="A9" t="s">
        <v>29</v>
      </c>
      <c r="B9" t="s">
        <v>61</v>
      </c>
      <c r="C9" t="s">
        <v>117</v>
      </c>
      <c r="D9" s="1">
        <v>307</v>
      </c>
      <c r="E9" t="s">
        <v>100</v>
      </c>
    </row>
    <row r="10" spans="1:5" x14ac:dyDescent="0.25">
      <c r="A10" t="s">
        <v>30</v>
      </c>
      <c r="B10" t="s">
        <v>62</v>
      </c>
      <c r="C10" t="s">
        <v>118</v>
      </c>
      <c r="D10" s="1">
        <v>302</v>
      </c>
      <c r="E10" t="s">
        <v>97</v>
      </c>
    </row>
    <row r="11" spans="1:5" x14ac:dyDescent="0.25">
      <c r="A11" t="s">
        <v>31</v>
      </c>
      <c r="B11" t="s">
        <v>63</v>
      </c>
      <c r="C11" t="s">
        <v>118</v>
      </c>
      <c r="D11" s="1">
        <v>302</v>
      </c>
      <c r="E11" t="s">
        <v>97</v>
      </c>
    </row>
    <row r="12" spans="1:5" x14ac:dyDescent="0.25">
      <c r="A12" t="s">
        <v>32</v>
      </c>
      <c r="B12" t="s">
        <v>64</v>
      </c>
      <c r="C12" t="s">
        <v>119</v>
      </c>
      <c r="D12" s="1">
        <v>307</v>
      </c>
      <c r="E12" t="s">
        <v>100</v>
      </c>
    </row>
    <row r="13" spans="1:5" x14ac:dyDescent="0.25">
      <c r="A13" t="s">
        <v>33</v>
      </c>
      <c r="B13" t="s">
        <v>65</v>
      </c>
      <c r="C13" t="s">
        <v>120</v>
      </c>
      <c r="D13" s="1">
        <v>320</v>
      </c>
      <c r="E13" t="s">
        <v>99</v>
      </c>
    </row>
    <row r="14" spans="1:5" x14ac:dyDescent="0.25">
      <c r="A14" t="s">
        <v>34</v>
      </c>
      <c r="B14" t="s">
        <v>66</v>
      </c>
      <c r="C14" t="s">
        <v>121</v>
      </c>
      <c r="D14" s="1">
        <v>320</v>
      </c>
      <c r="E14" t="s">
        <v>99</v>
      </c>
    </row>
    <row r="15" spans="1:5" x14ac:dyDescent="0.25">
      <c r="A15" t="s">
        <v>35</v>
      </c>
      <c r="B15" t="s">
        <v>67</v>
      </c>
      <c r="C15" t="s">
        <v>135</v>
      </c>
      <c r="D15" s="1">
        <v>1510</v>
      </c>
      <c r="E15" t="s">
        <v>102</v>
      </c>
    </row>
    <row r="16" spans="1:5" x14ac:dyDescent="0.25">
      <c r="A16" t="s">
        <v>36</v>
      </c>
      <c r="B16" t="s">
        <v>68</v>
      </c>
      <c r="C16" t="s">
        <v>134</v>
      </c>
      <c r="D16" s="1">
        <v>1510</v>
      </c>
      <c r="E16" t="s">
        <v>102</v>
      </c>
    </row>
    <row r="17" spans="1:5" x14ac:dyDescent="0.25">
      <c r="A17" t="s">
        <v>37</v>
      </c>
      <c r="B17" t="s">
        <v>69</v>
      </c>
      <c r="C17" t="s">
        <v>123</v>
      </c>
      <c r="D17" s="1">
        <v>320</v>
      </c>
      <c r="E17" t="s">
        <v>99</v>
      </c>
    </row>
    <row r="18" spans="1:5" x14ac:dyDescent="0.25">
      <c r="A18" t="s">
        <v>38</v>
      </c>
      <c r="B18" t="s">
        <v>70</v>
      </c>
      <c r="C18" t="s">
        <v>124</v>
      </c>
      <c r="D18" s="1">
        <v>1510</v>
      </c>
      <c r="E18" t="s">
        <v>102</v>
      </c>
    </row>
    <row r="19" spans="1:5" x14ac:dyDescent="0.25">
      <c r="A19" t="s">
        <v>39</v>
      </c>
      <c r="B19" t="s">
        <v>71</v>
      </c>
      <c r="C19" t="s">
        <v>125</v>
      </c>
      <c r="D19" s="1">
        <v>4686</v>
      </c>
      <c r="E19" t="s">
        <v>104</v>
      </c>
    </row>
    <row r="20" spans="1:5" x14ac:dyDescent="0.25">
      <c r="A20" t="s">
        <v>40</v>
      </c>
      <c r="B20" t="s">
        <v>72</v>
      </c>
      <c r="C20" t="s">
        <v>130</v>
      </c>
      <c r="D20" s="1">
        <v>1482</v>
      </c>
      <c r="E20" t="s">
        <v>101</v>
      </c>
    </row>
    <row r="21" spans="1:5" x14ac:dyDescent="0.25">
      <c r="A21" t="s">
        <v>41</v>
      </c>
      <c r="B21" t="s">
        <v>73</v>
      </c>
      <c r="C21" t="s">
        <v>126</v>
      </c>
      <c r="D21" s="1">
        <v>305</v>
      </c>
      <c r="E21" t="s">
        <v>98</v>
      </c>
    </row>
    <row r="22" spans="1:5" x14ac:dyDescent="0.25">
      <c r="A22" t="s">
        <v>42</v>
      </c>
      <c r="B22" t="s">
        <v>74</v>
      </c>
      <c r="C22" t="s">
        <v>127</v>
      </c>
      <c r="D22" s="1">
        <v>3163</v>
      </c>
      <c r="E22" t="s">
        <v>103</v>
      </c>
    </row>
    <row r="23" spans="1:5" x14ac:dyDescent="0.25">
      <c r="A23" t="s">
        <v>43</v>
      </c>
      <c r="B23" t="s">
        <v>75</v>
      </c>
      <c r="C23" t="s">
        <v>111</v>
      </c>
      <c r="D23" s="1">
        <v>1482</v>
      </c>
      <c r="E23" t="s">
        <v>101</v>
      </c>
    </row>
    <row r="24" spans="1:5" x14ac:dyDescent="0.25">
      <c r="A24" t="s">
        <v>44</v>
      </c>
      <c r="B24" t="s">
        <v>76</v>
      </c>
      <c r="C24" t="s">
        <v>131</v>
      </c>
      <c r="D24" s="1">
        <v>3025</v>
      </c>
      <c r="E24" t="s">
        <v>105</v>
      </c>
    </row>
    <row r="25" spans="1:5" x14ac:dyDescent="0.25">
      <c r="A25" t="s">
        <v>45</v>
      </c>
      <c r="B25" t="s">
        <v>77</v>
      </c>
      <c r="C25" t="s">
        <v>133</v>
      </c>
      <c r="D25" s="1">
        <v>320</v>
      </c>
      <c r="E25" t="s">
        <v>99</v>
      </c>
    </row>
    <row r="26" spans="1:5" x14ac:dyDescent="0.25">
      <c r="A26" t="s">
        <v>46</v>
      </c>
      <c r="B26" t="s">
        <v>78</v>
      </c>
      <c r="C26" t="s">
        <v>132</v>
      </c>
      <c r="D26" s="1">
        <v>320</v>
      </c>
      <c r="E26" t="s">
        <v>99</v>
      </c>
    </row>
    <row r="27" spans="1:5" x14ac:dyDescent="0.25">
      <c r="A27" t="s">
        <v>47</v>
      </c>
      <c r="B27" t="s">
        <v>79</v>
      </c>
      <c r="C27" t="s">
        <v>114</v>
      </c>
      <c r="D27" s="1">
        <v>1482</v>
      </c>
      <c r="E27" t="s">
        <v>101</v>
      </c>
    </row>
    <row r="28" spans="1:5" x14ac:dyDescent="0.25">
      <c r="A28" t="s">
        <v>48</v>
      </c>
      <c r="B28" t="s">
        <v>80</v>
      </c>
      <c r="C28" t="s">
        <v>136</v>
      </c>
      <c r="D28" s="1">
        <v>3025</v>
      </c>
      <c r="E28" t="s">
        <v>105</v>
      </c>
    </row>
    <row r="29" spans="1:5" x14ac:dyDescent="0.25">
      <c r="A29" t="s">
        <v>49</v>
      </c>
      <c r="B29" t="s">
        <v>81</v>
      </c>
      <c r="C29" t="s">
        <v>122</v>
      </c>
      <c r="D29" s="1">
        <v>320</v>
      </c>
      <c r="E29" t="s">
        <v>99</v>
      </c>
    </row>
    <row r="30" spans="1:5" x14ac:dyDescent="0.25">
      <c r="A30" t="s">
        <v>50</v>
      </c>
      <c r="B30" t="s">
        <v>82</v>
      </c>
      <c r="C30" t="s">
        <v>128</v>
      </c>
      <c r="D30" s="1">
        <v>320</v>
      </c>
      <c r="E30" t="s">
        <v>99</v>
      </c>
    </row>
    <row r="31" spans="1:5" x14ac:dyDescent="0.25">
      <c r="A31" t="s">
        <v>51</v>
      </c>
      <c r="B31" t="s">
        <v>83</v>
      </c>
      <c r="C31" t="s">
        <v>115</v>
      </c>
      <c r="D31" s="1">
        <v>1482</v>
      </c>
      <c r="E31" t="s">
        <v>101</v>
      </c>
    </row>
    <row r="32" spans="1:5" x14ac:dyDescent="0.25">
      <c r="A32" t="s">
        <v>52</v>
      </c>
      <c r="B32" t="s">
        <v>84</v>
      </c>
      <c r="C32" t="s">
        <v>129</v>
      </c>
      <c r="D32" s="1">
        <v>1482</v>
      </c>
      <c r="E32" t="s">
        <v>101</v>
      </c>
    </row>
    <row r="33" spans="1:5" x14ac:dyDescent="0.25">
      <c r="A33" t="s">
        <v>53</v>
      </c>
      <c r="B33" t="s">
        <v>85</v>
      </c>
      <c r="C33" t="s">
        <v>137</v>
      </c>
      <c r="D33" s="1">
        <v>1482</v>
      </c>
      <c r="E33" t="s">
        <v>101</v>
      </c>
    </row>
    <row r="34" spans="1:5" x14ac:dyDescent="0.25">
      <c r="A34" t="s">
        <v>54</v>
      </c>
      <c r="B34" t="s">
        <v>86</v>
      </c>
      <c r="C34" t="s">
        <v>138</v>
      </c>
      <c r="D34" s="1">
        <v>1482</v>
      </c>
      <c r="E34" t="s">
        <v>101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81C7B6-B1D5-498F-8808-B5D3D4DEEB35}">
  <dimension ref="A1:N35"/>
  <sheetViews>
    <sheetView topLeftCell="C1" zoomScaleNormal="100" workbookViewId="0">
      <selection activeCell="N3" sqref="N3"/>
    </sheetView>
  </sheetViews>
  <sheetFormatPr defaultRowHeight="15" x14ac:dyDescent="0.25"/>
  <cols>
    <col min="1" max="1" width="14.85546875" bestFit="1" customWidth="1"/>
    <col min="2" max="2" width="24.28515625" customWidth="1"/>
    <col min="3" max="3" width="30.42578125" customWidth="1"/>
    <col min="4" max="4" width="32.5703125" bestFit="1" customWidth="1"/>
    <col min="5" max="7" width="11" customWidth="1"/>
    <col min="8" max="8" width="12.28515625" bestFit="1" customWidth="1"/>
    <col min="9" max="9" width="12.42578125" bestFit="1" customWidth="1"/>
    <col min="10" max="10" width="11" customWidth="1"/>
    <col min="11" max="11" width="15.85546875" bestFit="1" customWidth="1"/>
    <col min="12" max="12" width="12.28515625" bestFit="1" customWidth="1"/>
    <col min="13" max="14" width="12.28515625" customWidth="1"/>
  </cols>
  <sheetData>
    <row r="1" spans="1:14" s="3" customFormat="1" x14ac:dyDescent="0.25">
      <c r="E1" s="3">
        <f>SUBTOTAL(9,E4:E35)</f>
        <v>63723</v>
      </c>
      <c r="F1" s="3">
        <f>SUBTOTAL(9,F4:F35)</f>
        <v>28154</v>
      </c>
      <c r="H1" s="3">
        <f>SUBTOTAL(9,H4:H35)</f>
        <v>103050</v>
      </c>
      <c r="I1" s="3">
        <f>SUBTOTAL(9,I4:I35)</f>
        <v>103050</v>
      </c>
      <c r="K1" s="3">
        <f>SUBTOTAL(9,K4:K35)</f>
        <v>658320</v>
      </c>
      <c r="L1" s="3">
        <f>SUBTOTAL(9,L4:L35)</f>
        <v>1243944</v>
      </c>
    </row>
    <row r="2" spans="1:14" s="1" customFormat="1" x14ac:dyDescent="0.25">
      <c r="E2" s="33">
        <v>44557</v>
      </c>
      <c r="F2" s="33">
        <v>44557</v>
      </c>
      <c r="H2" s="1" t="s">
        <v>140</v>
      </c>
      <c r="I2" s="1" t="s">
        <v>141</v>
      </c>
    </row>
    <row r="3" spans="1:14" s="4" customFormat="1" x14ac:dyDescent="0.25">
      <c r="A3" s="42" t="s">
        <v>23</v>
      </c>
      <c r="B3" s="42" t="s">
        <v>18</v>
      </c>
      <c r="C3" s="42" t="s">
        <v>106</v>
      </c>
      <c r="D3" s="42" t="s">
        <v>19</v>
      </c>
      <c r="E3" s="31" t="s">
        <v>87</v>
      </c>
      <c r="F3" s="31" t="s">
        <v>89</v>
      </c>
      <c r="G3" s="42" t="s">
        <v>164</v>
      </c>
      <c r="H3" s="42" t="str">
        <f>"Fcst "&amp;H2</f>
        <v>Fcst JAN</v>
      </c>
      <c r="I3" s="42" t="str">
        <f>"Fcst "&amp;I2</f>
        <v>Fcst FEV</v>
      </c>
      <c r="J3" s="42" t="s">
        <v>166</v>
      </c>
      <c r="K3" s="42" t="s">
        <v>167</v>
      </c>
      <c r="L3" s="42" t="s">
        <v>168</v>
      </c>
      <c r="M3" s="42" t="str">
        <f>"Status "&amp;H2</f>
        <v>Status JAN</v>
      </c>
      <c r="N3" s="42" t="str">
        <f>"Status "&amp;I2</f>
        <v>Status FEV</v>
      </c>
    </row>
    <row r="4" spans="1:14" x14ac:dyDescent="0.25">
      <c r="A4" t="s">
        <v>7</v>
      </c>
      <c r="B4" t="s">
        <v>21</v>
      </c>
      <c r="C4" t="s">
        <v>107</v>
      </c>
      <c r="D4" t="str">
        <f>VLOOKUP(A4,DE_PARA!A:E,5,FALSE)</f>
        <v>GARRAFA P/ VINHO 1000 ML PILFER</v>
      </c>
      <c r="E4" s="41">
        <v>25</v>
      </c>
      <c r="F4" s="41"/>
      <c r="G4" s="3">
        <f>E4-F4</f>
        <v>25</v>
      </c>
      <c r="H4" s="3">
        <f>IFERROR(VLOOKUP($C4,FCST!$B:$N,(MATCH(H$2,FCST!$C$1:$N$1,0)+1),FALSE),0)</f>
        <v>4360</v>
      </c>
      <c r="I4" s="3">
        <f>IFERROR(VLOOKUP($C4,FCST!$B:$N,(MATCH(I$2,FCST!$C$1:$N$1,0)+1),FALSE),0)</f>
        <v>4360</v>
      </c>
      <c r="J4" s="3" t="str">
        <f>IF(G4&lt;0,G4*6*-1,"-")</f>
        <v>-</v>
      </c>
      <c r="K4" s="3">
        <f>IF(M4&lt;0,M4*6*-1,"-")</f>
        <v>26010</v>
      </c>
      <c r="L4" s="3">
        <f>IF(N4&lt;0,N4*6*-1,"-")</f>
        <v>52170</v>
      </c>
      <c r="M4" s="3">
        <f>(G4-F4-H4)</f>
        <v>-4335</v>
      </c>
      <c r="N4" s="3">
        <f>(G4-F4-H4-I4)</f>
        <v>-8695</v>
      </c>
    </row>
    <row r="5" spans="1:14" x14ac:dyDescent="0.25">
      <c r="A5" t="s">
        <v>20</v>
      </c>
      <c r="B5" t="s">
        <v>55</v>
      </c>
      <c r="C5" t="s">
        <v>108</v>
      </c>
      <c r="D5" t="str">
        <f>VLOOKUP(A5,DE_PARA!A:E,5,FALSE)</f>
        <v>GARRAFA 750 ML</v>
      </c>
      <c r="E5" s="41">
        <v>2473</v>
      </c>
      <c r="F5" s="41">
        <v>480</v>
      </c>
      <c r="G5" s="3">
        <f t="shared" ref="G5:G35" si="0">E5-F5</f>
        <v>1993</v>
      </c>
      <c r="H5" s="3">
        <f>IFERROR(VLOOKUP($C5,FCST!$B:$N,(MATCH(H$2,FCST!$C$1:$N$1,0)+1),FALSE),0)</f>
        <v>4100</v>
      </c>
      <c r="I5" s="3">
        <f>IFERROR(VLOOKUP($C5,FCST!$B:$N,(MATCH(I$2,FCST!$C$1:$N$1,0)+1),FALSE),0)</f>
        <v>4100</v>
      </c>
      <c r="J5" s="3" t="str">
        <f>IF(G5&lt;0,G5*6*-1,"-")</f>
        <v>-</v>
      </c>
      <c r="K5" s="3">
        <f t="shared" ref="K5:K35" si="1">IF(M5&lt;0,M5*6*-1,"-")</f>
        <v>15522</v>
      </c>
      <c r="L5" s="3">
        <f t="shared" ref="L5:L35" si="2">IF(N5&lt;0,N5*6*-1,"-")</f>
        <v>40122</v>
      </c>
      <c r="M5" s="3">
        <f>(G5-F5-H5)</f>
        <v>-2587</v>
      </c>
      <c r="N5" s="3">
        <f>(G5-F5-H5-I5)</f>
        <v>-6687</v>
      </c>
    </row>
    <row r="6" spans="1:14" x14ac:dyDescent="0.25">
      <c r="A6" t="s">
        <v>24</v>
      </c>
      <c r="B6" t="s">
        <v>56</v>
      </c>
      <c r="C6" t="s">
        <v>109</v>
      </c>
      <c r="D6" t="str">
        <f>VLOOKUP(A6,DE_PARA!A:E,5,FALSE)</f>
        <v>GARRAFA P/ VINHO 1000 ML PILFER</v>
      </c>
      <c r="E6" s="41">
        <v>0</v>
      </c>
      <c r="F6" s="41"/>
      <c r="G6" s="3">
        <f t="shared" si="0"/>
        <v>0</v>
      </c>
      <c r="H6" s="3">
        <f>IFERROR(VLOOKUP($C6,FCST!$B:$N,(MATCH(H$2,FCST!$C$1:$N$1,0)+1),FALSE),0)</f>
        <v>5100</v>
      </c>
      <c r="I6" s="3">
        <f>IFERROR(VLOOKUP($C6,FCST!$B:$N,(MATCH(I$2,FCST!$C$1:$N$1,0)+1),FALSE),0)</f>
        <v>5100</v>
      </c>
      <c r="J6" s="3" t="str">
        <f>IF(G6&lt;0,G6*6*-1,"-")</f>
        <v>-</v>
      </c>
      <c r="K6" s="3">
        <f t="shared" si="1"/>
        <v>30600</v>
      </c>
      <c r="L6" s="3">
        <f t="shared" si="2"/>
        <v>61200</v>
      </c>
      <c r="M6" s="3">
        <f>(G6-F6-H6)</f>
        <v>-5100</v>
      </c>
      <c r="N6" s="3">
        <f>(G6-F6-H6-I6)</f>
        <v>-10200</v>
      </c>
    </row>
    <row r="7" spans="1:14" x14ac:dyDescent="0.25">
      <c r="A7" t="s">
        <v>25</v>
      </c>
      <c r="B7" t="s">
        <v>57</v>
      </c>
      <c r="C7" t="s">
        <v>110</v>
      </c>
      <c r="D7" t="str">
        <f>VLOOKUP(A7,DE_PARA!A:E,5,FALSE)</f>
        <v>GARRAFA 750 ML</v>
      </c>
      <c r="E7" s="41">
        <v>8111</v>
      </c>
      <c r="F7" s="41">
        <v>13900</v>
      </c>
      <c r="G7" s="3">
        <f t="shared" si="0"/>
        <v>-5789</v>
      </c>
      <c r="H7" s="3">
        <f>IFERROR(VLOOKUP($C7,FCST!$B:$N,(MATCH(H$2,FCST!$C$1:$N$1,0)+1),FALSE),0)</f>
        <v>20000</v>
      </c>
      <c r="I7" s="3">
        <f>IFERROR(VLOOKUP($C7,FCST!$B:$N,(MATCH(I$2,FCST!$C$1:$N$1,0)+1),FALSE),0)</f>
        <v>20000</v>
      </c>
      <c r="J7" s="3">
        <f>IF(G7&lt;0,G7*6*-1,"-")</f>
        <v>34734</v>
      </c>
      <c r="K7" s="3">
        <f t="shared" si="1"/>
        <v>238134</v>
      </c>
      <c r="L7" s="3">
        <f t="shared" si="2"/>
        <v>358134</v>
      </c>
      <c r="M7" s="3">
        <f>(G7-F7-H7)</f>
        <v>-39689</v>
      </c>
      <c r="N7" s="3">
        <f>(G7-F7-H7-I7)</f>
        <v>-59689</v>
      </c>
    </row>
    <row r="8" spans="1:14" x14ac:dyDescent="0.25">
      <c r="A8" t="s">
        <v>26</v>
      </c>
      <c r="B8" t="s">
        <v>58</v>
      </c>
      <c r="C8" t="s">
        <v>112</v>
      </c>
      <c r="D8" t="str">
        <f>VLOOKUP(A8,DE_PARA!A:E,5,FALSE)</f>
        <v>GARRAFA P/ VINHO 1000 ML PILFER</v>
      </c>
      <c r="E8" s="41">
        <v>0</v>
      </c>
      <c r="F8" s="41"/>
      <c r="G8" s="3">
        <f t="shared" si="0"/>
        <v>0</v>
      </c>
      <c r="H8" s="3">
        <f>IFERROR(VLOOKUP($C8,FCST!$B:$N,(MATCH(H$2,FCST!$C$1:$N$1,0)+1),FALSE),0)</f>
        <v>1400</v>
      </c>
      <c r="I8" s="3">
        <f>IFERROR(VLOOKUP($C8,FCST!$B:$N,(MATCH(I$2,FCST!$C$1:$N$1,0)+1),FALSE),0)</f>
        <v>1400</v>
      </c>
      <c r="J8" s="3" t="str">
        <f>IF(G8&lt;0,G8*6*-1,"-")</f>
        <v>-</v>
      </c>
      <c r="K8" s="3">
        <f t="shared" si="1"/>
        <v>8400</v>
      </c>
      <c r="L8" s="3">
        <f t="shared" si="2"/>
        <v>16800</v>
      </c>
      <c r="M8" s="3">
        <f>(G8-F8-H8)</f>
        <v>-1400</v>
      </c>
      <c r="N8" s="3">
        <f>(G8-F8-H8-I8)</f>
        <v>-2800</v>
      </c>
    </row>
    <row r="9" spans="1:14" x14ac:dyDescent="0.25">
      <c r="A9" t="s">
        <v>27</v>
      </c>
      <c r="B9" t="s">
        <v>59</v>
      </c>
      <c r="C9" t="s">
        <v>113</v>
      </c>
      <c r="D9" t="str">
        <f>VLOOKUP(A9,DE_PARA!A:E,5,FALSE)</f>
        <v>GARRAFA P/ VINHO 1000 ML PILFER</v>
      </c>
      <c r="E9" s="41">
        <v>0</v>
      </c>
      <c r="F9" s="41"/>
      <c r="G9" s="3">
        <f t="shared" si="0"/>
        <v>0</v>
      </c>
      <c r="H9" s="3">
        <f>IFERROR(VLOOKUP($C9,FCST!$B:$N,(MATCH(H$2,FCST!$C$1:$N$1,0)+1),FALSE),0)</f>
        <v>4400</v>
      </c>
      <c r="I9" s="3">
        <f>IFERROR(VLOOKUP($C9,FCST!$B:$N,(MATCH(I$2,FCST!$C$1:$N$1,0)+1),FALSE),0)</f>
        <v>4400</v>
      </c>
      <c r="J9" s="3" t="str">
        <f>IF(G9&lt;0,G9*6*-1,"-")</f>
        <v>-</v>
      </c>
      <c r="K9" s="3">
        <f t="shared" si="1"/>
        <v>26400</v>
      </c>
      <c r="L9" s="3">
        <f t="shared" si="2"/>
        <v>52800</v>
      </c>
      <c r="M9" s="3">
        <f>(G9-F9-H9)</f>
        <v>-4400</v>
      </c>
      <c r="N9" s="3">
        <f>(G9-F9-H9-I9)</f>
        <v>-8800</v>
      </c>
    </row>
    <row r="10" spans="1:14" x14ac:dyDescent="0.25">
      <c r="A10" t="s">
        <v>28</v>
      </c>
      <c r="B10" t="s">
        <v>60</v>
      </c>
      <c r="C10" t="s">
        <v>116</v>
      </c>
      <c r="D10" t="str">
        <f>VLOOKUP(A10,DE_PARA!A:E,5,FALSE)</f>
        <v>GARRAFA TUBINHO 880 ML</v>
      </c>
      <c r="E10" s="41">
        <v>3522</v>
      </c>
      <c r="F10" s="41">
        <v>373</v>
      </c>
      <c r="G10" s="3">
        <f t="shared" si="0"/>
        <v>3149</v>
      </c>
      <c r="H10" s="3">
        <f>IFERROR(VLOOKUP($C10,FCST!$B:$N,(MATCH(H$2,FCST!$C$1:$N$1,0)+1),FALSE),0)</f>
        <v>9400</v>
      </c>
      <c r="I10" s="3">
        <f>IFERROR(VLOOKUP($C10,FCST!$B:$N,(MATCH(I$2,FCST!$C$1:$N$1,0)+1),FALSE),0)</f>
        <v>9400</v>
      </c>
      <c r="J10" s="3" t="str">
        <f>IF(G10&lt;0,G10*6*-1,"-")</f>
        <v>-</v>
      </c>
      <c r="K10" s="3">
        <f t="shared" si="1"/>
        <v>39744</v>
      </c>
      <c r="L10" s="3">
        <f t="shared" si="2"/>
        <v>96144</v>
      </c>
      <c r="M10" s="3">
        <f>(G10-F10-H10)</f>
        <v>-6624</v>
      </c>
      <c r="N10" s="3">
        <f>(G10-F10-H10-I10)</f>
        <v>-16024</v>
      </c>
    </row>
    <row r="11" spans="1:14" x14ac:dyDescent="0.25">
      <c r="A11" t="s">
        <v>29</v>
      </c>
      <c r="B11" t="s">
        <v>61</v>
      </c>
      <c r="C11" t="s">
        <v>117</v>
      </c>
      <c r="D11" t="str">
        <f>VLOOKUP(A11,DE_PARA!A:E,5,FALSE)</f>
        <v>GARRAFA TUBINHO 880 ML</v>
      </c>
      <c r="E11" s="41">
        <v>3091</v>
      </c>
      <c r="F11" s="41">
        <v>185</v>
      </c>
      <c r="G11" s="3">
        <f t="shared" si="0"/>
        <v>2906</v>
      </c>
      <c r="H11" s="3">
        <f>IFERROR(VLOOKUP($C11,FCST!$B:$N,(MATCH(H$2,FCST!$C$1:$N$1,0)+1),FALSE),0)</f>
        <v>8300</v>
      </c>
      <c r="I11" s="3">
        <f>IFERROR(VLOOKUP($C11,FCST!$B:$N,(MATCH(I$2,FCST!$C$1:$N$1,0)+1),FALSE),0)</f>
        <v>8300</v>
      </c>
      <c r="J11" s="3" t="str">
        <f>IF(G11&lt;0,G11*6*-1,"-")</f>
        <v>-</v>
      </c>
      <c r="K11" s="3">
        <f t="shared" si="1"/>
        <v>33474</v>
      </c>
      <c r="L11" s="3">
        <f t="shared" si="2"/>
        <v>83274</v>
      </c>
      <c r="M11" s="3">
        <f>(G11-F11-H11)</f>
        <v>-5579</v>
      </c>
      <c r="N11" s="3">
        <f>(G11-F11-H11-I11)</f>
        <v>-13879</v>
      </c>
    </row>
    <row r="12" spans="1:14" x14ac:dyDescent="0.25">
      <c r="A12" t="s">
        <v>30</v>
      </c>
      <c r="B12" t="s">
        <v>62</v>
      </c>
      <c r="C12" t="s">
        <v>118</v>
      </c>
      <c r="D12" t="str">
        <f>VLOOKUP(A12,DE_PARA!A:E,5,FALSE)</f>
        <v>GARRAFAS 600 ML</v>
      </c>
      <c r="E12" s="41">
        <v>19832</v>
      </c>
      <c r="F12" s="41">
        <v>873</v>
      </c>
      <c r="G12" s="3">
        <f t="shared" si="0"/>
        <v>18959</v>
      </c>
      <c r="H12" s="3">
        <f>IFERROR(VLOOKUP($C12,FCST!$B:$N,(MATCH(H$2,FCST!$C$1:$N$1,0)+1),FALSE),0)</f>
        <v>14500</v>
      </c>
      <c r="I12" s="3">
        <f>IFERROR(VLOOKUP($C12,FCST!$B:$N,(MATCH(I$2,FCST!$C$1:$N$1,0)+1),FALSE),0)</f>
        <v>14500</v>
      </c>
      <c r="J12" s="3" t="str">
        <f>IF(G12&lt;0,G12*6*-1,"-")</f>
        <v>-</v>
      </c>
      <c r="K12" s="3" t="str">
        <f t="shared" si="1"/>
        <v>-</v>
      </c>
      <c r="L12" s="3">
        <f t="shared" si="2"/>
        <v>65484</v>
      </c>
      <c r="M12" s="3">
        <f>(G12-F12-H12)</f>
        <v>3586</v>
      </c>
      <c r="N12" s="3">
        <f>(G12-F12-H12-I12)</f>
        <v>-10914</v>
      </c>
    </row>
    <row r="13" spans="1:14" x14ac:dyDescent="0.25">
      <c r="A13" t="s">
        <v>32</v>
      </c>
      <c r="B13" t="s">
        <v>64</v>
      </c>
      <c r="C13" t="s">
        <v>119</v>
      </c>
      <c r="D13" t="str">
        <f>VLOOKUP(A13,DE_PARA!A:E,5,FALSE)</f>
        <v>GARRAFA TUBINHO 880 ML</v>
      </c>
      <c r="E13" s="41">
        <v>1602</v>
      </c>
      <c r="F13" s="41">
        <v>45</v>
      </c>
      <c r="G13" s="3">
        <f t="shared" si="0"/>
        <v>1557</v>
      </c>
      <c r="H13" s="3">
        <f>IFERROR(VLOOKUP($C13,FCST!$B:$N,(MATCH(H$2,FCST!$C$1:$N$1,0)+1),FALSE),0)</f>
        <v>1560</v>
      </c>
      <c r="I13" s="3">
        <f>IFERROR(VLOOKUP($C13,FCST!$B:$N,(MATCH(I$2,FCST!$C$1:$N$1,0)+1),FALSE),0)</f>
        <v>1560</v>
      </c>
      <c r="J13" s="3" t="str">
        <f>IF(G13&lt;0,G13*6*-1,"-")</f>
        <v>-</v>
      </c>
      <c r="K13" s="3">
        <f t="shared" si="1"/>
        <v>288</v>
      </c>
      <c r="L13" s="3">
        <f t="shared" si="2"/>
        <v>9648</v>
      </c>
      <c r="M13" s="3">
        <f>(G13-F13-H13)</f>
        <v>-48</v>
      </c>
      <c r="N13" s="3">
        <f>(G13-F13-H13-I13)</f>
        <v>-1608</v>
      </c>
    </row>
    <row r="14" spans="1:14" x14ac:dyDescent="0.25">
      <c r="A14" t="s">
        <v>33</v>
      </c>
      <c r="B14" t="s">
        <v>65</v>
      </c>
      <c r="C14" t="s">
        <v>120</v>
      </c>
      <c r="D14" t="str">
        <f>VLOOKUP(A14,DE_PARA!A:E,5,FALSE)</f>
        <v>LITRO APOLO 900 ML</v>
      </c>
      <c r="E14" s="41">
        <v>1766</v>
      </c>
      <c r="F14" s="41">
        <v>474</v>
      </c>
      <c r="G14" s="3">
        <f t="shared" si="0"/>
        <v>1292</v>
      </c>
      <c r="H14" s="3">
        <f>IFERROR(VLOOKUP($C14,FCST!$B:$N,(MATCH(H$2,FCST!$C$1:$N$1,0)+1),FALSE),0)</f>
        <v>3000</v>
      </c>
      <c r="I14" s="3">
        <f>IFERROR(VLOOKUP($C14,FCST!$B:$N,(MATCH(I$2,FCST!$C$1:$N$1,0)+1),FALSE),0)</f>
        <v>3000</v>
      </c>
      <c r="J14" s="3" t="str">
        <f>IF(G14&lt;0,G14*6*-1,"-")</f>
        <v>-</v>
      </c>
      <c r="K14" s="3">
        <f t="shared" si="1"/>
        <v>13092</v>
      </c>
      <c r="L14" s="3">
        <f t="shared" si="2"/>
        <v>31092</v>
      </c>
      <c r="M14" s="3">
        <f>(G14-F14-H14)</f>
        <v>-2182</v>
      </c>
      <c r="N14" s="3">
        <f>(G14-F14-H14-I14)</f>
        <v>-5182</v>
      </c>
    </row>
    <row r="15" spans="1:14" x14ac:dyDescent="0.25">
      <c r="A15" t="s">
        <v>34</v>
      </c>
      <c r="B15" t="s">
        <v>66</v>
      </c>
      <c r="C15" t="s">
        <v>121</v>
      </c>
      <c r="D15" t="str">
        <f>VLOOKUP(A15,DE_PARA!A:E,5,FALSE)</f>
        <v>LITRO APOLO 900 ML</v>
      </c>
      <c r="E15" s="41">
        <v>1548</v>
      </c>
      <c r="F15" s="41">
        <v>256</v>
      </c>
      <c r="G15" s="3">
        <f t="shared" si="0"/>
        <v>1292</v>
      </c>
      <c r="H15" s="3">
        <f>IFERROR(VLOOKUP($C15,FCST!$B:$N,(MATCH(H$2,FCST!$C$1:$N$1,0)+1),FALSE),0)</f>
        <v>2600</v>
      </c>
      <c r="I15" s="3">
        <f>IFERROR(VLOOKUP($C15,FCST!$B:$N,(MATCH(I$2,FCST!$C$1:$N$1,0)+1),FALSE),0)</f>
        <v>2600</v>
      </c>
      <c r="J15" s="3" t="str">
        <f>IF(G15&lt;0,G15*6*-1,"-")</f>
        <v>-</v>
      </c>
      <c r="K15" s="3">
        <f t="shared" si="1"/>
        <v>9384</v>
      </c>
      <c r="L15" s="3">
        <f t="shared" si="2"/>
        <v>24984</v>
      </c>
      <c r="M15" s="3">
        <f>(G15-F15-H15)</f>
        <v>-1564</v>
      </c>
      <c r="N15" s="3">
        <f>(G15-F15-H15-I15)</f>
        <v>-4164</v>
      </c>
    </row>
    <row r="16" spans="1:14" x14ac:dyDescent="0.25">
      <c r="A16" t="s">
        <v>35</v>
      </c>
      <c r="B16" t="s">
        <v>67</v>
      </c>
      <c r="C16" t="s">
        <v>135</v>
      </c>
      <c r="D16" t="str">
        <f>VLOOKUP(A16,DE_PARA!A:E,5,FALSE)</f>
        <v>GARRAFA QUADRADA 1000 ML</v>
      </c>
      <c r="E16" s="41">
        <v>0</v>
      </c>
      <c r="F16" s="41"/>
      <c r="G16" s="3">
        <f t="shared" si="0"/>
        <v>0</v>
      </c>
      <c r="H16" s="3">
        <f>IFERROR(VLOOKUP($C16,FCST!$B:$N,(MATCH(H$2,FCST!$C$1:$N$1,0)+1),FALSE),0)</f>
        <v>0</v>
      </c>
      <c r="I16" s="3">
        <f>IFERROR(VLOOKUP($C16,FCST!$B:$N,(MATCH(I$2,FCST!$C$1:$N$1,0)+1),FALSE),0)</f>
        <v>0</v>
      </c>
      <c r="J16" s="3" t="str">
        <f>IF(G16&lt;0,G16*6*-1,"-")</f>
        <v>-</v>
      </c>
      <c r="K16" s="3" t="str">
        <f t="shared" si="1"/>
        <v>-</v>
      </c>
      <c r="L16" s="3" t="str">
        <f t="shared" si="2"/>
        <v>-</v>
      </c>
      <c r="M16" s="3">
        <f>(G16-F16-H16)</f>
        <v>0</v>
      </c>
      <c r="N16" s="3">
        <f>(G16-F16-H16-I16)</f>
        <v>0</v>
      </c>
    </row>
    <row r="17" spans="1:14" x14ac:dyDescent="0.25">
      <c r="A17" t="s">
        <v>36</v>
      </c>
      <c r="B17" t="s">
        <v>68</v>
      </c>
      <c r="C17" t="s">
        <v>134</v>
      </c>
      <c r="D17" t="str">
        <f>VLOOKUP(A17,DE_PARA!A:E,5,FALSE)</f>
        <v>GARRAFA QUADRADA 1000 ML</v>
      </c>
      <c r="E17" s="41">
        <v>0</v>
      </c>
      <c r="F17" s="41"/>
      <c r="G17" s="3">
        <f t="shared" si="0"/>
        <v>0</v>
      </c>
      <c r="H17" s="3">
        <f>IFERROR(VLOOKUP($C17,FCST!$B:$N,(MATCH(H$2,FCST!$C$1:$N$1,0)+1),FALSE),0)</f>
        <v>0</v>
      </c>
      <c r="I17" s="3">
        <f>IFERROR(VLOOKUP($C17,FCST!$B:$N,(MATCH(I$2,FCST!$C$1:$N$1,0)+1),FALSE),0)</f>
        <v>0</v>
      </c>
      <c r="J17" s="3" t="str">
        <f>IF(G17&lt;0,G17*6*-1,"-")</f>
        <v>-</v>
      </c>
      <c r="K17" s="3" t="str">
        <f t="shared" si="1"/>
        <v>-</v>
      </c>
      <c r="L17" s="3" t="str">
        <f t="shared" si="2"/>
        <v>-</v>
      </c>
      <c r="M17" s="3">
        <f>(G17-F17-H17)</f>
        <v>0</v>
      </c>
      <c r="N17" s="3">
        <f>(G17-F17-H17-I17)</f>
        <v>0</v>
      </c>
    </row>
    <row r="18" spans="1:14" x14ac:dyDescent="0.25">
      <c r="A18" t="s">
        <v>37</v>
      </c>
      <c r="B18" t="s">
        <v>69</v>
      </c>
      <c r="C18" t="s">
        <v>123</v>
      </c>
      <c r="D18" t="str">
        <f>VLOOKUP(A18,DE_PARA!A:E,5,FALSE)</f>
        <v>LITRO APOLO 900 ML</v>
      </c>
      <c r="E18" s="41">
        <v>6087</v>
      </c>
      <c r="F18" s="41">
        <v>21</v>
      </c>
      <c r="G18" s="3">
        <f t="shared" si="0"/>
        <v>6066</v>
      </c>
      <c r="H18" s="3">
        <f>IFERROR(VLOOKUP($C18,FCST!$B:$N,(MATCH(H$2,FCST!$C$1:$N$1,0)+1),FALSE),0)</f>
        <v>7070</v>
      </c>
      <c r="I18" s="3">
        <f>IFERROR(VLOOKUP($C18,FCST!$B:$N,(MATCH(I$2,FCST!$C$1:$N$1,0)+1),FALSE),0)</f>
        <v>7070</v>
      </c>
      <c r="J18" s="3" t="str">
        <f>IF(G18&lt;0,G18*6*-1,"-")</f>
        <v>-</v>
      </c>
      <c r="K18" s="3">
        <f t="shared" si="1"/>
        <v>6150</v>
      </c>
      <c r="L18" s="3">
        <f t="shared" si="2"/>
        <v>48570</v>
      </c>
      <c r="M18" s="3">
        <f>(G18-F18-H18)</f>
        <v>-1025</v>
      </c>
      <c r="N18" s="3">
        <f>(G18-F18-H18-I18)</f>
        <v>-8095</v>
      </c>
    </row>
    <row r="19" spans="1:14" x14ac:dyDescent="0.25">
      <c r="A19" t="s">
        <v>38</v>
      </c>
      <c r="B19" t="s">
        <v>70</v>
      </c>
      <c r="C19" t="s">
        <v>124</v>
      </c>
      <c r="D19" t="str">
        <f>VLOOKUP(A19,DE_PARA!A:E,5,FALSE)</f>
        <v>GARRAFA QUADRADA 1000 ML</v>
      </c>
      <c r="E19" s="41">
        <v>1187</v>
      </c>
      <c r="F19" s="41">
        <v>4</v>
      </c>
      <c r="G19" s="3">
        <f t="shared" si="0"/>
        <v>1183</v>
      </c>
      <c r="H19" s="3">
        <f>IFERROR(VLOOKUP($C19,FCST!$B:$N,(MATCH(H$2,FCST!$C$1:$N$1,0)+1),FALSE),0)</f>
        <v>1400</v>
      </c>
      <c r="I19" s="3">
        <f>IFERROR(VLOOKUP($C19,FCST!$B:$N,(MATCH(I$2,FCST!$C$1:$N$1,0)+1),FALSE),0)</f>
        <v>1400</v>
      </c>
      <c r="J19" s="3" t="str">
        <f>IF(G19&lt;0,G19*6*-1,"-")</f>
        <v>-</v>
      </c>
      <c r="K19" s="3">
        <f t="shared" si="1"/>
        <v>1326</v>
      </c>
      <c r="L19" s="3">
        <f t="shared" si="2"/>
        <v>9726</v>
      </c>
      <c r="M19" s="3">
        <f>(G19-F19-H19)</f>
        <v>-221</v>
      </c>
      <c r="N19" s="3">
        <f>(G19-F19-H19-I19)</f>
        <v>-1621</v>
      </c>
    </row>
    <row r="20" spans="1:14" x14ac:dyDescent="0.25">
      <c r="A20" t="s">
        <v>39</v>
      </c>
      <c r="B20" t="s">
        <v>71</v>
      </c>
      <c r="C20" t="s">
        <v>125</v>
      </c>
      <c r="D20" t="str">
        <f>VLOOKUP(A20,DE_PARA!A:E,5,FALSE)</f>
        <v>GARRAFA SIBERIA 900 ML</v>
      </c>
      <c r="E20" s="41">
        <v>1226</v>
      </c>
      <c r="F20" s="41">
        <v>11125</v>
      </c>
      <c r="G20" s="3">
        <f t="shared" si="0"/>
        <v>-9899</v>
      </c>
      <c r="H20" s="3">
        <f>IFERROR(VLOOKUP($C20,FCST!$B:$N,(MATCH(H$2,FCST!$C$1:$N$1,0)+1),FALSE),0)</f>
        <v>10200</v>
      </c>
      <c r="I20" s="3">
        <f>IFERROR(VLOOKUP($C20,FCST!$B:$N,(MATCH(I$2,FCST!$C$1:$N$1,0)+1),FALSE),0)</f>
        <v>10200</v>
      </c>
      <c r="J20" s="3">
        <f>IF(G20&lt;0,G20*6*-1,"-")</f>
        <v>59394</v>
      </c>
      <c r="K20" s="3">
        <f t="shared" si="1"/>
        <v>187344</v>
      </c>
      <c r="L20" s="3">
        <f t="shared" si="2"/>
        <v>248544</v>
      </c>
      <c r="M20" s="3">
        <f>(G20-F20-H20)</f>
        <v>-31224</v>
      </c>
      <c r="N20" s="3">
        <f>(G20-F20-H20-I20)</f>
        <v>-41424</v>
      </c>
    </row>
    <row r="21" spans="1:14" x14ac:dyDescent="0.25">
      <c r="A21" t="s">
        <v>40</v>
      </c>
      <c r="B21" t="s">
        <v>72</v>
      </c>
      <c r="C21" t="s">
        <v>130</v>
      </c>
      <c r="D21" t="str">
        <f>VLOOKUP(A21,DE_PARA!A:E,5,FALSE)</f>
        <v>GARRAFA 750 ML</v>
      </c>
      <c r="E21" s="41">
        <v>0</v>
      </c>
      <c r="F21" s="41"/>
      <c r="G21" s="3">
        <f t="shared" si="0"/>
        <v>0</v>
      </c>
      <c r="H21" s="3">
        <f>IFERROR(VLOOKUP($C21,FCST!$B:$N,(MATCH(H$2,FCST!$C$1:$N$1,0)+1),FALSE),0)</f>
        <v>0</v>
      </c>
      <c r="I21" s="3">
        <f>IFERROR(VLOOKUP($C21,FCST!$B:$N,(MATCH(I$2,FCST!$C$1:$N$1,0)+1),FALSE),0)</f>
        <v>0</v>
      </c>
      <c r="J21" s="3" t="str">
        <f>IF(G21&lt;0,G21*6*-1,"-")</f>
        <v>-</v>
      </c>
      <c r="K21" s="3" t="str">
        <f t="shared" si="1"/>
        <v>-</v>
      </c>
      <c r="L21" s="3" t="str">
        <f t="shared" si="2"/>
        <v>-</v>
      </c>
      <c r="M21" s="3">
        <f>(G21-F21-H21)</f>
        <v>0</v>
      </c>
      <c r="N21" s="3">
        <f>(G21-F21-H21-I21)</f>
        <v>0</v>
      </c>
    </row>
    <row r="22" spans="1:14" x14ac:dyDescent="0.25">
      <c r="A22" t="s">
        <v>41</v>
      </c>
      <c r="B22" t="s">
        <v>73</v>
      </c>
      <c r="C22" t="s">
        <v>126</v>
      </c>
      <c r="D22" t="str">
        <f>VLOOKUP(A22,DE_PARA!A:E,5,FALSE)</f>
        <v>PRE FORMA CATUABA 48G</v>
      </c>
      <c r="E22" s="41">
        <v>9126</v>
      </c>
      <c r="F22" s="41">
        <v>198</v>
      </c>
      <c r="G22" s="3">
        <f t="shared" si="0"/>
        <v>8928</v>
      </c>
      <c r="H22" s="3">
        <f>IFERROR(VLOOKUP($C22,FCST!$B:$N,(MATCH(H$2,FCST!$C$1:$N$1,0)+1),FALSE),0)</f>
        <v>1860</v>
      </c>
      <c r="I22" s="3">
        <f>IFERROR(VLOOKUP($C22,FCST!$B:$N,(MATCH(I$2,FCST!$C$1:$N$1,0)+1),FALSE),0)</f>
        <v>1860</v>
      </c>
      <c r="J22" s="3" t="str">
        <f>IF(G22&lt;0,G22*6*-1,"-")</f>
        <v>-</v>
      </c>
      <c r="K22" s="3" t="str">
        <f t="shared" si="1"/>
        <v>-</v>
      </c>
      <c r="L22" s="3" t="str">
        <f t="shared" si="2"/>
        <v>-</v>
      </c>
      <c r="M22" s="3">
        <f>(G22-F22-H22)</f>
        <v>6870</v>
      </c>
      <c r="N22" s="3">
        <f>(G22-F22-H22-I22)</f>
        <v>5010</v>
      </c>
    </row>
    <row r="23" spans="1:14" x14ac:dyDescent="0.25">
      <c r="A23" t="s">
        <v>42</v>
      </c>
      <c r="B23" t="s">
        <v>74</v>
      </c>
      <c r="C23" t="s">
        <v>127</v>
      </c>
      <c r="D23" t="str">
        <f>VLOOKUP(A23,DE_PARA!A:E,5,FALSE)</f>
        <v>GARRAFA BOURGOGNE 750 ML</v>
      </c>
      <c r="E23" s="41">
        <v>2</v>
      </c>
      <c r="F23" s="41">
        <v>70</v>
      </c>
      <c r="G23" s="3">
        <f t="shared" si="0"/>
        <v>-68</v>
      </c>
      <c r="H23" s="3">
        <f>IFERROR(VLOOKUP($C23,FCST!$B:$N,(MATCH(H$2,FCST!$C$1:$N$1,0)+1),FALSE),0)</f>
        <v>360</v>
      </c>
      <c r="I23" s="3">
        <f>IFERROR(VLOOKUP($C23,FCST!$B:$N,(MATCH(I$2,FCST!$C$1:$N$1,0)+1),FALSE),0)</f>
        <v>360</v>
      </c>
      <c r="J23" s="3">
        <f>IF(G23&lt;0,G23*6*-1,"-")</f>
        <v>408</v>
      </c>
      <c r="K23" s="3">
        <f t="shared" si="1"/>
        <v>2988</v>
      </c>
      <c r="L23" s="3">
        <f t="shared" si="2"/>
        <v>5148</v>
      </c>
      <c r="M23" s="3">
        <f>(G23-F23-H23)</f>
        <v>-498</v>
      </c>
      <c r="N23" s="3">
        <f>(G23-F23-H23-I23)</f>
        <v>-858</v>
      </c>
    </row>
    <row r="24" spans="1:14" x14ac:dyDescent="0.25">
      <c r="A24" t="s">
        <v>43</v>
      </c>
      <c r="B24" t="s">
        <v>75</v>
      </c>
      <c r="C24" t="s">
        <v>111</v>
      </c>
      <c r="D24" t="str">
        <f>VLOOKUP(A24,DE_PARA!A:E,5,FALSE)</f>
        <v>GARRAFA 750 ML</v>
      </c>
      <c r="E24" s="41">
        <v>381</v>
      </c>
      <c r="F24" s="41">
        <v>150</v>
      </c>
      <c r="G24" s="3">
        <f t="shared" si="0"/>
        <v>231</v>
      </c>
      <c r="H24" s="3">
        <f>IFERROR(VLOOKUP($C24,FCST!$B:$N,(MATCH(H$2,FCST!$C$1:$N$1,0)+1),FALSE),0)</f>
        <v>650</v>
      </c>
      <c r="I24" s="3">
        <f>IFERROR(VLOOKUP($C24,FCST!$B:$N,(MATCH(I$2,FCST!$C$1:$N$1,0)+1),FALSE),0)</f>
        <v>650</v>
      </c>
      <c r="J24" s="3" t="str">
        <f>IF(G24&lt;0,G24*6*-1,"-")</f>
        <v>-</v>
      </c>
      <c r="K24" s="3">
        <f t="shared" si="1"/>
        <v>3414</v>
      </c>
      <c r="L24" s="3">
        <f t="shared" si="2"/>
        <v>7314</v>
      </c>
      <c r="M24" s="3">
        <f>(G24-F24-H24)</f>
        <v>-569</v>
      </c>
      <c r="N24" s="3">
        <f>(G24-F24-H24-I24)</f>
        <v>-1219</v>
      </c>
    </row>
    <row r="25" spans="1:14" x14ac:dyDescent="0.25">
      <c r="A25" t="s">
        <v>44</v>
      </c>
      <c r="B25" t="s">
        <v>76</v>
      </c>
      <c r="C25" t="s">
        <v>131</v>
      </c>
      <c r="D25" t="str">
        <f>VLOOKUP(A25,DE_PARA!A:E,5,FALSE)</f>
        <v>GARRAFA P/ VINHO 1000 ML PILFER</v>
      </c>
      <c r="E25" s="41">
        <v>0</v>
      </c>
      <c r="F25" s="41"/>
      <c r="G25" s="3">
        <f t="shared" si="0"/>
        <v>0</v>
      </c>
      <c r="H25" s="3">
        <f>IFERROR(VLOOKUP($C25,FCST!$B:$N,(MATCH(H$2,FCST!$C$1:$N$1,0)+1),FALSE),0)</f>
        <v>0</v>
      </c>
      <c r="I25" s="3">
        <f>IFERROR(VLOOKUP($C25,FCST!$B:$N,(MATCH(I$2,FCST!$C$1:$N$1,0)+1),FALSE),0)</f>
        <v>0</v>
      </c>
      <c r="J25" s="3" t="str">
        <f>IF(G25&lt;0,G25*6*-1,"-")</f>
        <v>-</v>
      </c>
      <c r="K25" s="3" t="str">
        <f t="shared" si="1"/>
        <v>-</v>
      </c>
      <c r="L25" s="3" t="str">
        <f t="shared" si="2"/>
        <v>-</v>
      </c>
      <c r="M25" s="3">
        <f>(G25-F25-H25)</f>
        <v>0</v>
      </c>
      <c r="N25" s="3">
        <f>(G25-F25-H25-I25)</f>
        <v>0</v>
      </c>
    </row>
    <row r="26" spans="1:14" x14ac:dyDescent="0.25">
      <c r="A26" t="s">
        <v>45</v>
      </c>
      <c r="B26" t="s">
        <v>77</v>
      </c>
      <c r="C26" t="s">
        <v>133</v>
      </c>
      <c r="D26" t="str">
        <f>VLOOKUP(A26,DE_PARA!A:E,5,FALSE)</f>
        <v>LITRO APOLO 900 ML</v>
      </c>
      <c r="E26" s="41">
        <v>0</v>
      </c>
      <c r="F26" s="41"/>
      <c r="G26" s="3">
        <f t="shared" si="0"/>
        <v>0</v>
      </c>
      <c r="H26" s="3">
        <f>IFERROR(VLOOKUP($C26,FCST!$B:$N,(MATCH(H$2,FCST!$C$1:$N$1,0)+1),FALSE),0)</f>
        <v>0</v>
      </c>
      <c r="I26" s="3">
        <f>IFERROR(VLOOKUP($C26,FCST!$B:$N,(MATCH(I$2,FCST!$C$1:$N$1,0)+1),FALSE),0)</f>
        <v>0</v>
      </c>
      <c r="J26" s="3" t="str">
        <f>IF(G26&lt;0,G26*6*-1,"-")</f>
        <v>-</v>
      </c>
      <c r="K26" s="3" t="str">
        <f t="shared" si="1"/>
        <v>-</v>
      </c>
      <c r="L26" s="3" t="str">
        <f t="shared" si="2"/>
        <v>-</v>
      </c>
      <c r="M26" s="3">
        <f>(G26-F26-H26)</f>
        <v>0</v>
      </c>
      <c r="N26" s="3">
        <f>(G26-F26-H26-I26)</f>
        <v>0</v>
      </c>
    </row>
    <row r="27" spans="1:14" x14ac:dyDescent="0.25">
      <c r="A27" t="s">
        <v>46</v>
      </c>
      <c r="B27" t="s">
        <v>78</v>
      </c>
      <c r="C27" t="s">
        <v>132</v>
      </c>
      <c r="D27" t="str">
        <f>VLOOKUP(A27,DE_PARA!A:E,5,FALSE)</f>
        <v>LITRO APOLO 900 ML</v>
      </c>
      <c r="E27" s="41">
        <v>507</v>
      </c>
      <c r="F27" s="41"/>
      <c r="G27" s="3">
        <f t="shared" si="0"/>
        <v>507</v>
      </c>
      <c r="H27" s="3">
        <f>IFERROR(VLOOKUP($C27,FCST!$B:$N,(MATCH(H$2,FCST!$C$1:$N$1,0)+1),FALSE),0)</f>
        <v>0</v>
      </c>
      <c r="I27" s="3">
        <f>IFERROR(VLOOKUP($C27,FCST!$B:$N,(MATCH(I$2,FCST!$C$1:$N$1,0)+1),FALSE),0)</f>
        <v>0</v>
      </c>
      <c r="J27" s="3" t="str">
        <f>IF(G27&lt;0,G27*6*-1,"-")</f>
        <v>-</v>
      </c>
      <c r="K27" s="3" t="str">
        <f t="shared" si="1"/>
        <v>-</v>
      </c>
      <c r="L27" s="3" t="str">
        <f t="shared" si="2"/>
        <v>-</v>
      </c>
      <c r="M27" s="3">
        <f>(G27-F27-H27)</f>
        <v>507</v>
      </c>
      <c r="N27" s="3">
        <f>(G27-F27-H27-I27)</f>
        <v>507</v>
      </c>
    </row>
    <row r="28" spans="1:14" x14ac:dyDescent="0.25">
      <c r="A28" t="s">
        <v>47</v>
      </c>
      <c r="B28" t="s">
        <v>79</v>
      </c>
      <c r="C28" t="s">
        <v>114</v>
      </c>
      <c r="D28" t="str">
        <f>VLOOKUP(A28,DE_PARA!A:E,5,FALSE)</f>
        <v>GARRAFA 750 ML</v>
      </c>
      <c r="E28" s="41">
        <v>1</v>
      </c>
      <c r="F28" s="41"/>
      <c r="G28" s="3">
        <f t="shared" si="0"/>
        <v>1</v>
      </c>
      <c r="H28" s="3">
        <f>IFERROR(VLOOKUP($C28,FCST!$B:$N,(MATCH(H$2,FCST!$C$1:$N$1,0)+1),FALSE),0)</f>
        <v>400</v>
      </c>
      <c r="I28" s="3">
        <f>IFERROR(VLOOKUP($C28,FCST!$B:$N,(MATCH(I$2,FCST!$C$1:$N$1,0)+1),FALSE),0)</f>
        <v>400</v>
      </c>
      <c r="J28" s="3" t="str">
        <f>IF(G28&lt;0,G28*6*-1,"-")</f>
        <v>-</v>
      </c>
      <c r="K28" s="3">
        <f t="shared" si="1"/>
        <v>2394</v>
      </c>
      <c r="L28" s="3">
        <f t="shared" si="2"/>
        <v>4794</v>
      </c>
      <c r="M28" s="3">
        <f>(G28-F28-H28)</f>
        <v>-399</v>
      </c>
      <c r="N28" s="3">
        <f>(G28-F28-H28-I28)</f>
        <v>-799</v>
      </c>
    </row>
    <row r="29" spans="1:14" x14ac:dyDescent="0.25">
      <c r="A29" t="s">
        <v>48</v>
      </c>
      <c r="B29" t="s">
        <v>80</v>
      </c>
      <c r="C29" t="s">
        <v>136</v>
      </c>
      <c r="D29" t="str">
        <f>VLOOKUP(A29,DE_PARA!A:E,5,FALSE)</f>
        <v>GARRAFA P/ VINHO 1000 ML PILFER</v>
      </c>
      <c r="E29" s="41">
        <v>0</v>
      </c>
      <c r="F29" s="41"/>
      <c r="G29" s="3">
        <f t="shared" si="0"/>
        <v>0</v>
      </c>
      <c r="H29" s="3">
        <f>IFERROR(VLOOKUP($C29,FCST!$B:$N,(MATCH(H$2,FCST!$C$1:$N$1,0)+1),FALSE),0)</f>
        <v>0</v>
      </c>
      <c r="I29" s="3">
        <f>IFERROR(VLOOKUP($C29,FCST!$B:$N,(MATCH(I$2,FCST!$C$1:$N$1,0)+1),FALSE),0)</f>
        <v>0</v>
      </c>
      <c r="J29" s="3" t="str">
        <f>IF(G29&lt;0,G29*6*-1,"-")</f>
        <v>-</v>
      </c>
      <c r="K29" s="3" t="str">
        <f t="shared" si="1"/>
        <v>-</v>
      </c>
      <c r="L29" s="3" t="str">
        <f t="shared" si="2"/>
        <v>-</v>
      </c>
      <c r="M29" s="3">
        <f>(G29-F29-H29)</f>
        <v>0</v>
      </c>
      <c r="N29" s="3">
        <f>(G29-F29-H29-I29)</f>
        <v>0</v>
      </c>
    </row>
    <row r="30" spans="1:14" x14ac:dyDescent="0.25">
      <c r="A30" t="s">
        <v>49</v>
      </c>
      <c r="B30" t="s">
        <v>81</v>
      </c>
      <c r="C30" t="s">
        <v>122</v>
      </c>
      <c r="D30" t="str">
        <f>VLOOKUP(A30,DE_PARA!A:E,5,FALSE)</f>
        <v>LITRO APOLO 900 ML</v>
      </c>
      <c r="E30" s="41">
        <v>0</v>
      </c>
      <c r="F30" s="41"/>
      <c r="G30" s="3">
        <f t="shared" si="0"/>
        <v>0</v>
      </c>
      <c r="H30" s="3">
        <f>IFERROR(VLOOKUP($C30,FCST!$B:$N,(MATCH(H$2,FCST!$C$1:$N$1,0)+1),FALSE),0)</f>
        <v>1310</v>
      </c>
      <c r="I30" s="3">
        <f>IFERROR(VLOOKUP($C30,FCST!$B:$N,(MATCH(I$2,FCST!$C$1:$N$1,0)+1),FALSE),0)</f>
        <v>1310</v>
      </c>
      <c r="J30" s="3" t="str">
        <f>IF(G30&lt;0,G30*6*-1,"-")</f>
        <v>-</v>
      </c>
      <c r="K30" s="3">
        <f t="shared" si="1"/>
        <v>7860</v>
      </c>
      <c r="L30" s="3">
        <f t="shared" si="2"/>
        <v>15720</v>
      </c>
      <c r="M30" s="3">
        <f>(G30-F30-H30)</f>
        <v>-1310</v>
      </c>
      <c r="N30" s="3">
        <f>(G30-F30-H30-I30)</f>
        <v>-2620</v>
      </c>
    </row>
    <row r="31" spans="1:14" x14ac:dyDescent="0.25">
      <c r="A31" t="s">
        <v>50</v>
      </c>
      <c r="B31" t="s">
        <v>82</v>
      </c>
      <c r="C31" t="s">
        <v>128</v>
      </c>
      <c r="D31" t="str">
        <f>VLOOKUP(A31,DE_PARA!A:E,5,FALSE)</f>
        <v>LITRO APOLO 900 ML</v>
      </c>
      <c r="E31" s="41">
        <v>114</v>
      </c>
      <c r="F31" s="41"/>
      <c r="G31" s="3">
        <f t="shared" si="0"/>
        <v>114</v>
      </c>
      <c r="H31" s="3">
        <f>IFERROR(VLOOKUP($C31,FCST!$B:$N,(MATCH(H$2,FCST!$C$1:$N$1,0)+1),FALSE),0)</f>
        <v>1000</v>
      </c>
      <c r="I31" s="3">
        <f>IFERROR(VLOOKUP($C31,FCST!$B:$N,(MATCH(I$2,FCST!$C$1:$N$1,0)+1),FALSE),0)</f>
        <v>1000</v>
      </c>
      <c r="J31" s="3" t="str">
        <f>IF(G31&lt;0,G31*6*-1,"-")</f>
        <v>-</v>
      </c>
      <c r="K31" s="3">
        <f t="shared" si="1"/>
        <v>5316</v>
      </c>
      <c r="L31" s="3">
        <f t="shared" si="2"/>
        <v>11316</v>
      </c>
      <c r="M31" s="3">
        <f>(G31-F31-H31)</f>
        <v>-886</v>
      </c>
      <c r="N31" s="3">
        <f>(G31-F31-H31-I31)</f>
        <v>-1886</v>
      </c>
    </row>
    <row r="32" spans="1:14" x14ac:dyDescent="0.25">
      <c r="A32" t="s">
        <v>51</v>
      </c>
      <c r="B32" t="s">
        <v>83</v>
      </c>
      <c r="C32" t="s">
        <v>115</v>
      </c>
      <c r="D32" t="str">
        <f>VLOOKUP(A32,DE_PARA!A:E,5,FALSE)</f>
        <v>GARRAFA 750 ML</v>
      </c>
      <c r="E32" s="41">
        <v>0</v>
      </c>
      <c r="F32" s="41"/>
      <c r="G32" s="3">
        <f t="shared" si="0"/>
        <v>0</v>
      </c>
      <c r="H32" s="3">
        <f>IFERROR(VLOOKUP($C32,FCST!$B:$N,(MATCH(H$2,FCST!$C$1:$N$1,0)+1),FALSE),0)</f>
        <v>80</v>
      </c>
      <c r="I32" s="3">
        <f>IFERROR(VLOOKUP($C32,FCST!$B:$N,(MATCH(I$2,FCST!$C$1:$N$1,0)+1),FALSE),0)</f>
        <v>80</v>
      </c>
      <c r="J32" s="3" t="str">
        <f>IF(G32&lt;0,G32*6*-1,"-")</f>
        <v>-</v>
      </c>
      <c r="K32" s="3">
        <f t="shared" si="1"/>
        <v>480</v>
      </c>
      <c r="L32" s="3">
        <f t="shared" si="2"/>
        <v>960</v>
      </c>
      <c r="M32" s="3">
        <f>(G32-F32-H32)</f>
        <v>-80</v>
      </c>
      <c r="N32" s="3">
        <f>(G32-F32-H32-I32)</f>
        <v>-160</v>
      </c>
    </row>
    <row r="33" spans="1:14" x14ac:dyDescent="0.25">
      <c r="A33" t="s">
        <v>52</v>
      </c>
      <c r="B33" t="s">
        <v>84</v>
      </c>
      <c r="C33" t="s">
        <v>129</v>
      </c>
      <c r="D33" t="str">
        <f>VLOOKUP(A33,DE_PARA!A:E,5,FALSE)</f>
        <v>GARRAFA 750 ML</v>
      </c>
      <c r="E33" s="41">
        <v>649</v>
      </c>
      <c r="F33" s="41"/>
      <c r="G33" s="3">
        <f t="shared" si="0"/>
        <v>649</v>
      </c>
      <c r="H33" s="3">
        <f>IFERROR(VLOOKUP($C33,FCST!$B:$N,(MATCH(H$2,FCST!$C$1:$N$1,0)+1),FALSE),0)</f>
        <v>0</v>
      </c>
      <c r="I33" s="3">
        <f>IFERROR(VLOOKUP($C33,FCST!$B:$N,(MATCH(I$2,FCST!$C$1:$N$1,0)+1),FALSE),0)</f>
        <v>0</v>
      </c>
      <c r="J33" s="3" t="str">
        <f>IF(G33&lt;0,G33*6*-1,"-")</f>
        <v>-</v>
      </c>
      <c r="K33" s="3" t="str">
        <f t="shared" si="1"/>
        <v>-</v>
      </c>
      <c r="L33" s="3" t="str">
        <f t="shared" si="2"/>
        <v>-</v>
      </c>
      <c r="M33" s="3">
        <f>(G33-F33-H33)</f>
        <v>649</v>
      </c>
      <c r="N33" s="3">
        <f>(G33-F33-H33-I33)</f>
        <v>649</v>
      </c>
    </row>
    <row r="34" spans="1:14" x14ac:dyDescent="0.25">
      <c r="A34" t="s">
        <v>53</v>
      </c>
      <c r="B34" t="s">
        <v>85</v>
      </c>
      <c r="C34" t="s">
        <v>137</v>
      </c>
      <c r="D34" t="str">
        <f>VLOOKUP(A34,DE_PARA!A:E,5,FALSE)</f>
        <v>GARRAFA 750 ML</v>
      </c>
      <c r="E34" s="41">
        <v>462</v>
      </c>
      <c r="F34" s="41"/>
      <c r="G34" s="3">
        <f t="shared" si="0"/>
        <v>462</v>
      </c>
      <c r="H34" s="3">
        <f>IFERROR(VLOOKUP($C34,FCST!$B:$N,(MATCH(H$2,FCST!$C$1:$N$1,0)+1),FALSE),0)</f>
        <v>0</v>
      </c>
      <c r="I34" s="3">
        <f>IFERROR(VLOOKUP($C34,FCST!$B:$N,(MATCH(I$2,FCST!$C$1:$N$1,0)+1),FALSE),0)</f>
        <v>0</v>
      </c>
      <c r="J34" s="3" t="str">
        <f>IF(G34&lt;0,G34*6*-1,"-")</f>
        <v>-</v>
      </c>
      <c r="K34" s="3" t="str">
        <f t="shared" si="1"/>
        <v>-</v>
      </c>
      <c r="L34" s="3" t="str">
        <f t="shared" si="2"/>
        <v>-</v>
      </c>
      <c r="M34" s="3">
        <f>(G34-F34-H34)</f>
        <v>462</v>
      </c>
      <c r="N34" s="3">
        <f>(G34-F34-H34-I34)</f>
        <v>462</v>
      </c>
    </row>
    <row r="35" spans="1:14" x14ac:dyDescent="0.25">
      <c r="A35" t="s">
        <v>54</v>
      </c>
      <c r="B35" t="s">
        <v>86</v>
      </c>
      <c r="C35" t="s">
        <v>138</v>
      </c>
      <c r="D35" t="str">
        <f>VLOOKUP(A35,DE_PARA!A:E,5,FALSE)</f>
        <v>GARRAFA 750 ML</v>
      </c>
      <c r="E35" s="41">
        <v>2011</v>
      </c>
      <c r="F35" s="41"/>
      <c r="G35" s="3">
        <f t="shared" si="0"/>
        <v>2011</v>
      </c>
      <c r="H35" s="3">
        <f>IFERROR(VLOOKUP($C35,FCST!$B:$N,(MATCH(H$2,FCST!$C$1:$N$1,0)+1),FALSE),0)</f>
        <v>0</v>
      </c>
      <c r="I35" s="3">
        <f>IFERROR(VLOOKUP($C35,FCST!$B:$N,(MATCH(I$2,FCST!$C$1:$N$1,0)+1),FALSE),0)</f>
        <v>0</v>
      </c>
      <c r="J35" s="3" t="str">
        <f>IF(G35&lt;0,G35*6*-1,"-")</f>
        <v>-</v>
      </c>
      <c r="K35" s="3" t="str">
        <f t="shared" si="1"/>
        <v>-</v>
      </c>
      <c r="L35" s="3" t="str">
        <f t="shared" si="2"/>
        <v>-</v>
      </c>
      <c r="M35" s="3">
        <f>(G35-F35-H35)</f>
        <v>2011</v>
      </c>
      <c r="N35" s="3">
        <f>(G35-F35-H35-I35)</f>
        <v>2011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8C15A-A9B5-4E34-9FE6-9FDEAC2176F9}">
  <dimension ref="A1:G10"/>
  <sheetViews>
    <sheetView showGridLines="0" workbookViewId="0">
      <selection activeCell="G3" sqref="G3"/>
    </sheetView>
  </sheetViews>
  <sheetFormatPr defaultRowHeight="15" x14ac:dyDescent="0.25"/>
  <cols>
    <col min="1" max="1" width="14.28515625" bestFit="1" customWidth="1"/>
    <col min="2" max="2" width="32.5703125" bestFit="1" customWidth="1"/>
    <col min="3" max="3" width="17" customWidth="1"/>
    <col min="4" max="4" width="23.42578125" bestFit="1" customWidth="1"/>
    <col min="5" max="5" width="21" customWidth="1"/>
    <col min="7" max="7" width="15.7109375" bestFit="1" customWidth="1"/>
  </cols>
  <sheetData>
    <row r="1" spans="1:7" x14ac:dyDescent="0.25">
      <c r="A1" s="14" t="s">
        <v>22</v>
      </c>
      <c r="B1" s="14" t="s">
        <v>19</v>
      </c>
      <c r="C1" s="31" t="s">
        <v>87</v>
      </c>
      <c r="D1" s="14" t="s">
        <v>90</v>
      </c>
      <c r="E1" s="14" t="s">
        <v>162</v>
      </c>
      <c r="G1" s="28"/>
    </row>
    <row r="2" spans="1:7" x14ac:dyDescent="0.25">
      <c r="A2" s="1">
        <v>302</v>
      </c>
      <c r="B2" t="s">
        <v>97</v>
      </c>
      <c r="C2" s="32">
        <v>11466</v>
      </c>
      <c r="D2">
        <v>8</v>
      </c>
      <c r="E2">
        <v>82944</v>
      </c>
      <c r="G2" s="30" t="s">
        <v>161</v>
      </c>
    </row>
    <row r="3" spans="1:7" x14ac:dyDescent="0.25">
      <c r="A3" s="1">
        <v>305</v>
      </c>
      <c r="B3" t="s">
        <v>98</v>
      </c>
      <c r="C3" s="32">
        <v>55364</v>
      </c>
      <c r="D3">
        <v>8</v>
      </c>
      <c r="E3">
        <v>20000</v>
      </c>
      <c r="G3" s="29">
        <v>44557</v>
      </c>
    </row>
    <row r="4" spans="1:7" x14ac:dyDescent="0.25">
      <c r="A4" s="1">
        <v>307</v>
      </c>
      <c r="B4" t="s">
        <v>100</v>
      </c>
      <c r="C4" s="32">
        <v>0</v>
      </c>
      <c r="D4">
        <v>8</v>
      </c>
    </row>
    <row r="5" spans="1:7" x14ac:dyDescent="0.25">
      <c r="A5" s="1">
        <v>320</v>
      </c>
      <c r="B5" t="s">
        <v>99</v>
      </c>
      <c r="C5" s="32">
        <v>3325</v>
      </c>
      <c r="D5">
        <v>8</v>
      </c>
    </row>
    <row r="6" spans="1:7" x14ac:dyDescent="0.25">
      <c r="A6" s="1">
        <v>1482</v>
      </c>
      <c r="B6" t="s">
        <v>101</v>
      </c>
      <c r="C6" s="32">
        <v>7344</v>
      </c>
      <c r="D6">
        <v>8</v>
      </c>
    </row>
    <row r="7" spans="1:7" x14ac:dyDescent="0.25">
      <c r="A7" s="1">
        <v>1510</v>
      </c>
      <c r="B7" t="s">
        <v>102</v>
      </c>
      <c r="C7" s="32">
        <v>5760</v>
      </c>
      <c r="D7">
        <v>8</v>
      </c>
    </row>
    <row r="8" spans="1:7" x14ac:dyDescent="0.25">
      <c r="A8" s="1">
        <v>3163</v>
      </c>
      <c r="B8" t="s">
        <v>103</v>
      </c>
      <c r="C8" s="32">
        <v>1254</v>
      </c>
      <c r="D8">
        <v>8</v>
      </c>
    </row>
    <row r="9" spans="1:7" x14ac:dyDescent="0.25">
      <c r="A9" s="1">
        <v>4686</v>
      </c>
      <c r="B9" t="s">
        <v>104</v>
      </c>
      <c r="C9" s="32">
        <v>0</v>
      </c>
      <c r="D9">
        <v>8</v>
      </c>
    </row>
    <row r="10" spans="1:7" x14ac:dyDescent="0.25">
      <c r="A10" s="1">
        <v>3025</v>
      </c>
      <c r="B10" t="s">
        <v>105</v>
      </c>
      <c r="C10" s="32">
        <v>0</v>
      </c>
      <c r="D10">
        <v>8</v>
      </c>
    </row>
  </sheetData>
  <conditionalFormatting sqref="C2:C10">
    <cfRule type="iconSet" priority="1">
      <iconSet iconSet="3Arrows">
        <cfvo type="percent" val="0"/>
        <cfvo type="num" val="5000"/>
        <cfvo type="num" val="15000"/>
      </iconSet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0A292-B896-44FC-82F4-32BBF6233A42}">
  <dimension ref="A1:N23"/>
  <sheetViews>
    <sheetView workbookViewId="0">
      <selection activeCell="A2" sqref="A2"/>
    </sheetView>
  </sheetViews>
  <sheetFormatPr defaultRowHeight="15" x14ac:dyDescent="0.25"/>
  <cols>
    <col min="2" max="2" width="59.28515625" bestFit="1" customWidth="1"/>
  </cols>
  <sheetData>
    <row r="1" spans="1:14" x14ac:dyDescent="0.25">
      <c r="A1" s="5" t="s">
        <v>152</v>
      </c>
      <c r="B1" s="4" t="s">
        <v>139</v>
      </c>
      <c r="C1" s="4" t="s">
        <v>140</v>
      </c>
      <c r="D1" s="4" t="s">
        <v>141</v>
      </c>
      <c r="E1" s="4" t="s">
        <v>142</v>
      </c>
      <c r="F1" s="4" t="s">
        <v>143</v>
      </c>
      <c r="G1" s="4" t="s">
        <v>144</v>
      </c>
      <c r="H1" s="4" t="s">
        <v>145</v>
      </c>
      <c r="I1" s="4" t="s">
        <v>146</v>
      </c>
      <c r="J1" s="4" t="s">
        <v>147</v>
      </c>
      <c r="K1" s="4" t="s">
        <v>148</v>
      </c>
      <c r="L1" s="4" t="s">
        <v>149</v>
      </c>
      <c r="M1" s="4" t="s">
        <v>150</v>
      </c>
      <c r="N1" s="4" t="s">
        <v>151</v>
      </c>
    </row>
    <row r="2" spans="1:14" x14ac:dyDescent="0.25">
      <c r="A2" t="str">
        <f>VLOOKUP(B2,DE_PARA!C:E,3,FALSE)</f>
        <v>GARRAFA P/ VINHO 1000 ML PILFER</v>
      </c>
      <c r="B2" t="s">
        <v>107</v>
      </c>
      <c r="C2">
        <v>4360</v>
      </c>
      <c r="D2">
        <v>4360</v>
      </c>
      <c r="E2">
        <v>4360</v>
      </c>
      <c r="F2">
        <v>4660</v>
      </c>
      <c r="G2">
        <v>4700</v>
      </c>
      <c r="H2">
        <v>4700</v>
      </c>
      <c r="I2">
        <v>4700</v>
      </c>
      <c r="J2">
        <v>4700</v>
      </c>
      <c r="K2">
        <v>4400</v>
      </c>
      <c r="L2">
        <v>4400</v>
      </c>
      <c r="M2">
        <v>4400</v>
      </c>
      <c r="N2">
        <v>4400</v>
      </c>
    </row>
    <row r="3" spans="1:14" x14ac:dyDescent="0.25">
      <c r="A3" t="str">
        <f>VLOOKUP(B3,DE_PARA!C:E,3,FALSE)</f>
        <v>GARRAFA 750 ML</v>
      </c>
      <c r="B3" t="s">
        <v>108</v>
      </c>
      <c r="C3">
        <v>4100</v>
      </c>
      <c r="D3">
        <v>4100</v>
      </c>
      <c r="E3">
        <v>4100</v>
      </c>
      <c r="F3">
        <v>4100</v>
      </c>
      <c r="G3">
        <v>4600</v>
      </c>
      <c r="H3">
        <v>4600</v>
      </c>
      <c r="I3">
        <v>4600</v>
      </c>
      <c r="J3">
        <v>4600</v>
      </c>
      <c r="K3">
        <v>4100</v>
      </c>
      <c r="L3">
        <v>4100</v>
      </c>
      <c r="M3">
        <v>4100</v>
      </c>
      <c r="N3">
        <v>4100</v>
      </c>
    </row>
    <row r="4" spans="1:14" x14ac:dyDescent="0.25">
      <c r="A4" t="str">
        <f>VLOOKUP(B4,DE_PARA!C:E,3,FALSE)</f>
        <v>GARRAFA P/ VINHO 1000 ML PILFER</v>
      </c>
      <c r="B4" t="s">
        <v>109</v>
      </c>
      <c r="C4">
        <v>5100</v>
      </c>
      <c r="D4">
        <v>5100</v>
      </c>
      <c r="E4">
        <v>5100</v>
      </c>
      <c r="F4">
        <v>6600</v>
      </c>
      <c r="G4">
        <v>7000</v>
      </c>
      <c r="H4">
        <v>7000</v>
      </c>
      <c r="I4">
        <v>7000</v>
      </c>
      <c r="J4">
        <v>7000</v>
      </c>
      <c r="K4">
        <v>5500</v>
      </c>
      <c r="L4">
        <v>5500</v>
      </c>
      <c r="M4">
        <v>5500</v>
      </c>
      <c r="N4">
        <v>5500</v>
      </c>
    </row>
    <row r="5" spans="1:14" x14ac:dyDescent="0.25">
      <c r="A5" t="str">
        <f>VLOOKUP(B5,DE_PARA!C:E,3,FALSE)</f>
        <v>GARRAFA 750 ML</v>
      </c>
      <c r="B5" t="s">
        <v>110</v>
      </c>
      <c r="C5">
        <v>20000</v>
      </c>
      <c r="D5">
        <v>20000</v>
      </c>
      <c r="E5">
        <v>20000</v>
      </c>
      <c r="F5">
        <v>20000</v>
      </c>
      <c r="G5">
        <v>25500</v>
      </c>
      <c r="H5">
        <v>25500</v>
      </c>
      <c r="I5">
        <v>25500</v>
      </c>
      <c r="J5">
        <v>25500</v>
      </c>
      <c r="K5">
        <v>21000</v>
      </c>
      <c r="L5">
        <v>21000</v>
      </c>
      <c r="M5">
        <v>21000</v>
      </c>
      <c r="N5">
        <v>21000</v>
      </c>
    </row>
    <row r="6" spans="1:14" x14ac:dyDescent="0.25">
      <c r="A6" t="str">
        <f>VLOOKUP(B6,DE_PARA!C:E,3,FALSE)</f>
        <v>GARRAFA 750 ML</v>
      </c>
      <c r="B6" t="s">
        <v>111</v>
      </c>
      <c r="C6">
        <v>650</v>
      </c>
      <c r="D6">
        <v>650</v>
      </c>
      <c r="E6">
        <v>650</v>
      </c>
      <c r="F6">
        <v>650</v>
      </c>
      <c r="G6">
        <v>800</v>
      </c>
      <c r="H6">
        <v>800</v>
      </c>
      <c r="I6">
        <v>800</v>
      </c>
      <c r="J6">
        <v>800</v>
      </c>
      <c r="K6">
        <v>750</v>
      </c>
      <c r="L6">
        <v>750</v>
      </c>
      <c r="M6">
        <v>750</v>
      </c>
      <c r="N6">
        <v>750</v>
      </c>
    </row>
    <row r="7" spans="1:14" x14ac:dyDescent="0.25">
      <c r="A7" t="str">
        <f>VLOOKUP(B7,DE_PARA!C:E,3,FALSE)</f>
        <v>GARRAFA P/ VINHO 1000 ML PILFER</v>
      </c>
      <c r="B7" t="s">
        <v>112</v>
      </c>
      <c r="C7">
        <v>1400</v>
      </c>
      <c r="D7">
        <v>1400</v>
      </c>
      <c r="E7">
        <v>1400</v>
      </c>
      <c r="F7">
        <v>1400</v>
      </c>
      <c r="G7">
        <v>1900</v>
      </c>
      <c r="H7">
        <v>1900</v>
      </c>
      <c r="I7">
        <v>1900</v>
      </c>
      <c r="J7">
        <v>1600</v>
      </c>
      <c r="K7">
        <v>1600</v>
      </c>
      <c r="L7">
        <v>1600</v>
      </c>
      <c r="M7">
        <v>1600</v>
      </c>
      <c r="N7">
        <v>1600</v>
      </c>
    </row>
    <row r="8" spans="1:14" x14ac:dyDescent="0.25">
      <c r="A8" t="str">
        <f>VLOOKUP(B8,DE_PARA!C:E,3,FALSE)</f>
        <v>GARRAFA P/ VINHO 1000 ML PILFER</v>
      </c>
      <c r="B8" t="s">
        <v>113</v>
      </c>
      <c r="C8">
        <v>4400</v>
      </c>
      <c r="D8">
        <v>4400</v>
      </c>
      <c r="E8">
        <v>4400</v>
      </c>
      <c r="F8">
        <v>4400</v>
      </c>
      <c r="G8">
        <v>7000</v>
      </c>
      <c r="H8">
        <v>7000</v>
      </c>
      <c r="I8">
        <v>7000</v>
      </c>
      <c r="J8">
        <v>6400</v>
      </c>
      <c r="K8">
        <v>6400</v>
      </c>
      <c r="L8">
        <v>6400</v>
      </c>
      <c r="M8">
        <v>6400</v>
      </c>
      <c r="N8">
        <v>6400</v>
      </c>
    </row>
    <row r="9" spans="1:14" x14ac:dyDescent="0.25">
      <c r="A9" t="str">
        <f>VLOOKUP(B9,DE_PARA!C:E,3,FALSE)</f>
        <v>GARRAFA 750 ML</v>
      </c>
      <c r="B9" t="s">
        <v>114</v>
      </c>
      <c r="C9">
        <v>400</v>
      </c>
      <c r="D9">
        <v>400</v>
      </c>
      <c r="E9">
        <v>400</v>
      </c>
      <c r="F9">
        <v>400</v>
      </c>
      <c r="G9">
        <v>500</v>
      </c>
      <c r="H9">
        <v>500</v>
      </c>
      <c r="I9">
        <v>500</v>
      </c>
      <c r="J9">
        <v>500</v>
      </c>
      <c r="K9">
        <v>500</v>
      </c>
      <c r="L9">
        <v>500</v>
      </c>
      <c r="M9">
        <v>500</v>
      </c>
      <c r="N9">
        <v>500</v>
      </c>
    </row>
    <row r="10" spans="1:14" x14ac:dyDescent="0.25">
      <c r="A10" t="str">
        <f>VLOOKUP(B10,DE_PARA!C:E,3,FALSE)</f>
        <v>GARRAFA 750 ML</v>
      </c>
      <c r="B10" t="s">
        <v>115</v>
      </c>
      <c r="C10">
        <v>80</v>
      </c>
      <c r="D10">
        <v>80</v>
      </c>
      <c r="E10">
        <v>80</v>
      </c>
      <c r="F10">
        <v>80</v>
      </c>
      <c r="G10">
        <v>100</v>
      </c>
      <c r="H10">
        <v>100</v>
      </c>
      <c r="I10">
        <v>100</v>
      </c>
      <c r="J10">
        <v>100</v>
      </c>
      <c r="K10">
        <v>100</v>
      </c>
      <c r="L10">
        <v>100</v>
      </c>
      <c r="M10">
        <v>100</v>
      </c>
      <c r="N10">
        <v>100</v>
      </c>
    </row>
    <row r="11" spans="1:14" x14ac:dyDescent="0.25">
      <c r="A11" t="str">
        <f>VLOOKUP(B11,DE_PARA!C:E,3,FALSE)</f>
        <v>GARRAFA TUBINHO 880 ML</v>
      </c>
      <c r="B11" t="s">
        <v>116</v>
      </c>
      <c r="C11">
        <v>9400</v>
      </c>
      <c r="D11">
        <v>9400</v>
      </c>
      <c r="E11">
        <v>9400</v>
      </c>
      <c r="F11">
        <v>9400</v>
      </c>
      <c r="G11">
        <v>10100</v>
      </c>
      <c r="H11">
        <v>10100</v>
      </c>
      <c r="I11">
        <v>10100</v>
      </c>
      <c r="J11">
        <v>9600</v>
      </c>
      <c r="K11">
        <v>9600</v>
      </c>
      <c r="L11">
        <v>9600</v>
      </c>
      <c r="M11">
        <v>9600</v>
      </c>
      <c r="N11">
        <v>9600</v>
      </c>
    </row>
    <row r="12" spans="1:14" x14ac:dyDescent="0.25">
      <c r="A12" t="str">
        <f>VLOOKUP(B12,DE_PARA!C:E,3,FALSE)</f>
        <v>GARRAFA TUBINHO 880 ML</v>
      </c>
      <c r="B12" t="s">
        <v>117</v>
      </c>
      <c r="C12">
        <v>8300</v>
      </c>
      <c r="D12">
        <v>8300</v>
      </c>
      <c r="E12">
        <v>8300</v>
      </c>
      <c r="F12">
        <v>8300</v>
      </c>
      <c r="G12">
        <v>8800</v>
      </c>
      <c r="H12">
        <v>8800</v>
      </c>
      <c r="I12">
        <v>8800</v>
      </c>
      <c r="J12">
        <v>8300</v>
      </c>
      <c r="K12">
        <v>8300</v>
      </c>
      <c r="L12">
        <v>8300</v>
      </c>
      <c r="M12">
        <v>8300</v>
      </c>
      <c r="N12">
        <v>8300</v>
      </c>
    </row>
    <row r="13" spans="1:14" x14ac:dyDescent="0.25">
      <c r="A13" t="str">
        <f>VLOOKUP(B13,DE_PARA!C:E,3,FALSE)</f>
        <v>GARRAFAS 600 ML</v>
      </c>
      <c r="B13" t="s">
        <v>118</v>
      </c>
      <c r="C13">
        <v>14500</v>
      </c>
      <c r="D13">
        <v>14500</v>
      </c>
      <c r="E13">
        <v>14500</v>
      </c>
      <c r="F13">
        <v>14500</v>
      </c>
      <c r="G13">
        <v>17600</v>
      </c>
      <c r="H13">
        <v>17600</v>
      </c>
      <c r="I13">
        <v>17600</v>
      </c>
      <c r="J13">
        <v>14600</v>
      </c>
      <c r="K13">
        <v>14600</v>
      </c>
      <c r="L13">
        <v>14600</v>
      </c>
      <c r="M13">
        <v>14600</v>
      </c>
      <c r="N13">
        <v>14600</v>
      </c>
    </row>
    <row r="14" spans="1:14" x14ac:dyDescent="0.25">
      <c r="A14" t="str">
        <f>VLOOKUP(B14,DE_PARA!C:E,3,FALSE)</f>
        <v>GARRAFA TUBINHO 880 ML</v>
      </c>
      <c r="B14" t="s">
        <v>119</v>
      </c>
      <c r="C14">
        <v>1560</v>
      </c>
      <c r="D14">
        <v>1560</v>
      </c>
      <c r="E14">
        <v>1560</v>
      </c>
      <c r="F14">
        <v>2060</v>
      </c>
      <c r="G14">
        <v>2160</v>
      </c>
      <c r="H14">
        <v>2160</v>
      </c>
      <c r="I14">
        <v>2160</v>
      </c>
      <c r="J14">
        <v>1660</v>
      </c>
      <c r="K14">
        <v>1660</v>
      </c>
      <c r="L14">
        <v>1660</v>
      </c>
      <c r="M14">
        <v>1660</v>
      </c>
      <c r="N14">
        <v>1660</v>
      </c>
    </row>
    <row r="15" spans="1:14" x14ac:dyDescent="0.25">
      <c r="A15" t="str">
        <f>VLOOKUP(B15,DE_PARA!C:E,3,FALSE)</f>
        <v>LITRO APOLO 900 ML</v>
      </c>
      <c r="B15" t="s">
        <v>120</v>
      </c>
      <c r="C15">
        <v>3000</v>
      </c>
      <c r="D15">
        <v>3000</v>
      </c>
      <c r="E15">
        <v>3000</v>
      </c>
      <c r="F15">
        <v>4000</v>
      </c>
      <c r="G15">
        <v>4300</v>
      </c>
      <c r="H15">
        <v>4300</v>
      </c>
      <c r="I15">
        <v>4300</v>
      </c>
      <c r="J15">
        <v>3300</v>
      </c>
      <c r="K15">
        <v>3300</v>
      </c>
      <c r="L15">
        <v>3300</v>
      </c>
      <c r="M15">
        <v>3300</v>
      </c>
      <c r="N15">
        <v>3300</v>
      </c>
    </row>
    <row r="16" spans="1:14" x14ac:dyDescent="0.25">
      <c r="A16" t="str">
        <f>VLOOKUP(B16,DE_PARA!C:E,3,FALSE)</f>
        <v>LITRO APOLO 900 ML</v>
      </c>
      <c r="B16" t="s">
        <v>121</v>
      </c>
      <c r="C16">
        <v>2600</v>
      </c>
      <c r="D16">
        <v>2600</v>
      </c>
      <c r="E16">
        <v>2600</v>
      </c>
      <c r="F16">
        <v>3600</v>
      </c>
      <c r="G16">
        <v>3620</v>
      </c>
      <c r="H16">
        <v>3620</v>
      </c>
      <c r="I16">
        <v>3620</v>
      </c>
      <c r="J16">
        <v>2620</v>
      </c>
      <c r="K16">
        <v>2620</v>
      </c>
      <c r="L16">
        <v>2620</v>
      </c>
      <c r="M16">
        <v>2620</v>
      </c>
      <c r="N16">
        <v>2620</v>
      </c>
    </row>
    <row r="17" spans="1:14" x14ac:dyDescent="0.25">
      <c r="A17" t="str">
        <f>VLOOKUP(B17,DE_PARA!C:E,3,FALSE)</f>
        <v>LITRO APOLO 900 ML</v>
      </c>
      <c r="B17" t="s">
        <v>122</v>
      </c>
      <c r="C17">
        <v>1310</v>
      </c>
      <c r="D17">
        <v>1310</v>
      </c>
      <c r="E17">
        <v>1310</v>
      </c>
      <c r="F17">
        <v>2310</v>
      </c>
      <c r="G17">
        <v>2350</v>
      </c>
      <c r="H17">
        <v>2350</v>
      </c>
      <c r="I17">
        <v>2350</v>
      </c>
      <c r="J17">
        <v>1350</v>
      </c>
      <c r="K17">
        <v>1350</v>
      </c>
      <c r="L17">
        <v>1350</v>
      </c>
      <c r="M17">
        <v>1350</v>
      </c>
      <c r="N17">
        <v>1350</v>
      </c>
    </row>
    <row r="18" spans="1:14" x14ac:dyDescent="0.25">
      <c r="A18" t="str">
        <f>VLOOKUP(B18,DE_PARA!C:E,3,FALSE)</f>
        <v>LITRO APOLO 900 ML</v>
      </c>
      <c r="B18" t="s">
        <v>123</v>
      </c>
      <c r="C18">
        <v>7070</v>
      </c>
      <c r="D18">
        <v>7070</v>
      </c>
      <c r="E18">
        <v>7070</v>
      </c>
      <c r="F18">
        <v>8070</v>
      </c>
      <c r="G18">
        <v>8270</v>
      </c>
      <c r="H18">
        <v>8270</v>
      </c>
      <c r="I18">
        <v>8270</v>
      </c>
      <c r="J18">
        <v>7270</v>
      </c>
      <c r="K18">
        <v>7270</v>
      </c>
      <c r="L18">
        <v>7270</v>
      </c>
      <c r="M18">
        <v>7270</v>
      </c>
      <c r="N18">
        <v>7270</v>
      </c>
    </row>
    <row r="19" spans="1:14" x14ac:dyDescent="0.25">
      <c r="A19" t="str">
        <f>VLOOKUP(B19,DE_PARA!C:E,3,FALSE)</f>
        <v>GARRAFA QUADRADA 1000 ML</v>
      </c>
      <c r="B19" t="s">
        <v>124</v>
      </c>
      <c r="C19">
        <v>1400</v>
      </c>
      <c r="D19">
        <v>1400</v>
      </c>
      <c r="E19">
        <v>1400</v>
      </c>
      <c r="F19">
        <v>1600</v>
      </c>
      <c r="G19">
        <v>1700</v>
      </c>
      <c r="H19">
        <v>1700</v>
      </c>
      <c r="I19">
        <v>1700</v>
      </c>
      <c r="J19">
        <v>1500</v>
      </c>
      <c r="K19">
        <v>1500</v>
      </c>
      <c r="L19">
        <v>1500</v>
      </c>
      <c r="M19">
        <v>1500</v>
      </c>
      <c r="N19">
        <v>1500</v>
      </c>
    </row>
    <row r="20" spans="1:14" x14ac:dyDescent="0.25">
      <c r="A20" t="str">
        <f>VLOOKUP(B20,DE_PARA!C:E,3,FALSE)</f>
        <v>GARRAFA SIBERIA 900 ML</v>
      </c>
      <c r="B20" t="s">
        <v>125</v>
      </c>
      <c r="C20">
        <v>10200</v>
      </c>
      <c r="D20">
        <v>10200</v>
      </c>
      <c r="E20">
        <v>10200</v>
      </c>
      <c r="F20">
        <v>10400</v>
      </c>
      <c r="G20">
        <v>10900</v>
      </c>
      <c r="H20">
        <v>10900</v>
      </c>
      <c r="I20">
        <v>10900</v>
      </c>
      <c r="J20">
        <v>10700</v>
      </c>
      <c r="K20">
        <v>10700</v>
      </c>
      <c r="L20">
        <v>10700</v>
      </c>
      <c r="M20">
        <v>10700</v>
      </c>
      <c r="N20">
        <v>10700</v>
      </c>
    </row>
    <row r="21" spans="1:14" x14ac:dyDescent="0.25">
      <c r="A21" t="str">
        <f>VLOOKUP(B21,DE_PARA!C:E,3,FALSE)</f>
        <v>PRE FORMA CATUABA 48G</v>
      </c>
      <c r="B21" t="s">
        <v>126</v>
      </c>
      <c r="C21">
        <v>1860</v>
      </c>
      <c r="D21">
        <v>1860</v>
      </c>
      <c r="E21">
        <v>1860</v>
      </c>
      <c r="F21">
        <v>2360</v>
      </c>
      <c r="G21">
        <v>2460</v>
      </c>
      <c r="H21">
        <v>2460</v>
      </c>
      <c r="I21">
        <v>2460</v>
      </c>
      <c r="J21">
        <v>2460</v>
      </c>
      <c r="K21">
        <v>1960</v>
      </c>
      <c r="L21">
        <v>1960</v>
      </c>
      <c r="M21">
        <v>1960</v>
      </c>
      <c r="N21">
        <v>1960</v>
      </c>
    </row>
    <row r="22" spans="1:14" x14ac:dyDescent="0.25">
      <c r="A22" t="str">
        <f>VLOOKUP(B22,DE_PARA!C:E,3,FALSE)</f>
        <v>GARRAFA BOURGOGNE 750 ML</v>
      </c>
      <c r="B22" t="s">
        <v>127</v>
      </c>
      <c r="C22">
        <v>360</v>
      </c>
      <c r="D22">
        <v>360</v>
      </c>
      <c r="E22">
        <v>360</v>
      </c>
      <c r="F22">
        <v>360</v>
      </c>
      <c r="G22">
        <v>460</v>
      </c>
      <c r="H22">
        <v>460</v>
      </c>
      <c r="I22">
        <v>460</v>
      </c>
      <c r="J22">
        <v>460</v>
      </c>
      <c r="K22">
        <v>460</v>
      </c>
      <c r="L22">
        <v>460</v>
      </c>
      <c r="M22">
        <v>460</v>
      </c>
      <c r="N22">
        <v>460</v>
      </c>
    </row>
    <row r="23" spans="1:14" x14ac:dyDescent="0.25">
      <c r="A23" t="str">
        <f>VLOOKUP(B23,DE_PARA!C:E,3,FALSE)</f>
        <v>LITRO APOLO 900 ML</v>
      </c>
      <c r="B23" t="s">
        <v>128</v>
      </c>
      <c r="C23">
        <v>1000</v>
      </c>
      <c r="D23">
        <v>1000</v>
      </c>
      <c r="E23">
        <v>1000</v>
      </c>
      <c r="F23">
        <v>2000</v>
      </c>
      <c r="G23">
        <v>2000</v>
      </c>
      <c r="H23">
        <v>2000</v>
      </c>
      <c r="I23">
        <v>2000</v>
      </c>
      <c r="J23">
        <v>1000</v>
      </c>
      <c r="K23">
        <v>1000</v>
      </c>
      <c r="L23">
        <v>1000</v>
      </c>
      <c r="M23">
        <v>1000</v>
      </c>
      <c r="N23">
        <v>1000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0D3A8-8BF7-4E18-8B91-09F73C0E7CA5}">
  <dimension ref="A3:D51"/>
  <sheetViews>
    <sheetView tabSelected="1" topLeftCell="A13" workbookViewId="0">
      <selection activeCell="B19" sqref="B19"/>
    </sheetView>
  </sheetViews>
  <sheetFormatPr defaultRowHeight="15" x14ac:dyDescent="0.25"/>
  <cols>
    <col min="1" max="1" width="62.42578125" bestFit="1" customWidth="1"/>
    <col min="2" max="2" width="23.5703125" bestFit="1" customWidth="1"/>
    <col min="3" max="3" width="23.140625" bestFit="1" customWidth="1"/>
    <col min="4" max="4" width="23.42578125" bestFit="1" customWidth="1"/>
  </cols>
  <sheetData>
    <row r="3" spans="1:4" x14ac:dyDescent="0.25">
      <c r="A3" s="26" t="s">
        <v>159</v>
      </c>
      <c r="B3" t="s">
        <v>169</v>
      </c>
      <c r="C3" t="s">
        <v>170</v>
      </c>
      <c r="D3" t="s">
        <v>171</v>
      </c>
    </row>
    <row r="4" spans="1:4" x14ac:dyDescent="0.25">
      <c r="A4" s="27" t="s">
        <v>101</v>
      </c>
      <c r="B4" s="12">
        <v>34734</v>
      </c>
      <c r="C4" s="12">
        <v>259944</v>
      </c>
      <c r="D4" s="12">
        <v>411324</v>
      </c>
    </row>
    <row r="5" spans="1:4" x14ac:dyDescent="0.25">
      <c r="A5" s="27" t="s">
        <v>104</v>
      </c>
      <c r="B5" s="12">
        <v>59394</v>
      </c>
      <c r="C5" s="12">
        <v>187344</v>
      </c>
      <c r="D5" s="12">
        <v>248544</v>
      </c>
    </row>
    <row r="6" spans="1:4" x14ac:dyDescent="0.25">
      <c r="A6" s="27" t="s">
        <v>100</v>
      </c>
      <c r="B6" s="12">
        <v>0</v>
      </c>
      <c r="C6" s="12">
        <v>73506</v>
      </c>
      <c r="D6" s="12">
        <v>189066</v>
      </c>
    </row>
    <row r="7" spans="1:4" x14ac:dyDescent="0.25">
      <c r="A7" s="27" t="s">
        <v>105</v>
      </c>
      <c r="B7" s="12">
        <v>0</v>
      </c>
      <c r="C7" s="12">
        <v>91410</v>
      </c>
      <c r="D7" s="12">
        <v>182970</v>
      </c>
    </row>
    <row r="8" spans="1:4" x14ac:dyDescent="0.25">
      <c r="A8" s="27" t="s">
        <v>99</v>
      </c>
      <c r="B8" s="12">
        <v>0</v>
      </c>
      <c r="C8" s="12">
        <v>41802</v>
      </c>
      <c r="D8" s="12">
        <v>131682</v>
      </c>
    </row>
    <row r="9" spans="1:4" x14ac:dyDescent="0.25">
      <c r="A9" s="27" t="s">
        <v>97</v>
      </c>
      <c r="B9" s="12">
        <v>0</v>
      </c>
      <c r="C9" s="12">
        <v>0</v>
      </c>
      <c r="D9" s="12">
        <v>65484</v>
      </c>
    </row>
    <row r="10" spans="1:4" x14ac:dyDescent="0.25">
      <c r="A10" s="27" t="s">
        <v>102</v>
      </c>
      <c r="B10" s="12">
        <v>0</v>
      </c>
      <c r="C10" s="12">
        <v>1326</v>
      </c>
      <c r="D10" s="12">
        <v>9726</v>
      </c>
    </row>
    <row r="11" spans="1:4" x14ac:dyDescent="0.25">
      <c r="A11" s="27" t="s">
        <v>103</v>
      </c>
      <c r="B11" s="12">
        <v>408</v>
      </c>
      <c r="C11" s="12">
        <v>2988</v>
      </c>
      <c r="D11" s="12">
        <v>5148</v>
      </c>
    </row>
    <row r="12" spans="1:4" x14ac:dyDescent="0.25">
      <c r="A12" s="27" t="s">
        <v>98</v>
      </c>
      <c r="B12" s="12">
        <v>0</v>
      </c>
      <c r="C12" s="12">
        <v>0</v>
      </c>
      <c r="D12" s="12">
        <v>0</v>
      </c>
    </row>
    <row r="13" spans="1:4" x14ac:dyDescent="0.25">
      <c r="A13" s="27" t="s">
        <v>160</v>
      </c>
      <c r="B13" s="12">
        <v>94536</v>
      </c>
      <c r="C13" s="12">
        <v>658320</v>
      </c>
      <c r="D13" s="12">
        <v>1243944</v>
      </c>
    </row>
    <row r="16" spans="1:4" x14ac:dyDescent="0.25">
      <c r="A16" s="26" t="s">
        <v>19</v>
      </c>
      <c r="B16" t="s">
        <v>174</v>
      </c>
    </row>
    <row r="18" spans="1:4" x14ac:dyDescent="0.25">
      <c r="A18" s="26" t="s">
        <v>159</v>
      </c>
      <c r="B18" t="s">
        <v>169</v>
      </c>
      <c r="C18" t="s">
        <v>170</v>
      </c>
      <c r="D18" t="s">
        <v>171</v>
      </c>
    </row>
    <row r="19" spans="1:4" x14ac:dyDescent="0.25">
      <c r="A19" s="27" t="s">
        <v>125</v>
      </c>
      <c r="B19" s="12">
        <v>59394</v>
      </c>
      <c r="C19" s="12">
        <v>187344</v>
      </c>
      <c r="D19" s="12">
        <v>248544</v>
      </c>
    </row>
    <row r="20" spans="1:4" x14ac:dyDescent="0.25">
      <c r="A20" s="27" t="s">
        <v>110</v>
      </c>
      <c r="B20" s="12">
        <v>34734</v>
      </c>
      <c r="C20" s="12">
        <v>238134</v>
      </c>
      <c r="D20" s="12">
        <v>358134</v>
      </c>
    </row>
    <row r="21" spans="1:4" x14ac:dyDescent="0.25">
      <c r="A21" s="27" t="s">
        <v>127</v>
      </c>
      <c r="B21" s="12">
        <v>408</v>
      </c>
      <c r="C21" s="12">
        <v>2988</v>
      </c>
      <c r="D21" s="12">
        <v>5148</v>
      </c>
    </row>
    <row r="22" spans="1:4" x14ac:dyDescent="0.25">
      <c r="A22" s="27" t="s">
        <v>108</v>
      </c>
      <c r="B22" s="12">
        <v>0</v>
      </c>
      <c r="C22" s="12">
        <v>15522</v>
      </c>
      <c r="D22" s="12">
        <v>40122</v>
      </c>
    </row>
    <row r="23" spans="1:4" x14ac:dyDescent="0.25">
      <c r="A23" s="27" t="s">
        <v>133</v>
      </c>
      <c r="B23" s="12">
        <v>0</v>
      </c>
      <c r="C23" s="12">
        <v>0</v>
      </c>
      <c r="D23" s="12">
        <v>0</v>
      </c>
    </row>
    <row r="24" spans="1:4" x14ac:dyDescent="0.25">
      <c r="A24" s="27" t="s">
        <v>136</v>
      </c>
      <c r="B24" s="12">
        <v>0</v>
      </c>
      <c r="C24" s="12">
        <v>0</v>
      </c>
      <c r="D24" s="12">
        <v>0</v>
      </c>
    </row>
    <row r="25" spans="1:4" x14ac:dyDescent="0.25">
      <c r="A25" s="27" t="s">
        <v>119</v>
      </c>
      <c r="B25" s="12">
        <v>0</v>
      </c>
      <c r="C25" s="12">
        <v>288</v>
      </c>
      <c r="D25" s="12">
        <v>9648</v>
      </c>
    </row>
    <row r="26" spans="1:4" x14ac:dyDescent="0.25">
      <c r="A26" s="27" t="s">
        <v>137</v>
      </c>
      <c r="B26" s="12">
        <v>0</v>
      </c>
      <c r="C26" s="12">
        <v>0</v>
      </c>
      <c r="D26" s="12">
        <v>0</v>
      </c>
    </row>
    <row r="27" spans="1:4" x14ac:dyDescent="0.25">
      <c r="A27" s="27" t="s">
        <v>134</v>
      </c>
      <c r="B27" s="12">
        <v>0</v>
      </c>
      <c r="C27" s="12">
        <v>0</v>
      </c>
      <c r="D27" s="12">
        <v>0</v>
      </c>
    </row>
    <row r="28" spans="1:4" x14ac:dyDescent="0.25">
      <c r="A28" s="27" t="s">
        <v>129</v>
      </c>
      <c r="B28" s="12">
        <v>0</v>
      </c>
      <c r="C28" s="12">
        <v>0</v>
      </c>
      <c r="D28" s="12">
        <v>0</v>
      </c>
    </row>
    <row r="29" spans="1:4" x14ac:dyDescent="0.25">
      <c r="A29" s="27" t="s">
        <v>135</v>
      </c>
      <c r="B29" s="12">
        <v>0</v>
      </c>
      <c r="C29" s="12">
        <v>0</v>
      </c>
      <c r="D29" s="12">
        <v>0</v>
      </c>
    </row>
    <row r="30" spans="1:4" x14ac:dyDescent="0.25">
      <c r="A30" s="27" t="s">
        <v>131</v>
      </c>
      <c r="B30" s="12">
        <v>0</v>
      </c>
      <c r="C30" s="12">
        <v>0</v>
      </c>
      <c r="D30" s="12">
        <v>0</v>
      </c>
    </row>
    <row r="31" spans="1:4" x14ac:dyDescent="0.25">
      <c r="A31" s="27" t="s">
        <v>118</v>
      </c>
      <c r="B31" s="12">
        <v>0</v>
      </c>
      <c r="C31" s="12">
        <v>0</v>
      </c>
      <c r="D31" s="12">
        <v>65484</v>
      </c>
    </row>
    <row r="32" spans="1:4" x14ac:dyDescent="0.25">
      <c r="A32" s="27" t="s">
        <v>124</v>
      </c>
      <c r="B32" s="12">
        <v>0</v>
      </c>
      <c r="C32" s="12">
        <v>1326</v>
      </c>
      <c r="D32" s="12">
        <v>9726</v>
      </c>
    </row>
    <row r="33" spans="1:4" x14ac:dyDescent="0.25">
      <c r="A33" s="27" t="s">
        <v>123</v>
      </c>
      <c r="B33" s="12">
        <v>0</v>
      </c>
      <c r="C33" s="12">
        <v>6150</v>
      </c>
      <c r="D33" s="12">
        <v>48570</v>
      </c>
    </row>
    <row r="34" spans="1:4" x14ac:dyDescent="0.25">
      <c r="A34" s="27" t="s">
        <v>107</v>
      </c>
      <c r="B34" s="12">
        <v>0</v>
      </c>
      <c r="C34" s="12">
        <v>26010</v>
      </c>
      <c r="D34" s="12">
        <v>52170</v>
      </c>
    </row>
    <row r="35" spans="1:4" x14ac:dyDescent="0.25">
      <c r="A35" s="27" t="s">
        <v>128</v>
      </c>
      <c r="B35" s="12">
        <v>0</v>
      </c>
      <c r="C35" s="12">
        <v>5316</v>
      </c>
      <c r="D35" s="12">
        <v>11316</v>
      </c>
    </row>
    <row r="36" spans="1:4" x14ac:dyDescent="0.25">
      <c r="A36" s="27" t="s">
        <v>126</v>
      </c>
      <c r="B36" s="12">
        <v>0</v>
      </c>
      <c r="C36" s="12">
        <v>0</v>
      </c>
      <c r="D36" s="12">
        <v>0</v>
      </c>
    </row>
    <row r="37" spans="1:4" x14ac:dyDescent="0.25">
      <c r="A37" s="27" t="s">
        <v>115</v>
      </c>
      <c r="B37" s="12">
        <v>0</v>
      </c>
      <c r="C37" s="12">
        <v>480</v>
      </c>
      <c r="D37" s="12">
        <v>960</v>
      </c>
    </row>
    <row r="38" spans="1:4" x14ac:dyDescent="0.25">
      <c r="A38" s="27" t="s">
        <v>122</v>
      </c>
      <c r="B38" s="12">
        <v>0</v>
      </c>
      <c r="C38" s="12">
        <v>7860</v>
      </c>
      <c r="D38" s="12">
        <v>15720</v>
      </c>
    </row>
    <row r="39" spans="1:4" x14ac:dyDescent="0.25">
      <c r="A39" s="27" t="s">
        <v>112</v>
      </c>
      <c r="B39" s="12">
        <v>0</v>
      </c>
      <c r="C39" s="12">
        <v>8400</v>
      </c>
      <c r="D39" s="12">
        <v>16800</v>
      </c>
    </row>
    <row r="40" spans="1:4" x14ac:dyDescent="0.25">
      <c r="A40" s="27" t="s">
        <v>113</v>
      </c>
      <c r="B40" s="12">
        <v>0</v>
      </c>
      <c r="C40" s="12">
        <v>26400</v>
      </c>
      <c r="D40" s="12">
        <v>52800</v>
      </c>
    </row>
    <row r="41" spans="1:4" x14ac:dyDescent="0.25">
      <c r="A41" s="27" t="s">
        <v>117</v>
      </c>
      <c r="B41" s="12">
        <v>0</v>
      </c>
      <c r="C41" s="12">
        <v>33474</v>
      </c>
      <c r="D41" s="12">
        <v>83274</v>
      </c>
    </row>
    <row r="42" spans="1:4" x14ac:dyDescent="0.25">
      <c r="A42" s="27" t="s">
        <v>114</v>
      </c>
      <c r="B42" s="12">
        <v>0</v>
      </c>
      <c r="C42" s="12">
        <v>2394</v>
      </c>
      <c r="D42" s="12">
        <v>4794</v>
      </c>
    </row>
    <row r="43" spans="1:4" x14ac:dyDescent="0.25">
      <c r="A43" s="27" t="s">
        <v>116</v>
      </c>
      <c r="B43" s="12">
        <v>0</v>
      </c>
      <c r="C43" s="12">
        <v>39744</v>
      </c>
      <c r="D43" s="12">
        <v>96144</v>
      </c>
    </row>
    <row r="44" spans="1:4" x14ac:dyDescent="0.25">
      <c r="A44" s="27" t="s">
        <v>109</v>
      </c>
      <c r="B44" s="12">
        <v>0</v>
      </c>
      <c r="C44" s="12">
        <v>30600</v>
      </c>
      <c r="D44" s="12">
        <v>61200</v>
      </c>
    </row>
    <row r="45" spans="1:4" x14ac:dyDescent="0.25">
      <c r="A45" s="27" t="s">
        <v>130</v>
      </c>
      <c r="B45" s="12">
        <v>0</v>
      </c>
      <c r="C45" s="12">
        <v>0</v>
      </c>
      <c r="D45" s="12">
        <v>0</v>
      </c>
    </row>
    <row r="46" spans="1:4" x14ac:dyDescent="0.25">
      <c r="A46" s="27" t="s">
        <v>120</v>
      </c>
      <c r="B46" s="12">
        <v>0</v>
      </c>
      <c r="C46" s="12">
        <v>13092</v>
      </c>
      <c r="D46" s="12">
        <v>31092</v>
      </c>
    </row>
    <row r="47" spans="1:4" x14ac:dyDescent="0.25">
      <c r="A47" s="27" t="s">
        <v>132</v>
      </c>
      <c r="B47" s="12">
        <v>0</v>
      </c>
      <c r="C47" s="12">
        <v>0</v>
      </c>
      <c r="D47" s="12">
        <v>0</v>
      </c>
    </row>
    <row r="48" spans="1:4" x14ac:dyDescent="0.25">
      <c r="A48" s="27" t="s">
        <v>111</v>
      </c>
      <c r="B48" s="12">
        <v>0</v>
      </c>
      <c r="C48" s="12">
        <v>3414</v>
      </c>
      <c r="D48" s="12">
        <v>7314</v>
      </c>
    </row>
    <row r="49" spans="1:4" x14ac:dyDescent="0.25">
      <c r="A49" s="27" t="s">
        <v>121</v>
      </c>
      <c r="B49" s="12">
        <v>0</v>
      </c>
      <c r="C49" s="12">
        <v>9384</v>
      </c>
      <c r="D49" s="12">
        <v>24984</v>
      </c>
    </row>
    <row r="50" spans="1:4" x14ac:dyDescent="0.25">
      <c r="A50" s="27" t="s">
        <v>138</v>
      </c>
      <c r="B50" s="12">
        <v>0</v>
      </c>
      <c r="C50" s="12">
        <v>0</v>
      </c>
      <c r="D50" s="12">
        <v>0</v>
      </c>
    </row>
    <row r="51" spans="1:4" x14ac:dyDescent="0.25">
      <c r="A51" s="27" t="s">
        <v>160</v>
      </c>
      <c r="B51" s="12">
        <v>94536</v>
      </c>
      <c r="C51" s="12">
        <v>658320</v>
      </c>
      <c r="D51" s="12">
        <v>1243944</v>
      </c>
    </row>
  </sheetData>
  <pageMargins left="0.7" right="0.7" top="0.75" bottom="0.75" header="0.3" footer="0.3"/>
  <pageSetup paperSize="9" orientation="portrait"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3F081-E704-4245-83A5-A3A2EA9D62C1}">
  <dimension ref="B2:H25"/>
  <sheetViews>
    <sheetView showGridLines="0" workbookViewId="0">
      <selection activeCell="C5" sqref="C5"/>
    </sheetView>
  </sheetViews>
  <sheetFormatPr defaultRowHeight="15" x14ac:dyDescent="0.25"/>
  <cols>
    <col min="1" max="1" width="2.85546875" customWidth="1"/>
    <col min="2" max="2" width="32.5703125" bestFit="1" customWidth="1"/>
    <col min="3" max="8" width="12.85546875" customWidth="1"/>
  </cols>
  <sheetData>
    <row r="2" spans="2:8" x14ac:dyDescent="0.25">
      <c r="C2" s="34" t="s">
        <v>163</v>
      </c>
      <c r="D2" s="35">
        <v>44557</v>
      </c>
    </row>
    <row r="4" spans="2:8" x14ac:dyDescent="0.25">
      <c r="B4" s="36"/>
      <c r="C4" s="38" t="s">
        <v>2</v>
      </c>
      <c r="D4" s="37" t="s">
        <v>165</v>
      </c>
      <c r="E4" s="37" t="s">
        <v>172</v>
      </c>
      <c r="F4" s="38" t="s">
        <v>87</v>
      </c>
      <c r="G4" s="40"/>
      <c r="H4" s="40"/>
    </row>
    <row r="5" spans="2:8" x14ac:dyDescent="0.25">
      <c r="B5" t="s">
        <v>101</v>
      </c>
      <c r="C5" s="39">
        <v>34734</v>
      </c>
      <c r="D5" s="3">
        <v>259944</v>
      </c>
      <c r="E5" s="3">
        <v>411324</v>
      </c>
      <c r="F5" s="39">
        <f>VLOOKUP(B5,EST_GARRAFAS!B:C,2,FALSE)</f>
        <v>7344</v>
      </c>
      <c r="G5" s="13"/>
      <c r="H5" s="13"/>
    </row>
    <row r="6" spans="2:8" x14ac:dyDescent="0.25">
      <c r="B6" t="s">
        <v>104</v>
      </c>
      <c r="C6" s="39">
        <v>59394</v>
      </c>
      <c r="D6" s="3">
        <v>187344</v>
      </c>
      <c r="E6" s="3">
        <v>248544</v>
      </c>
      <c r="F6" s="39">
        <f>VLOOKUP(B6,EST_GARRAFAS!B:C,2,FALSE)</f>
        <v>0</v>
      </c>
      <c r="G6" s="3"/>
      <c r="H6" s="3"/>
    </row>
    <row r="7" spans="2:8" x14ac:dyDescent="0.25">
      <c r="B7" t="s">
        <v>100</v>
      </c>
      <c r="C7" s="39">
        <v>0</v>
      </c>
      <c r="D7" s="3">
        <v>73506</v>
      </c>
      <c r="E7" s="3">
        <v>189066</v>
      </c>
      <c r="F7" s="39">
        <f>VLOOKUP(B7,EST_GARRAFAS!B:C,2,FALSE)</f>
        <v>0</v>
      </c>
      <c r="G7" s="3"/>
      <c r="H7" s="3"/>
    </row>
    <row r="8" spans="2:8" x14ac:dyDescent="0.25">
      <c r="B8" t="s">
        <v>105</v>
      </c>
      <c r="C8" s="39">
        <v>0</v>
      </c>
      <c r="D8" s="3">
        <v>91410</v>
      </c>
      <c r="E8" s="3">
        <v>182970</v>
      </c>
      <c r="F8" s="39">
        <f>VLOOKUP(B8,EST_GARRAFAS!B:C,2,FALSE)</f>
        <v>0</v>
      </c>
      <c r="G8" s="3"/>
      <c r="H8" s="3"/>
    </row>
    <row r="9" spans="2:8" x14ac:dyDescent="0.25">
      <c r="B9" t="s">
        <v>99</v>
      </c>
      <c r="C9" s="39">
        <v>0</v>
      </c>
      <c r="D9" s="3">
        <v>41802</v>
      </c>
      <c r="E9" s="3">
        <v>131682</v>
      </c>
      <c r="F9" s="39">
        <f>VLOOKUP(B9,EST_GARRAFAS!B:C,2,FALSE)</f>
        <v>3325</v>
      </c>
      <c r="G9" s="3"/>
      <c r="H9" s="3"/>
    </row>
    <row r="10" spans="2:8" x14ac:dyDescent="0.25">
      <c r="B10" t="s">
        <v>97</v>
      </c>
      <c r="C10" s="39">
        <v>0</v>
      </c>
      <c r="D10" s="3">
        <v>0</v>
      </c>
      <c r="E10" s="3">
        <v>65484</v>
      </c>
      <c r="F10" s="39">
        <f>VLOOKUP(B10,EST_GARRAFAS!B:C,2,FALSE)</f>
        <v>11466</v>
      </c>
      <c r="G10" s="3"/>
      <c r="H10" s="3"/>
    </row>
    <row r="11" spans="2:8" x14ac:dyDescent="0.25">
      <c r="B11" t="s">
        <v>102</v>
      </c>
      <c r="C11" s="39">
        <v>0</v>
      </c>
      <c r="D11" s="3">
        <v>1326</v>
      </c>
      <c r="E11" s="3">
        <v>9726</v>
      </c>
      <c r="F11" s="39">
        <f>VLOOKUP(B11,EST_GARRAFAS!B:C,2,FALSE)</f>
        <v>5760</v>
      </c>
      <c r="G11" s="3"/>
      <c r="H11" s="3"/>
    </row>
    <row r="12" spans="2:8" x14ac:dyDescent="0.25">
      <c r="B12" t="s">
        <v>103</v>
      </c>
      <c r="C12" s="39">
        <v>408</v>
      </c>
      <c r="D12" s="3">
        <v>2988</v>
      </c>
      <c r="E12" s="3">
        <v>5148</v>
      </c>
      <c r="F12" s="39">
        <f>VLOOKUP(B12,EST_GARRAFAS!B:C,2,FALSE)</f>
        <v>1254</v>
      </c>
      <c r="G12" s="3"/>
      <c r="H12" s="3"/>
    </row>
    <row r="13" spans="2:8" x14ac:dyDescent="0.25">
      <c r="B13" t="s">
        <v>98</v>
      </c>
      <c r="C13" s="39">
        <v>0</v>
      </c>
      <c r="D13" s="3">
        <v>0</v>
      </c>
      <c r="E13" s="3">
        <v>0</v>
      </c>
      <c r="F13" s="39">
        <f>VLOOKUP(B13,EST_GARRAFAS!B:C,2,FALSE)</f>
        <v>55364</v>
      </c>
      <c r="G13" s="3"/>
      <c r="H13" s="3"/>
    </row>
    <row r="14" spans="2:8" x14ac:dyDescent="0.25">
      <c r="C14" s="3"/>
      <c r="D14" s="3"/>
      <c r="E14" s="3"/>
      <c r="F14" s="3"/>
    </row>
    <row r="16" spans="2:8" x14ac:dyDescent="0.25">
      <c r="C16" s="15" t="s">
        <v>153</v>
      </c>
      <c r="D16" s="16" t="s">
        <v>154</v>
      </c>
      <c r="E16" s="16" t="s">
        <v>155</v>
      </c>
      <c r="F16" s="16" t="s">
        <v>156</v>
      </c>
      <c r="G16" s="16" t="s">
        <v>157</v>
      </c>
      <c r="H16" s="17" t="s">
        <v>158</v>
      </c>
    </row>
    <row r="17" spans="2:8" x14ac:dyDescent="0.25">
      <c r="C17" s="18"/>
      <c r="D17" s="19"/>
      <c r="E17" s="19"/>
      <c r="F17" s="19"/>
      <c r="G17" s="19"/>
      <c r="H17" s="20"/>
    </row>
    <row r="18" spans="2:8" x14ac:dyDescent="0.25">
      <c r="B18" t="s">
        <v>18</v>
      </c>
      <c r="C18" s="25" t="s">
        <v>120</v>
      </c>
      <c r="D18" s="19"/>
      <c r="E18" s="19"/>
      <c r="F18" s="19"/>
      <c r="G18" s="19"/>
      <c r="H18" s="20"/>
    </row>
    <row r="19" spans="2:8" x14ac:dyDescent="0.25">
      <c r="B19" t="s">
        <v>19</v>
      </c>
      <c r="C19" s="25" t="str">
        <f>VLOOKUP(C18,DE_PARA!C:E,3,FALSE)</f>
        <v>LITRO APOLO 900 ML</v>
      </c>
      <c r="D19" s="19"/>
      <c r="E19" s="19"/>
      <c r="F19" s="19"/>
      <c r="G19" s="19"/>
      <c r="H19" s="20"/>
    </row>
    <row r="20" spans="2:8" x14ac:dyDescent="0.25">
      <c r="B20" t="s">
        <v>91</v>
      </c>
      <c r="C20" s="24">
        <v>10</v>
      </c>
      <c r="D20" s="19"/>
      <c r="E20" s="19"/>
      <c r="F20" s="19"/>
      <c r="G20" s="19"/>
      <c r="H20" s="20"/>
    </row>
    <row r="21" spans="2:8" x14ac:dyDescent="0.25">
      <c r="B21" t="s">
        <v>173</v>
      </c>
      <c r="C21" s="18">
        <f>C20*600</f>
        <v>6000</v>
      </c>
      <c r="D21" s="19"/>
      <c r="E21" s="19"/>
      <c r="F21" s="19"/>
      <c r="G21" s="19"/>
      <c r="H21" s="20"/>
    </row>
    <row r="22" spans="2:8" x14ac:dyDescent="0.25">
      <c r="B22" t="s">
        <v>88</v>
      </c>
      <c r="C22" s="18">
        <f>C20</f>
        <v>10</v>
      </c>
      <c r="D22" s="19"/>
      <c r="E22" s="19"/>
      <c r="F22" s="19"/>
      <c r="G22" s="19"/>
      <c r="H22" s="20"/>
    </row>
    <row r="23" spans="2:8" x14ac:dyDescent="0.25">
      <c r="C23" s="18"/>
      <c r="D23" s="19"/>
      <c r="E23" s="19"/>
      <c r="F23" s="19"/>
      <c r="G23" s="19"/>
      <c r="H23" s="20"/>
    </row>
    <row r="24" spans="2:8" x14ac:dyDescent="0.25">
      <c r="C24" s="21"/>
      <c r="D24" s="22"/>
      <c r="E24" s="22"/>
      <c r="F24" s="22"/>
      <c r="G24" s="22"/>
      <c r="H24" s="23"/>
    </row>
    <row r="25" spans="2:8" x14ac:dyDescent="0.25">
      <c r="B25" s="1"/>
      <c r="C25" s="1"/>
      <c r="D25" s="1"/>
      <c r="E25" s="1"/>
      <c r="F25" s="1"/>
      <c r="G25" s="1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1A3A8-BB29-4DE2-BF57-9992A9CF332C}">
  <dimension ref="B2:C5"/>
  <sheetViews>
    <sheetView showGridLines="0" workbookViewId="0">
      <selection activeCell="B2" sqref="B2"/>
    </sheetView>
  </sheetViews>
  <sheetFormatPr defaultRowHeight="15" x14ac:dyDescent="0.25"/>
  <cols>
    <col min="1" max="1" width="6.5703125" customWidth="1"/>
    <col min="2" max="2" width="19.7109375" bestFit="1" customWidth="1"/>
  </cols>
  <sheetData>
    <row r="2" spans="2:3" x14ac:dyDescent="0.25">
      <c r="B2" s="10" t="s">
        <v>93</v>
      </c>
      <c r="C2" s="11">
        <v>150000</v>
      </c>
    </row>
    <row r="3" spans="2:3" x14ac:dyDescent="0.25">
      <c r="B3" s="6" t="s">
        <v>94</v>
      </c>
      <c r="C3" s="7"/>
    </row>
    <row r="4" spans="2:3" x14ac:dyDescent="0.25">
      <c r="B4" s="6" t="s">
        <v>95</v>
      </c>
      <c r="C4" s="7"/>
    </row>
    <row r="5" spans="2:3" x14ac:dyDescent="0.25">
      <c r="B5" s="8" t="s">
        <v>96</v>
      </c>
      <c r="C5" s="9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63BBF-E048-4D05-98AA-DEBDFEA88F2A}">
  <dimension ref="A2:G7"/>
  <sheetViews>
    <sheetView workbookViewId="0">
      <selection activeCell="G21" sqref="G21"/>
    </sheetView>
  </sheetViews>
  <sheetFormatPr defaultRowHeight="15" x14ac:dyDescent="0.25"/>
  <cols>
    <col min="1" max="1" width="8.28515625" bestFit="1" customWidth="1"/>
    <col min="2" max="2" width="9.28515625" bestFit="1" customWidth="1"/>
    <col min="3" max="3" width="14.85546875" customWidth="1"/>
    <col min="4" max="4" width="18.140625" customWidth="1"/>
    <col min="5" max="7" width="14.85546875" customWidth="1"/>
  </cols>
  <sheetData>
    <row r="2" spans="1:7" x14ac:dyDescent="0.25">
      <c r="A2" s="2" t="s">
        <v>5</v>
      </c>
      <c r="B2" s="2" t="s">
        <v>6</v>
      </c>
      <c r="C2" s="2" t="s">
        <v>0</v>
      </c>
      <c r="D2" s="2" t="s">
        <v>1</v>
      </c>
      <c r="E2" s="2" t="s">
        <v>2</v>
      </c>
      <c r="F2" s="2" t="s">
        <v>3</v>
      </c>
      <c r="G2" s="2" t="s">
        <v>4</v>
      </c>
    </row>
    <row r="3" spans="1:7" x14ac:dyDescent="0.25">
      <c r="A3" t="s">
        <v>8</v>
      </c>
      <c r="B3" t="s">
        <v>12</v>
      </c>
      <c r="C3" t="s">
        <v>14</v>
      </c>
      <c r="D3" s="3">
        <v>12000</v>
      </c>
      <c r="E3" s="3">
        <v>5000</v>
      </c>
      <c r="F3" s="3">
        <f>D3-E3</f>
        <v>7000</v>
      </c>
      <c r="G3" s="3"/>
    </row>
    <row r="4" spans="1:7" x14ac:dyDescent="0.25">
      <c r="A4" t="s">
        <v>9</v>
      </c>
      <c r="B4" t="s">
        <v>12</v>
      </c>
      <c r="C4" t="s">
        <v>15</v>
      </c>
      <c r="D4" s="3">
        <v>14000</v>
      </c>
      <c r="E4" s="3">
        <v>10000</v>
      </c>
      <c r="F4" s="3">
        <f>D4-E4</f>
        <v>4000</v>
      </c>
      <c r="G4" s="3"/>
    </row>
    <row r="5" spans="1:7" x14ac:dyDescent="0.25">
      <c r="A5" t="s">
        <v>7</v>
      </c>
      <c r="B5" t="s">
        <v>12</v>
      </c>
      <c r="C5" t="s">
        <v>13</v>
      </c>
      <c r="D5" s="3">
        <v>10000</v>
      </c>
      <c r="E5" s="3">
        <v>8000</v>
      </c>
      <c r="F5" s="3">
        <f>D5-E5</f>
        <v>2000</v>
      </c>
      <c r="G5" s="3"/>
    </row>
    <row r="6" spans="1:7" x14ac:dyDescent="0.25">
      <c r="A6" t="s">
        <v>11</v>
      </c>
      <c r="B6" t="s">
        <v>12</v>
      </c>
      <c r="C6" t="s">
        <v>17</v>
      </c>
      <c r="D6" s="3">
        <v>3000</v>
      </c>
      <c r="E6" s="3">
        <v>5000</v>
      </c>
      <c r="F6" s="3">
        <f>D6-E6</f>
        <v>-2000</v>
      </c>
      <c r="G6" s="3"/>
    </row>
    <row r="7" spans="1:7" x14ac:dyDescent="0.25">
      <c r="A7" t="s">
        <v>10</v>
      </c>
      <c r="B7" t="s">
        <v>12</v>
      </c>
      <c r="C7" t="s">
        <v>16</v>
      </c>
      <c r="D7" s="3">
        <v>5000</v>
      </c>
      <c r="E7" s="3">
        <v>10000</v>
      </c>
      <c r="F7" s="3">
        <f>D7-E7</f>
        <v>-5000</v>
      </c>
      <c r="G7" s="3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578BF-B6F5-41F8-BC6A-9E00251637CC}">
  <dimension ref="A1:D1"/>
  <sheetViews>
    <sheetView workbookViewId="0"/>
  </sheetViews>
  <sheetFormatPr defaultRowHeight="15" x14ac:dyDescent="0.25"/>
  <cols>
    <col min="1" max="1" width="14.85546875" bestFit="1" customWidth="1"/>
    <col min="2" max="2" width="13" customWidth="1"/>
    <col min="3" max="3" width="11.42578125" bestFit="1" customWidth="1"/>
  </cols>
  <sheetData>
    <row r="1" spans="1:4" x14ac:dyDescent="0.25">
      <c r="A1" s="4" t="s">
        <v>23</v>
      </c>
      <c r="B1" s="4" t="s">
        <v>18</v>
      </c>
      <c r="C1" s="4" t="s">
        <v>91</v>
      </c>
      <c r="D1" s="4" t="s">
        <v>92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DE_PARA</vt:lpstr>
      <vt:lpstr>EST_PRODUTOS</vt:lpstr>
      <vt:lpstr>EST_GARRAFAS</vt:lpstr>
      <vt:lpstr>FCST</vt:lpstr>
      <vt:lpstr>DIN</vt:lpstr>
      <vt:lpstr>PCP</vt:lpstr>
      <vt:lpstr>NOTAS</vt:lpstr>
      <vt:lpstr>EST_MIN_WIP</vt:lpstr>
      <vt:lpstr>PEDIDOS_WIP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Evandro Geralduci Lugli (P)</dc:creator>
  <cp:lastModifiedBy>Evandro Geralduci Lugli (P)</cp:lastModifiedBy>
  <cp:lastPrinted>2021-12-27T18:04:05Z</cp:lastPrinted>
  <dcterms:created xsi:type="dcterms:W3CDTF">2021-12-23T16:54:58Z</dcterms:created>
  <dcterms:modified xsi:type="dcterms:W3CDTF">2021-12-28T14:38:41Z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c2abd79-57a9-4473-8700-c843f76a1e37_Enabled">
    <vt:lpwstr>true</vt:lpwstr>
  </property>
  <property fmtid="{D5CDD505-2E9C-101B-9397-08002B2CF9AE}" pid="3" name="MSIP_Label_0c2abd79-57a9-4473-8700-c843f76a1e37_SetDate">
    <vt:lpwstr>2021-12-23T18:52:12Z</vt:lpwstr>
  </property>
  <property fmtid="{D5CDD505-2E9C-101B-9397-08002B2CF9AE}" pid="4" name="MSIP_Label_0c2abd79-57a9-4473-8700-c843f76a1e37_Method">
    <vt:lpwstr>Privileged</vt:lpwstr>
  </property>
  <property fmtid="{D5CDD505-2E9C-101B-9397-08002B2CF9AE}" pid="5" name="MSIP_Label_0c2abd79-57a9-4473-8700-c843f76a1e37_Name">
    <vt:lpwstr>Internal</vt:lpwstr>
  </property>
  <property fmtid="{D5CDD505-2E9C-101B-9397-08002B2CF9AE}" pid="6" name="MSIP_Label_0c2abd79-57a9-4473-8700-c843f76a1e37_SiteId">
    <vt:lpwstr>35595a02-4d6d-44ac-99e1-f9ab4cd872db</vt:lpwstr>
  </property>
  <property fmtid="{D5CDD505-2E9C-101B-9397-08002B2CF9AE}" pid="7" name="MSIP_Label_0c2abd79-57a9-4473-8700-c843f76a1e37_ActionId">
    <vt:lpwstr>31684637-3ea0-4fee-8139-e6194b74ce00</vt:lpwstr>
  </property>
  <property fmtid="{D5CDD505-2E9C-101B-9397-08002B2CF9AE}" pid="8" name="MSIP_Label_0c2abd79-57a9-4473-8700-c843f76a1e37_ContentBits">
    <vt:lpwstr>0</vt:lpwstr>
  </property>
</Properties>
</file>