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cm200_psu_edu/Documents/PSU2019-present/my_R_packages/soiltestr/tests/testthat/test-data/psa/protocol8/"/>
    </mc:Choice>
  </mc:AlternateContent>
  <xr:revisionPtr revIDLastSave="53" documentId="8_{22C1BDF1-E863-4E89-8416-6324740D2E75}" xr6:coauthVersionLast="47" xr6:coauthVersionMax="47" xr10:uidLastSave="{EDC45E3B-D045-4C0F-86D5-5510E24A1A2F}"/>
  <bookViews>
    <workbookView xWindow="-110" yWindow="-110" windowWidth="25820" windowHeight="10420" xr2:uid="{37E785F7-02C0-4A9C-A938-364FEF666194}"/>
  </bookViews>
  <sheets>
    <sheet name="Data Sheet" sheetId="1" r:id="rId1"/>
    <sheet name="Size breakdown and curve" sheetId="2" r:id="rId2"/>
    <sheet name="Dummy data" sheetId="3" r:id="rId3"/>
    <sheet name="Sed. cylinder dimension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6" i="1"/>
  <c r="C55" i="1" l="1"/>
  <c r="E14" i="1" l="1"/>
  <c r="E13" i="1" l="1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C2" i="4"/>
  <c r="E12" i="1" s="1"/>
  <c r="C1" i="2" l="1"/>
  <c r="C54" i="1"/>
  <c r="C53" i="1"/>
  <c r="D42" i="1"/>
  <c r="E22" i="1"/>
  <c r="E23" i="1" l="1"/>
  <c r="E24" i="1" s="1"/>
  <c r="F32" i="1" s="1"/>
  <c r="G33" i="1"/>
  <c r="H33" i="1" s="1"/>
  <c r="C57" i="1" s="1"/>
  <c r="G32" i="1"/>
  <c r="H32" i="1" s="1"/>
  <c r="C56" i="1" s="1"/>
  <c r="E41" i="1" l="1"/>
  <c r="E13" i="2" s="1"/>
  <c r="E40" i="1"/>
  <c r="E8" i="2" s="1"/>
  <c r="E11" i="2"/>
  <c r="D56" i="1"/>
  <c r="E12" i="2"/>
  <c r="E39" i="1"/>
  <c r="E7" i="2" s="1"/>
  <c r="E10" i="2"/>
  <c r="E9" i="2"/>
  <c r="F33" i="1"/>
  <c r="D57" i="1" s="1"/>
  <c r="D15" i="2"/>
  <c r="E15" i="2" s="1"/>
  <c r="F39" i="1" l="1"/>
  <c r="F40" i="1" s="1"/>
  <c r="F41" i="1" s="1"/>
  <c r="D9" i="2"/>
  <c r="E42" i="1"/>
  <c r="D7" i="2"/>
  <c r="D53" i="1"/>
  <c r="D48" i="1" l="1"/>
  <c r="D54" i="1"/>
  <c r="D49" i="1" l="1"/>
  <c r="D14" i="2"/>
  <c r="D16" i="2" s="1"/>
  <c r="E14" i="2" l="1"/>
  <c r="E16" i="2" s="1"/>
  <c r="C44" i="2"/>
  <c r="D5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Mascitti, Evan C</author>
  </authors>
  <commentList>
    <comment ref="D47" authorId="0" shapeId="0" xr:uid="{0B97319B-EF76-4B45-A85B-BBE2EFD6BDBC}">
      <text>
        <r>
          <rPr>
            <b/>
            <sz val="9"/>
            <color indexed="81"/>
            <rFont val="Tahoma"/>
            <charset val="1"/>
          </rPr>
          <t>Mascitti, Evan C:</t>
        </r>
        <r>
          <rPr>
            <sz val="9"/>
            <color indexed="81"/>
            <rFont val="Tahoma"/>
            <charset val="1"/>
          </rPr>
          <t xml:space="preserve">
Read clay percentage off curve and enter here</t>
        </r>
      </text>
    </comment>
  </commentList>
</comments>
</file>

<file path=xl/sharedStrings.xml><?xml version="1.0" encoding="utf-8"?>
<sst xmlns="http://schemas.openxmlformats.org/spreadsheetml/2006/main" count="116" uniqueCount="95">
  <si>
    <t>Sample ID</t>
  </si>
  <si>
    <t>Time</t>
  </si>
  <si>
    <t>Hydrometer reading</t>
  </si>
  <si>
    <t>Temp</t>
  </si>
  <si>
    <r>
      <t>r</t>
    </r>
    <r>
      <rPr>
        <vertAlign val="subscript"/>
        <sz val="11"/>
        <color theme="1"/>
        <rFont val="Times New Roman"/>
        <family val="1"/>
      </rPr>
      <t>m</t>
    </r>
  </si>
  <si>
    <r>
      <t>r</t>
    </r>
    <r>
      <rPr>
        <vertAlign val="subscript"/>
        <sz val="11"/>
        <color theme="1"/>
        <rFont val="Times New Roman"/>
        <family val="1"/>
      </rPr>
      <t>d,m</t>
    </r>
  </si>
  <si>
    <t>Maximum particle diameter in suspension</t>
  </si>
  <si>
    <t xml:space="preserve">Mass percent finer </t>
  </si>
  <si>
    <t>Meniscus correction (g/L)</t>
  </si>
  <si>
    <t>Water content correction</t>
  </si>
  <si>
    <t>Water content (g/g)</t>
  </si>
  <si>
    <t>Water loss (g)</t>
  </si>
  <si>
    <t>Air-dry mass (g)</t>
  </si>
  <si>
    <t>Oven-dry mass (g)</t>
  </si>
  <si>
    <t>Oven-dry soil used in cylinder (g)</t>
  </si>
  <si>
    <t>Hydrometer readings</t>
  </si>
  <si>
    <t>min</t>
  </si>
  <si>
    <t>(°C)</t>
  </si>
  <si>
    <t>(g/L)</t>
  </si>
  <si>
    <t>(cm)</t>
  </si>
  <si>
    <t>Effective depth</t>
  </si>
  <si>
    <t>(mm)</t>
  </si>
  <si>
    <t>%</t>
  </si>
  <si>
    <t>T</t>
  </si>
  <si>
    <t>Specimen info</t>
  </si>
  <si>
    <t>-</t>
  </si>
  <si>
    <t>Nm</t>
  </si>
  <si>
    <t>Hm</t>
  </si>
  <si>
    <t>Equipment info</t>
  </si>
  <si>
    <t>Sedimentation cylinder ID</t>
  </si>
  <si>
    <t>Sample mass- air-dry (g)</t>
  </si>
  <si>
    <t>Dmax</t>
  </si>
  <si>
    <r>
      <t>Hydrometer volume (cm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</si>
  <si>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Cylinder area (cm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</si>
  <si>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Hydrometer H</t>
    </r>
    <r>
      <rPr>
        <vertAlign val="subscript"/>
        <sz val="11"/>
        <color theme="1"/>
        <rFont val="Times New Roman"/>
        <family val="1"/>
      </rPr>
      <t xml:space="preserve">r1 </t>
    </r>
    <r>
      <rPr>
        <sz val="11"/>
        <color theme="1"/>
        <rFont val="Times New Roman"/>
        <family val="1"/>
      </rPr>
      <t>(cm)</t>
    </r>
  </si>
  <si>
    <r>
      <t>Hydrometer H</t>
    </r>
    <r>
      <rPr>
        <vertAlign val="subscript"/>
        <sz val="11"/>
        <color theme="1"/>
        <rFont val="Times New Roman"/>
        <family val="1"/>
      </rPr>
      <t>r2</t>
    </r>
    <r>
      <rPr>
        <sz val="11"/>
        <color theme="1"/>
        <rFont val="Times New Roman"/>
        <family val="1"/>
      </rPr>
      <t xml:space="preserve"> (cm)</t>
    </r>
  </si>
  <si>
    <t>Oven-dry sand wt (g)</t>
  </si>
  <si>
    <t>Mesh</t>
  </si>
  <si>
    <t xml:space="preserve">Opening </t>
  </si>
  <si>
    <t>Mass on sieve</t>
  </si>
  <si>
    <t>Wt fraction of sample</t>
  </si>
  <si>
    <t>#</t>
  </si>
  <si>
    <r>
      <rPr>
        <sz val="11"/>
        <color theme="1"/>
        <rFont val="Calibri"/>
        <family val="2"/>
      </rPr>
      <t>μ</t>
    </r>
    <r>
      <rPr>
        <sz val="11"/>
        <color theme="1"/>
        <rFont val="Times New Roman"/>
        <family val="1"/>
      </rPr>
      <t>m</t>
    </r>
  </si>
  <si>
    <t>g</t>
  </si>
  <si>
    <t>Sample name:</t>
  </si>
  <si>
    <t>Size fraction (mm)</t>
  </si>
  <si>
    <t>% of sample by wt.</t>
  </si>
  <si>
    <t>size class</t>
  </si>
  <si>
    <t>4.0-2.0</t>
  </si>
  <si>
    <t>Sand</t>
  </si>
  <si>
    <t>2.0-1.0</t>
  </si>
  <si>
    <t>1.0-0.5</t>
  </si>
  <si>
    <t>0.5-0.25</t>
  </si>
  <si>
    <t>0.25-0.15</t>
  </si>
  <si>
    <t>0.15-0.05</t>
  </si>
  <si>
    <t>Silt</t>
  </si>
  <si>
    <t>0.05-0.002</t>
  </si>
  <si>
    <t>Clay</t>
  </si>
  <si>
    <t>&lt;0.002</t>
  </si>
  <si>
    <t>Total</t>
  </si>
  <si>
    <r>
      <t>D</t>
    </r>
    <r>
      <rPr>
        <vertAlign val="subscript"/>
        <sz val="11"/>
        <color theme="1"/>
        <rFont val="Times New Roman"/>
        <family val="1"/>
      </rPr>
      <t>60</t>
    </r>
  </si>
  <si>
    <t>N/A</t>
  </si>
  <si>
    <r>
      <t>D</t>
    </r>
    <r>
      <rPr>
        <vertAlign val="subscript"/>
        <sz val="11"/>
        <color theme="1"/>
        <rFont val="Times New Roman"/>
        <family val="1"/>
      </rPr>
      <t>10</t>
    </r>
  </si>
  <si>
    <t>Uniformity coefficient</t>
  </si>
  <si>
    <t>Silt:clay ratio</t>
  </si>
  <si>
    <t>Method</t>
  </si>
  <si>
    <t>Hydrometer + sieves</t>
  </si>
  <si>
    <t>SCR</t>
  </si>
  <si>
    <t>Texture calculations</t>
  </si>
  <si>
    <t>Sieving data</t>
  </si>
  <si>
    <t>% passing</t>
  </si>
  <si>
    <t>Gravel</t>
  </si>
  <si>
    <t>Particle diameter (mm)</t>
  </si>
  <si>
    <t>Sieve data</t>
  </si>
  <si>
    <t>Cumulative  passing</t>
  </si>
  <si>
    <t>% Passing curve data</t>
  </si>
  <si>
    <t>size cutoff</t>
  </si>
  <si>
    <t>clay</t>
  </si>
  <si>
    <t>silt</t>
  </si>
  <si>
    <t>size subclass</t>
  </si>
  <si>
    <t>&gt;4.0</t>
  </si>
  <si>
    <t>Starting date</t>
  </si>
  <si>
    <t>Stir time</t>
  </si>
  <si>
    <t xml:space="preserve">Stir time = </t>
  </si>
  <si>
    <t>Cylinder ID</t>
  </si>
  <si>
    <t>Volume (mL)</t>
  </si>
  <si>
    <t>Diameter (cm)</t>
  </si>
  <si>
    <t>Ht to 1,000 mL mark (cm)</t>
  </si>
  <si>
    <t>calculated volume (mL)</t>
  </si>
  <si>
    <r>
      <t>Cylinder volume (cm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</si>
  <si>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area (cm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</si>
  <si>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Calgon batch number</t>
  </si>
  <si>
    <r>
      <t>Particle specific gravity (g/cm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</si>
  <si>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t>Hydrometer correction</t>
  </si>
  <si>
    <t>replication1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</si>
</sst>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%"/>
    <numFmt numFmtId="169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ash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ashed">
        <color theme="0" tint="-0.34998626667073579"/>
      </bottom>
      <diagonal/>
    </border>
    <border>
      <left style="medium">
        <color indexed="64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 style="medium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indexed="64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/>
      <top style="medium">
        <color indexed="64"/>
      </top>
      <bottom style="dashed">
        <color theme="0" tint="-0.34998626667073579"/>
      </bottom>
      <diagonal/>
    </border>
    <border>
      <left/>
      <right/>
      <top style="medium">
        <color indexed="64"/>
      </top>
      <bottom style="dashed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medium">
        <color indexed="64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 style="medium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dashed">
        <color theme="0" tint="-0.499984740745262"/>
      </right>
      <top/>
      <bottom style="dashed">
        <color theme="0" tint="-0.34998626667073579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34998626667073579"/>
      </bottom>
      <diagonal/>
    </border>
    <border>
      <left style="dashed">
        <color theme="0" tint="-0.499984740745262"/>
      </left>
      <right/>
      <top/>
      <bottom style="dash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9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0" fontId="3" fillId="0" borderId="0" xfId="0" applyFont="1" applyAlignment="1"/>
    <xf numFmtId="0" fontId="3" fillId="0" borderId="0" xfId="0" applyFont="1" applyBorder="1" applyAlignment="1"/>
    <xf numFmtId="20" fontId="3" fillId="0" borderId="0" xfId="0" applyNumberFormat="1" applyFont="1"/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2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3" xfId="0" applyFont="1" applyBorder="1" applyAlignment="1"/>
    <xf numFmtId="0" fontId="0" fillId="0" borderId="0" xfId="0" applyBorder="1"/>
    <xf numFmtId="0" fontId="3" fillId="0" borderId="24" xfId="0" applyFont="1" applyBorder="1" applyAlignment="1">
      <alignment horizontal="left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49" fontId="3" fillId="0" borderId="25" xfId="0" applyNumberFormat="1" applyFont="1" applyBorder="1" applyAlignment="1">
      <alignment horizontal="center" wrapText="1"/>
    </xf>
    <xf numFmtId="49" fontId="0" fillId="0" borderId="26" xfId="0" applyNumberFormat="1" applyFont="1" applyBorder="1" applyAlignment="1">
      <alignment horizontal="center" wrapText="1"/>
    </xf>
    <xf numFmtId="49" fontId="0" fillId="0" borderId="27" xfId="0" applyNumberFormat="1" applyFont="1" applyBorder="1" applyAlignment="1">
      <alignment horizontal="center" wrapText="1"/>
    </xf>
    <xf numFmtId="49" fontId="0" fillId="0" borderId="0" xfId="0" applyNumberFormat="1" applyFont="1" applyBorder="1" applyAlignment="1">
      <alignment horizontal="center" wrapText="1"/>
    </xf>
    <xf numFmtId="164" fontId="3" fillId="2" borderId="2" xfId="0" applyNumberFormat="1" applyFont="1" applyFill="1" applyBorder="1"/>
    <xf numFmtId="164" fontId="0" fillId="0" borderId="0" xfId="0" applyNumberFormat="1" applyBorder="1"/>
    <xf numFmtId="0" fontId="3" fillId="0" borderId="0" xfId="0" applyFont="1" applyFill="1" applyBorder="1" applyAlignment="1">
      <alignment horizontal="left" wrapText="1"/>
    </xf>
    <xf numFmtId="164" fontId="3" fillId="2" borderId="28" xfId="0" applyNumberFormat="1" applyFont="1" applyFill="1" applyBorder="1" applyAlignment="1">
      <alignment horizontal="left" wrapText="1"/>
    </xf>
    <xf numFmtId="166" fontId="3" fillId="0" borderId="29" xfId="0" applyNumberFormat="1" applyFont="1" applyBorder="1" applyAlignment="1">
      <alignment horizontal="left"/>
    </xf>
    <xf numFmtId="20" fontId="3" fillId="0" borderId="0" xfId="0" applyNumberFormat="1" applyFont="1" applyBorder="1"/>
    <xf numFmtId="0" fontId="4" fillId="0" borderId="9" xfId="0" applyFont="1" applyBorder="1"/>
    <xf numFmtId="0" fontId="4" fillId="0" borderId="0" xfId="0" applyFont="1" applyBorder="1"/>
    <xf numFmtId="0" fontId="3" fillId="0" borderId="30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horizontal="right" wrapText="1" indent="1"/>
    </xf>
    <xf numFmtId="0" fontId="3" fillId="0" borderId="3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right" inden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right" wrapText="1" indent="1"/>
    </xf>
    <xf numFmtId="0" fontId="0" fillId="0" borderId="11" xfId="0" applyFill="1" applyBorder="1"/>
    <xf numFmtId="0" fontId="3" fillId="0" borderId="1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32" xfId="3" applyFont="1" applyBorder="1"/>
    <xf numFmtId="0" fontId="4" fillId="0" borderId="32" xfId="3" applyFont="1" applyBorder="1" applyAlignment="1">
      <alignment horizontal="center"/>
    </xf>
    <xf numFmtId="0" fontId="4" fillId="0" borderId="11" xfId="3" applyFont="1" applyBorder="1"/>
    <xf numFmtId="0" fontId="4" fillId="0" borderId="11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0" xfId="3" applyFont="1"/>
    <xf numFmtId="167" fontId="3" fillId="0" borderId="0" xfId="3" applyNumberFormat="1" applyFont="1" applyAlignment="1">
      <alignment horizontal="center" vertical="center"/>
    </xf>
    <xf numFmtId="0" fontId="3" fillId="0" borderId="1" xfId="3" applyFont="1" applyBorder="1"/>
    <xf numFmtId="167" fontId="3" fillId="0" borderId="1" xfId="3" applyNumberFormat="1" applyFont="1" applyBorder="1" applyAlignment="1">
      <alignment horizontal="center" vertical="center"/>
    </xf>
    <xf numFmtId="0" fontId="4" fillId="0" borderId="0" xfId="3" applyFont="1" applyAlignment="1">
      <alignment horizontal="left" vertical="center" indent="4"/>
    </xf>
    <xf numFmtId="0" fontId="3" fillId="0" borderId="2" xfId="3" applyFont="1" applyBorder="1"/>
    <xf numFmtId="167" fontId="3" fillId="0" borderId="2" xfId="3" applyNumberFormat="1" applyFont="1" applyBorder="1" applyAlignment="1">
      <alignment horizontal="center" vertical="center"/>
    </xf>
    <xf numFmtId="0" fontId="4" fillId="0" borderId="35" xfId="3" applyFont="1" applyBorder="1" applyAlignment="1">
      <alignment horizontal="left" vertical="center" indent="4"/>
    </xf>
    <xf numFmtId="0" fontId="4" fillId="0" borderId="35" xfId="3" applyFont="1" applyBorder="1" applyAlignment="1">
      <alignment horizontal="center" vertical="center"/>
    </xf>
    <xf numFmtId="167" fontId="4" fillId="0" borderId="35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right" wrapText="1" indent="1"/>
    </xf>
    <xf numFmtId="0" fontId="3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Fill="1" applyBorder="1" applyAlignment="1">
      <alignment horizontal="center" wrapText="1"/>
    </xf>
    <xf numFmtId="165" fontId="0" fillId="0" borderId="0" xfId="0" applyNumberFormat="1"/>
    <xf numFmtId="167" fontId="0" fillId="0" borderId="0" xfId="0" applyNumberFormat="1"/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/>
    </xf>
    <xf numFmtId="167" fontId="3" fillId="3" borderId="14" xfId="0" applyNumberFormat="1" applyFont="1" applyFill="1" applyBorder="1"/>
    <xf numFmtId="167" fontId="3" fillId="4" borderId="14" xfId="0" applyNumberFormat="1" applyFont="1" applyFill="1" applyBorder="1"/>
    <xf numFmtId="167" fontId="3" fillId="4" borderId="13" xfId="0" applyNumberFormat="1" applyFont="1" applyFill="1" applyBorder="1"/>
    <xf numFmtId="0" fontId="3" fillId="0" borderId="23" xfId="0" applyFont="1" applyBorder="1"/>
    <xf numFmtId="0" fontId="3" fillId="3" borderId="0" xfId="0" applyFont="1" applyFill="1" applyBorder="1"/>
    <xf numFmtId="165" fontId="3" fillId="4" borderId="0" xfId="0" applyNumberFormat="1" applyFont="1" applyFill="1" applyBorder="1"/>
    <xf numFmtId="165" fontId="3" fillId="4" borderId="11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36" xfId="0" applyFont="1" applyBorder="1"/>
    <xf numFmtId="166" fontId="3" fillId="0" borderId="43" xfId="0" applyNumberFormat="1" applyFont="1" applyBorder="1" applyAlignment="1">
      <alignment horizontal="left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3" fillId="0" borderId="48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43" fontId="3" fillId="0" borderId="0" xfId="2" applyFont="1"/>
    <xf numFmtId="0" fontId="3" fillId="5" borderId="5" xfId="0" applyFont="1" applyFill="1" applyBorder="1" applyAlignment="1">
      <alignment horizontal="left" wrapText="1"/>
    </xf>
    <xf numFmtId="167" fontId="3" fillId="5" borderId="36" xfId="0" applyNumberFormat="1" applyFont="1" applyFill="1" applyBorder="1" applyAlignment="1">
      <alignment horizontal="right" wrapText="1"/>
    </xf>
    <xf numFmtId="0" fontId="3" fillId="5" borderId="9" xfId="0" applyFont="1" applyFill="1" applyBorder="1" applyAlignment="1">
      <alignment horizontal="left" wrapText="1"/>
    </xf>
    <xf numFmtId="167" fontId="3" fillId="5" borderId="14" xfId="0" applyNumberFormat="1" applyFont="1" applyFill="1" applyBorder="1" applyAlignment="1">
      <alignment horizontal="right" wrapText="1"/>
    </xf>
    <xf numFmtId="0" fontId="3" fillId="5" borderId="9" xfId="0" applyFont="1" applyFill="1" applyBorder="1"/>
    <xf numFmtId="167" fontId="3" fillId="5" borderId="14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left" wrapText="1"/>
    </xf>
    <xf numFmtId="43" fontId="3" fillId="5" borderId="13" xfId="2" applyFont="1" applyFill="1" applyBorder="1"/>
    <xf numFmtId="0" fontId="4" fillId="0" borderId="0" xfId="0" applyFont="1"/>
    <xf numFmtId="0" fontId="3" fillId="0" borderId="0" xfId="3" applyFont="1" applyBorder="1" applyAlignment="1">
      <alignment horizontal="left"/>
    </xf>
    <xf numFmtId="167" fontId="3" fillId="0" borderId="0" xfId="1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3" fillId="0" borderId="6" xfId="0" applyFont="1" applyFill="1" applyBorder="1" applyAlignment="1">
      <alignment horizontal="left" wrapText="1"/>
    </xf>
    <xf numFmtId="164" fontId="3" fillId="0" borderId="6" xfId="0" applyNumberFormat="1" applyFont="1" applyFill="1" applyBorder="1" applyAlignment="1">
      <alignment horizontal="left" wrapText="1"/>
    </xf>
    <xf numFmtId="166" fontId="3" fillId="0" borderId="6" xfId="0" applyNumberFormat="1" applyFont="1" applyFill="1" applyBorder="1" applyAlignment="1">
      <alignment horizontal="left"/>
    </xf>
    <xf numFmtId="167" fontId="3" fillId="0" borderId="6" xfId="1" applyNumberFormat="1" applyFont="1" applyFill="1" applyBorder="1" applyAlignment="1">
      <alignment horizontal="left" wrapText="1"/>
    </xf>
    <xf numFmtId="165" fontId="3" fillId="0" borderId="6" xfId="0" applyNumberFormat="1" applyFont="1" applyFill="1" applyBorder="1" applyAlignment="1">
      <alignment horizontal="left" wrapText="1"/>
    </xf>
    <xf numFmtId="0" fontId="0" fillId="6" borderId="0" xfId="0" applyFill="1" applyBorder="1"/>
    <xf numFmtId="164" fontId="0" fillId="6" borderId="0" xfId="0" applyNumberFormat="1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0" fillId="6" borderId="11" xfId="0" applyFill="1" applyBorder="1"/>
    <xf numFmtId="164" fontId="0" fillId="6" borderId="11" xfId="0" applyNumberFormat="1" applyFill="1" applyBorder="1"/>
    <xf numFmtId="2" fontId="0" fillId="6" borderId="11" xfId="0" applyNumberFormat="1" applyFill="1" applyBorder="1"/>
    <xf numFmtId="1" fontId="0" fillId="6" borderId="13" xfId="0" applyNumberFormat="1" applyFill="1" applyBorder="1"/>
    <xf numFmtId="0" fontId="2" fillId="0" borderId="15" xfId="0" applyFont="1" applyBorder="1"/>
    <xf numFmtId="0" fontId="2" fillId="0" borderId="23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3" fillId="0" borderId="1" xfId="0" applyFont="1" applyBorder="1" applyAlignment="1">
      <alignment horizontal="left"/>
    </xf>
    <xf numFmtId="0" fontId="3" fillId="0" borderId="38" xfId="0" applyFont="1" applyBorder="1" applyAlignment="1"/>
    <xf numFmtId="1" fontId="3" fillId="2" borderId="2" xfId="0" applyNumberFormat="1" applyFont="1" applyFill="1" applyBorder="1" applyAlignment="1"/>
    <xf numFmtId="14" fontId="3" fillId="2" borderId="1" xfId="0" applyNumberFormat="1" applyFont="1" applyFill="1" applyBorder="1" applyAlignment="1"/>
    <xf numFmtId="18" fontId="3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164" fontId="3" fillId="2" borderId="1" xfId="0" applyNumberFormat="1" applyFont="1" applyFill="1" applyBorder="1"/>
    <xf numFmtId="0" fontId="0" fillId="2" borderId="31" xfId="0" applyFill="1" applyBorder="1"/>
    <xf numFmtId="0" fontId="0" fillId="2" borderId="1" xfId="0" applyFill="1" applyBorder="1"/>
    <xf numFmtId="0" fontId="3" fillId="7" borderId="11" xfId="0" applyFont="1" applyFill="1" applyBorder="1" applyAlignment="1"/>
    <xf numFmtId="164" fontId="3" fillId="7" borderId="2" xfId="0" applyNumberFormat="1" applyFont="1" applyFill="1" applyBorder="1" applyAlignment="1"/>
    <xf numFmtId="1" fontId="3" fillId="7" borderId="2" xfId="0" applyNumberFormat="1" applyFont="1" applyFill="1" applyBorder="1" applyAlignment="1"/>
    <xf numFmtId="164" fontId="3" fillId="7" borderId="11" xfId="0" applyNumberFormat="1" applyFont="1" applyFill="1" applyBorder="1" applyAlignment="1"/>
    <xf numFmtId="167" fontId="3" fillId="7" borderId="28" xfId="1" applyNumberFormat="1" applyFont="1" applyFill="1" applyBorder="1" applyAlignment="1">
      <alignment horizontal="left" wrapText="1"/>
    </xf>
    <xf numFmtId="164" fontId="3" fillId="7" borderId="28" xfId="0" applyNumberFormat="1" applyFont="1" applyFill="1" applyBorder="1" applyAlignment="1">
      <alignment horizontal="left" wrapText="1"/>
    </xf>
    <xf numFmtId="167" fontId="3" fillId="7" borderId="44" xfId="1" applyNumberFormat="1" applyFont="1" applyFill="1" applyBorder="1" applyAlignment="1">
      <alignment horizontal="left" wrapText="1"/>
    </xf>
    <xf numFmtId="164" fontId="3" fillId="7" borderId="44" xfId="0" applyNumberFormat="1" applyFont="1" applyFill="1" applyBorder="1" applyAlignment="1">
      <alignment horizontal="left" wrapText="1"/>
    </xf>
    <xf numFmtId="167" fontId="3" fillId="7" borderId="0" xfId="1" applyNumberFormat="1" applyFont="1" applyFill="1" applyBorder="1"/>
    <xf numFmtId="167" fontId="3" fillId="7" borderId="14" xfId="0" applyNumberFormat="1" applyFont="1" applyFill="1" applyBorder="1"/>
    <xf numFmtId="167" fontId="3" fillId="7" borderId="1" xfId="1" applyNumberFormat="1" applyFont="1" applyFill="1" applyBorder="1"/>
    <xf numFmtId="167" fontId="3" fillId="7" borderId="12" xfId="0" applyNumberFormat="1" applyFont="1" applyFill="1" applyBorder="1"/>
    <xf numFmtId="167" fontId="3" fillId="7" borderId="11" xfId="1" applyNumberFormat="1" applyFont="1" applyFill="1" applyBorder="1"/>
    <xf numFmtId="0" fontId="0" fillId="7" borderId="13" xfId="0" applyFill="1" applyBorder="1" applyAlignment="1">
      <alignment horizontal="center" vertical="center"/>
    </xf>
    <xf numFmtId="2" fontId="3" fillId="2" borderId="1" xfId="0" applyNumberFormat="1" applyFont="1" applyFill="1" applyBorder="1" applyAlignment="1"/>
    <xf numFmtId="164" fontId="3" fillId="7" borderId="3" xfId="0" applyNumberFormat="1" applyFont="1" applyFill="1" applyBorder="1"/>
    <xf numFmtId="2" fontId="2" fillId="2" borderId="15" xfId="0" applyNumberFormat="1" applyFont="1" applyFill="1" applyBorder="1" applyAlignment="1">
      <alignment horizontal="center" wrapText="1"/>
    </xf>
    <xf numFmtId="167" fontId="3" fillId="7" borderId="14" xfId="0" applyNumberFormat="1" applyFont="1" applyFill="1" applyBorder="1" applyAlignment="1">
      <alignment horizontal="right"/>
    </xf>
    <xf numFmtId="2" fontId="3" fillId="2" borderId="28" xfId="0" applyNumberFormat="1" applyFont="1" applyFill="1" applyBorder="1" applyAlignment="1">
      <alignment horizontal="left" wrapText="1"/>
    </xf>
    <xf numFmtId="2" fontId="3" fillId="2" borderId="21" xfId="0" applyNumberFormat="1" applyFont="1" applyFill="1" applyBorder="1" applyAlignment="1">
      <alignment horizontal="left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42" xfId="0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22" xfId="0" applyFont="1" applyFill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4" fillId="0" borderId="22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4" fillId="0" borderId="15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3" fillId="0" borderId="4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left"/>
    </xf>
    <xf numFmtId="0" fontId="0" fillId="0" borderId="15" xfId="0" applyBorder="1" applyAlignment="1"/>
    <xf numFmtId="0" fontId="3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 indent="4"/>
    </xf>
    <xf numFmtId="167" fontId="3" fillId="0" borderId="34" xfId="3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4" fillId="0" borderId="6" xfId="3" applyFont="1" applyBorder="1" applyAlignment="1">
      <alignment horizontal="left" vertical="center" wrapText="1" indent="4"/>
    </xf>
    <xf numFmtId="0" fontId="0" fillId="0" borderId="0" xfId="0" applyAlignment="1">
      <alignment horizontal="left" vertical="center" wrapText="1" indent="4"/>
    </xf>
    <xf numFmtId="167" fontId="3" fillId="0" borderId="6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3" fillId="7" borderId="19" xfId="0" applyNumberFormat="1" applyFont="1" applyFill="1" applyBorder="1" applyAlignment="1">
      <alignment horizontal="left" wrapText="1"/>
    </xf>
    <xf numFmtId="169" fontId="3" fillId="7" borderId="45" xfId="0" applyNumberFormat="1" applyFont="1" applyFill="1" applyBorder="1" applyAlignment="1">
      <alignment horizontal="left" wrapText="1"/>
    </xf>
    <xf numFmtId="166" fontId="3" fillId="7" borderId="2" xfId="0" applyNumberFormat="1" applyFont="1" applyFill="1" applyBorder="1"/>
    <xf numFmtId="10" fontId="3" fillId="7" borderId="2" xfId="1" applyNumberFormat="1" applyFont="1" applyFill="1" applyBorder="1"/>
  </cellXfs>
  <cellStyles count="4">
    <cellStyle name="Comma" xfId="2" builtinId="3"/>
    <cellStyle name="Normal" xfId="0" builtinId="0"/>
    <cellStyle name="Normal 2" xfId="3" xr:uid="{7DC06010-A322-4594-B2B6-E84C1A3D5CE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Grain size distribution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breakdown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xVal>
            <c:numRef>
              <c:f>'Data Sheet'!$C$53:$C$57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5.2999999999999999E-2</c:v>
                </c:pt>
                <c:pt idx="3" formatCode="0.0000">
                  <c:v>3.2351029156364192E-3</c:v>
                </c:pt>
                <c:pt idx="4" formatCode="0.0000">
                  <c:v>1.4817308562780425E-3</c:v>
                </c:pt>
              </c:numCache>
            </c:numRef>
          </c:xVal>
          <c:yVal>
            <c:numRef>
              <c:f>'Data Sheet'!$D$53:$D$57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0.41985417795479762</c:v>
                </c:pt>
                <c:pt idx="3">
                  <c:v>0.13649148698868685</c:v>
                </c:pt>
                <c:pt idx="4">
                  <c:v>0.11121528569448558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5-4EB9-B632-20F246FC6894}"/>
            </c:ext>
          </c:extLst>
        </c:ser>
        <c:ser>
          <c:idx val="1"/>
          <c:order val="1"/>
          <c:tx>
            <c:v>silt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data'!$A$3:$A$4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'Dummy data'!$B$3:$B$4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5-4EB9-B632-20F246FC6894}"/>
            </c:ext>
          </c:extLst>
        </c:ser>
        <c:ser>
          <c:idx val="2"/>
          <c:order val="2"/>
          <c:tx>
            <c:v>clay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data'!$A$8:$A$9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xVal>
          <c:yVal>
            <c:numRef>
              <c:f>'Dummy data'!$B$8:$B$9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5-4EB9-B632-20F246FC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0272"/>
        <c:axId val="259696464"/>
      </c:scatterChart>
      <c:valAx>
        <c:axId val="260020272"/>
        <c:scaling>
          <c:logBase val="10"/>
          <c:orientation val="minMax"/>
          <c:max val="1.0000000000000002E-2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Particle size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259696464"/>
        <c:crosses val="autoZero"/>
        <c:crossBetween val="midCat"/>
      </c:valAx>
      <c:valAx>
        <c:axId val="259696464"/>
        <c:scaling>
          <c:orientation val="minMax"/>
          <c:max val="0.12200000000000001"/>
          <c:min val="0.11500000000000002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Cumulative % passing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60020272"/>
        <c:crossesAt val="1.0000000000000003E-4"/>
        <c:crossBetween val="midCat"/>
        <c:majorUnit val="1.0000000000000002E-3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Grain size distribution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breakdown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xVal>
            <c:numRef>
              <c:f>'Data Sheet'!$C$53:$C$57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5.2999999999999999E-2</c:v>
                </c:pt>
                <c:pt idx="3" formatCode="0.0000">
                  <c:v>3.2351029156364192E-3</c:v>
                </c:pt>
                <c:pt idx="4" formatCode="0.0000">
                  <c:v>1.4817308562780425E-3</c:v>
                </c:pt>
              </c:numCache>
            </c:numRef>
          </c:xVal>
          <c:yVal>
            <c:numRef>
              <c:f>'Data Sheet'!$D$53:$D$57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0.41985417795479762</c:v>
                </c:pt>
                <c:pt idx="3">
                  <c:v>0.13649148698868685</c:v>
                </c:pt>
                <c:pt idx="4">
                  <c:v>0.11121528569448558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E-4914-87C1-CC2642E6633D}"/>
            </c:ext>
          </c:extLst>
        </c:ser>
        <c:ser>
          <c:idx val="1"/>
          <c:order val="1"/>
          <c:tx>
            <c:v>silt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data'!$A$3:$A$4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'Dummy data'!$B$3:$B$4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E-4914-87C1-CC2642E6633D}"/>
            </c:ext>
          </c:extLst>
        </c:ser>
        <c:ser>
          <c:idx val="2"/>
          <c:order val="2"/>
          <c:tx>
            <c:v>clay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data'!$A$8:$A$9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xVal>
          <c:yVal>
            <c:numRef>
              <c:f>'Dummy data'!$B$8:$B$9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E-4914-87C1-CC2642E6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0272"/>
        <c:axId val="259696464"/>
      </c:scatterChart>
      <c:valAx>
        <c:axId val="260020272"/>
        <c:scaling>
          <c:logBase val="10"/>
          <c:orientation val="minMax"/>
          <c:max val="1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Particle size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259696464"/>
        <c:crosses val="autoZero"/>
        <c:crossBetween val="midCat"/>
      </c:valAx>
      <c:valAx>
        <c:axId val="259696464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Cumulative 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60020272"/>
        <c:crossesAt val="1.0000000000000003E-4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Grain size distribution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breakdown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xVal>
            <c:numRef>
              <c:f>'Data Sheet'!$C$53:$C$57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5.2999999999999999E-2</c:v>
                </c:pt>
                <c:pt idx="3" formatCode="0.0000">
                  <c:v>3.2351029156364192E-3</c:v>
                </c:pt>
                <c:pt idx="4" formatCode="0.0000">
                  <c:v>1.4817308562780425E-3</c:v>
                </c:pt>
              </c:numCache>
            </c:numRef>
          </c:xVal>
          <c:yVal>
            <c:numRef>
              <c:f>'Data Sheet'!$D$53:$D$57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0.41985417795479762</c:v>
                </c:pt>
                <c:pt idx="3">
                  <c:v>0.13649148698868685</c:v>
                </c:pt>
                <c:pt idx="4">
                  <c:v>0.11121528569448558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B-4430-A156-B8CA2F3C1478}"/>
            </c:ext>
          </c:extLst>
        </c:ser>
        <c:ser>
          <c:idx val="1"/>
          <c:order val="1"/>
          <c:tx>
            <c:v>silt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data'!$A$3:$A$4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'Dummy data'!$B$3:$B$4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A-44EC-A6BA-0BCF7E14B94F}"/>
            </c:ext>
          </c:extLst>
        </c:ser>
        <c:ser>
          <c:idx val="2"/>
          <c:order val="2"/>
          <c:tx>
            <c:v>clay cutoff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'Dummy data'!$A$8:$A$9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xVal>
          <c:yVal>
            <c:numRef>
              <c:f>'Dummy data'!$B$8:$B$9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A-44EC-A6BA-0BCF7E14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0272"/>
        <c:axId val="259696464"/>
      </c:scatterChart>
      <c:valAx>
        <c:axId val="260020272"/>
        <c:scaling>
          <c:logBase val="10"/>
          <c:orientation val="minMax"/>
          <c:max val="1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Particle size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259696464"/>
        <c:crosses val="autoZero"/>
        <c:crossBetween val="midCat"/>
      </c:valAx>
      <c:valAx>
        <c:axId val="25969646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Cumulative 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60020272"/>
        <c:crossesAt val="1.0000000000000003E-4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190500</xdr:rowOff>
    </xdr:from>
    <xdr:to>
      <xdr:col>14</xdr:col>
      <xdr:colOff>316608</xdr:colOff>
      <xdr:row>69</xdr:row>
      <xdr:rowOff>81071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6C7BB5-4C7B-4DF3-BB2F-8F0D528A6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19010</xdr:colOff>
      <xdr:row>42</xdr:row>
      <xdr:rowOff>176892</xdr:rowOff>
    </xdr:from>
    <xdr:to>
      <xdr:col>27</xdr:col>
      <xdr:colOff>607361</xdr:colOff>
      <xdr:row>69</xdr:row>
      <xdr:rowOff>13035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AB0E6-43F9-4E41-A084-394610C8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57604</xdr:colOff>
      <xdr:row>18</xdr:row>
      <xdr:rowOff>171450</xdr:rowOff>
    </xdr:from>
    <xdr:to>
      <xdr:col>5</xdr:col>
      <xdr:colOff>609600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3E68B-56C1-47AB-8658-4CE7CEC3C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m20/Box%20Sync/PSU2019-present/A-%20Infield%20Soil%20PhD/Data%20and%20lab%20methods/Particle%20size%20analysis/Equipment%20and%20glassware%20calibration/Calgon%20solution%20rec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Batch number</v>
          </cell>
        </row>
        <row r="2">
          <cell r="A2">
            <v>1</v>
          </cell>
          <cell r="B2">
            <v>43604</v>
          </cell>
          <cell r="C2">
            <v>1500</v>
          </cell>
          <cell r="D2">
            <v>12.42</v>
          </cell>
          <cell r="E2">
            <v>-0.31969999999999998</v>
          </cell>
          <cell r="F2">
            <v>1</v>
          </cell>
        </row>
        <row r="3">
          <cell r="A3">
            <v>2</v>
          </cell>
          <cell r="B3">
            <v>43617</v>
          </cell>
          <cell r="C3">
            <v>1800</v>
          </cell>
          <cell r="D3">
            <v>13.353</v>
          </cell>
          <cell r="E3">
            <v>-0.36749999999999999</v>
          </cell>
          <cell r="F3">
            <v>1</v>
          </cell>
        </row>
        <row r="4">
          <cell r="A4">
            <v>3</v>
          </cell>
          <cell r="B4">
            <v>43618</v>
          </cell>
          <cell r="C4">
            <v>1800</v>
          </cell>
          <cell r="D4">
            <v>10.919</v>
          </cell>
          <cell r="E4">
            <v>-0.17960000000000001</v>
          </cell>
          <cell r="F4">
            <v>1</v>
          </cell>
        </row>
        <row r="5">
          <cell r="A5">
            <v>4</v>
          </cell>
          <cell r="B5">
            <v>43625</v>
          </cell>
          <cell r="C5">
            <v>1800</v>
          </cell>
        </row>
        <row r="6">
          <cell r="B6"/>
        </row>
        <row r="7">
          <cell r="B7"/>
        </row>
        <row r="8">
          <cell r="B8"/>
        </row>
        <row r="9">
          <cell r="B9"/>
        </row>
        <row r="10">
          <cell r="B10"/>
        </row>
        <row r="11">
          <cell r="B11"/>
        </row>
        <row r="12">
          <cell r="B12"/>
        </row>
        <row r="13">
          <cell r="B13"/>
        </row>
        <row r="14">
          <cell r="B14"/>
        </row>
        <row r="15">
          <cell r="B1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ECC5-7E7F-44E7-9061-253D834BD727}">
  <dimension ref="B1:R58"/>
  <sheetViews>
    <sheetView tabSelected="1" topLeftCell="A41" zoomScale="70" zoomScaleNormal="70" workbookViewId="0">
      <selection activeCell="D46" sqref="D46"/>
    </sheetView>
  </sheetViews>
  <sheetFormatPr defaultRowHeight="14.5" x14ac:dyDescent="0.35"/>
  <cols>
    <col min="1" max="1" width="1.1796875" customWidth="1"/>
    <col min="2" max="2" width="11.26953125" customWidth="1"/>
    <col min="3" max="3" width="24.26953125" bestFit="1" customWidth="1"/>
    <col min="4" max="4" width="16.26953125" customWidth="1"/>
    <col min="5" max="5" width="25.81640625" bestFit="1" customWidth="1"/>
    <col min="6" max="6" width="20.1796875" bestFit="1" customWidth="1"/>
    <col min="7" max="7" width="14" bestFit="1" customWidth="1"/>
    <col min="8" max="8" width="16.7265625" customWidth="1"/>
    <col min="9" max="9" width="5.81640625" bestFit="1" customWidth="1"/>
    <col min="10" max="10" width="19.81640625" bestFit="1" customWidth="1"/>
  </cols>
  <sheetData>
    <row r="1" spans="2:18" ht="15" thickBot="1" x14ac:dyDescent="0.4"/>
    <row r="2" spans="2:18" ht="15" thickBot="1" x14ac:dyDescent="0.4">
      <c r="B2" s="171" t="s">
        <v>24</v>
      </c>
      <c r="C2" s="176"/>
      <c r="D2" s="176"/>
      <c r="E2" s="176"/>
      <c r="F2" s="177"/>
    </row>
    <row r="3" spans="2:18" x14ac:dyDescent="0.35">
      <c r="B3" s="25" t="s">
        <v>81</v>
      </c>
      <c r="C3" s="5"/>
      <c r="D3" s="5"/>
      <c r="E3" s="136">
        <v>44285</v>
      </c>
      <c r="F3" s="26"/>
      <c r="G3" s="5"/>
      <c r="H3" s="5"/>
      <c r="I3" s="5"/>
      <c r="J3" s="5"/>
      <c r="K3" s="4"/>
      <c r="L3" s="1"/>
      <c r="M3" s="1"/>
      <c r="N3" s="1"/>
      <c r="O3" s="1"/>
      <c r="P3" s="1"/>
      <c r="Q3" s="1"/>
      <c r="R3" s="1"/>
    </row>
    <row r="4" spans="2:18" x14ac:dyDescent="0.35">
      <c r="B4" s="25" t="s">
        <v>82</v>
      </c>
      <c r="C4" s="5"/>
      <c r="D4" s="5"/>
      <c r="E4" s="137">
        <v>0.64444444444444449</v>
      </c>
      <c r="F4" s="26"/>
      <c r="G4" s="5"/>
      <c r="H4" s="5"/>
      <c r="I4" s="5"/>
      <c r="J4" s="5"/>
      <c r="K4" s="4"/>
      <c r="L4" s="1"/>
      <c r="M4" s="1"/>
      <c r="N4" s="1"/>
      <c r="O4" s="1"/>
      <c r="P4" s="1"/>
      <c r="Q4" s="1"/>
      <c r="R4" s="1"/>
    </row>
    <row r="5" spans="2:18" x14ac:dyDescent="0.35">
      <c r="B5" s="25" t="s">
        <v>0</v>
      </c>
      <c r="C5" s="13"/>
      <c r="D5" s="13"/>
      <c r="E5" s="138" t="s">
        <v>94</v>
      </c>
      <c r="F5" s="26"/>
    </row>
    <row r="6" spans="2:18" x14ac:dyDescent="0.35">
      <c r="B6" s="25" t="s">
        <v>30</v>
      </c>
      <c r="C6" s="13"/>
      <c r="D6" s="13"/>
      <c r="E6" s="157">
        <v>49.521000000000001</v>
      </c>
      <c r="F6" s="26"/>
    </row>
    <row r="7" spans="2:18" ht="17" thickBot="1" x14ac:dyDescent="0.4">
      <c r="B7" s="27" t="s">
        <v>92</v>
      </c>
      <c r="C7" s="16"/>
      <c r="D7" s="16"/>
      <c r="E7" s="143">
        <v>2.7</v>
      </c>
      <c r="F7" s="29"/>
      <c r="G7" s="13"/>
      <c r="H7" s="13"/>
      <c r="I7" s="13"/>
      <c r="J7" s="13"/>
      <c r="K7" s="1"/>
      <c r="L7" s="1"/>
      <c r="M7" s="1"/>
      <c r="N7" s="1"/>
      <c r="O7" s="1"/>
      <c r="P7" s="1"/>
      <c r="Q7" s="1"/>
      <c r="R7" s="1"/>
    </row>
    <row r="8" spans="2:18" ht="15" thickBot="1" x14ac:dyDescent="0.4">
      <c r="B8" s="5"/>
      <c r="C8" s="13"/>
      <c r="D8" s="13"/>
      <c r="E8" s="5"/>
      <c r="F8" s="5"/>
      <c r="G8" s="13"/>
      <c r="H8" s="13"/>
      <c r="I8" s="13"/>
      <c r="J8" s="13"/>
      <c r="K8" s="1"/>
      <c r="L8" s="1"/>
      <c r="M8" s="1"/>
      <c r="N8" s="1"/>
      <c r="O8" s="1"/>
      <c r="P8" s="1"/>
      <c r="Q8" s="1"/>
      <c r="R8" s="1"/>
    </row>
    <row r="9" spans="2:18" ht="15" thickBot="1" x14ac:dyDescent="0.4">
      <c r="B9" s="171" t="s">
        <v>28</v>
      </c>
      <c r="C9" s="176"/>
      <c r="D9" s="176"/>
      <c r="E9" s="176"/>
      <c r="F9" s="177"/>
    </row>
    <row r="10" spans="2:18" x14ac:dyDescent="0.35">
      <c r="B10" s="22" t="s">
        <v>29</v>
      </c>
      <c r="C10" s="23"/>
      <c r="D10" s="23"/>
      <c r="E10" s="139">
        <v>6</v>
      </c>
      <c r="F10" s="24"/>
    </row>
    <row r="11" spans="2:18" x14ac:dyDescent="0.35">
      <c r="B11" s="25" t="s">
        <v>91</v>
      </c>
      <c r="C11" s="5"/>
      <c r="D11" s="5"/>
      <c r="E11" s="135">
        <v>2</v>
      </c>
      <c r="F11" s="134"/>
      <c r="G11" s="13"/>
      <c r="H11" s="13"/>
      <c r="I11" s="13"/>
      <c r="J11" s="13"/>
      <c r="K11" s="1"/>
      <c r="L11" s="1"/>
      <c r="M11" s="1"/>
      <c r="N11" s="1"/>
      <c r="O11" s="1"/>
      <c r="P11" s="1"/>
      <c r="Q11" s="1"/>
      <c r="R11" s="1"/>
    </row>
    <row r="12" spans="2:18" ht="16.5" x14ac:dyDescent="0.35">
      <c r="B12" s="25" t="s">
        <v>33</v>
      </c>
      <c r="C12" s="13"/>
      <c r="D12" s="13"/>
      <c r="E12" s="144">
        <f>VLOOKUP(E10,'Sed. cylinder dimensions'!A2:F12,3)</f>
        <v>27.43244241975</v>
      </c>
      <c r="F12" s="134"/>
      <c r="G12" s="13"/>
      <c r="H12" s="13"/>
      <c r="I12" s="13"/>
      <c r="J12" s="13"/>
      <c r="K12" s="1"/>
      <c r="L12" s="1"/>
      <c r="M12" s="1"/>
      <c r="N12" s="1"/>
      <c r="O12" s="1"/>
      <c r="P12" s="1"/>
      <c r="Q12" s="1"/>
      <c r="R12" s="1"/>
    </row>
    <row r="13" spans="2:18" ht="16.5" x14ac:dyDescent="0.35">
      <c r="B13" s="25" t="s">
        <v>89</v>
      </c>
      <c r="C13" s="5"/>
      <c r="D13" s="5"/>
      <c r="E13" s="145">
        <f>VLOOKUP(E10,'Sed. cylinder dimensions'!A2:F13,2)</f>
        <v>1000</v>
      </c>
      <c r="F13" s="134"/>
      <c r="G13" s="13"/>
      <c r="H13" s="13"/>
      <c r="I13" s="13"/>
      <c r="J13" s="13"/>
      <c r="K13" s="1"/>
      <c r="L13" s="1"/>
      <c r="M13" s="1"/>
      <c r="N13" s="1"/>
      <c r="O13" s="1"/>
      <c r="P13" s="1"/>
      <c r="Q13" s="1"/>
      <c r="R13" s="1"/>
    </row>
    <row r="14" spans="2:18" x14ac:dyDescent="0.35">
      <c r="B14" s="25" t="s">
        <v>8</v>
      </c>
      <c r="C14" s="13"/>
      <c r="D14" s="13"/>
      <c r="E14" s="144">
        <f>VLOOKUP($E$11,[1]Sheet1!$A$2:$F$100,6)</f>
        <v>1</v>
      </c>
      <c r="F14" s="134"/>
      <c r="G14" s="13"/>
      <c r="H14" s="13"/>
      <c r="I14" s="13"/>
      <c r="J14" s="13"/>
      <c r="K14" s="1"/>
      <c r="L14" s="1"/>
      <c r="M14" s="1"/>
      <c r="N14" s="1"/>
      <c r="O14" s="1"/>
      <c r="P14" s="1"/>
      <c r="Q14" s="1"/>
      <c r="R14" s="1"/>
    </row>
    <row r="15" spans="2:18" ht="17" x14ac:dyDescent="0.45">
      <c r="B15" s="25" t="s">
        <v>34</v>
      </c>
      <c r="C15" s="5"/>
      <c r="D15" s="5"/>
      <c r="E15" s="144">
        <v>18.899999999999999</v>
      </c>
      <c r="F15" s="134"/>
      <c r="G15" s="13"/>
      <c r="H15" s="13"/>
      <c r="I15" s="13"/>
      <c r="J15" s="13"/>
      <c r="K15" s="1"/>
      <c r="L15" s="1"/>
      <c r="M15" s="1"/>
      <c r="N15" s="1"/>
      <c r="O15" s="1"/>
      <c r="P15" s="1"/>
      <c r="Q15" s="1"/>
      <c r="R15" s="1"/>
    </row>
    <row r="16" spans="2:18" ht="17" x14ac:dyDescent="0.45">
      <c r="B16" s="25" t="s">
        <v>35</v>
      </c>
      <c r="C16" s="5"/>
      <c r="D16" s="5"/>
      <c r="E16" s="144">
        <v>7.9</v>
      </c>
      <c r="F16" s="134"/>
      <c r="G16" s="13"/>
      <c r="H16" s="13"/>
      <c r="I16" s="13"/>
      <c r="J16" s="13"/>
      <c r="K16" s="1"/>
      <c r="L16" s="1"/>
      <c r="M16" s="1"/>
      <c r="N16" s="1"/>
      <c r="O16" s="1"/>
      <c r="P16" s="1"/>
      <c r="Q16" s="1"/>
      <c r="R16" s="1"/>
    </row>
    <row r="17" spans="2:18" ht="17" thickBot="1" x14ac:dyDescent="0.4">
      <c r="B17" s="27" t="s">
        <v>32</v>
      </c>
      <c r="C17" s="28"/>
      <c r="D17" s="28"/>
      <c r="E17" s="146">
        <v>54.1</v>
      </c>
      <c r="F17" s="29"/>
      <c r="G17" s="13"/>
      <c r="H17" s="13"/>
      <c r="I17" s="13"/>
      <c r="J17" s="13"/>
      <c r="K17" s="1"/>
      <c r="L17" s="1"/>
      <c r="M17" s="1"/>
      <c r="N17" s="1"/>
      <c r="O17" s="1"/>
      <c r="P17" s="1"/>
      <c r="Q17" s="1"/>
      <c r="R17" s="1"/>
    </row>
    <row r="18" spans="2:18" ht="15" thickBot="1" x14ac:dyDescent="0.4">
      <c r="B18" s="5"/>
      <c r="C18" s="13"/>
      <c r="D18" s="13"/>
      <c r="E18" s="5"/>
      <c r="F18" s="5"/>
      <c r="G18" s="13"/>
      <c r="H18" s="13"/>
      <c r="I18" s="13"/>
      <c r="J18" s="13"/>
      <c r="K18" s="1"/>
      <c r="L18" s="1"/>
      <c r="M18" s="1"/>
      <c r="N18" s="1"/>
      <c r="O18" s="1"/>
      <c r="P18" s="1"/>
      <c r="Q18" s="1"/>
      <c r="R18" s="1"/>
    </row>
    <row r="19" spans="2:18" ht="15" thickBot="1" x14ac:dyDescent="0.4">
      <c r="B19" s="171" t="s">
        <v>9</v>
      </c>
      <c r="C19" s="170"/>
      <c r="D19" s="170"/>
      <c r="E19" s="170"/>
      <c r="F19" s="17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35">
      <c r="B20" s="14" t="s">
        <v>12</v>
      </c>
      <c r="C20" s="13"/>
      <c r="D20" s="13"/>
      <c r="E20" s="140">
        <v>7.5940000000000003</v>
      </c>
      <c r="F20" s="26"/>
      <c r="G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35">
      <c r="B21" s="14" t="s">
        <v>13</v>
      </c>
      <c r="C21" s="13"/>
      <c r="D21" s="13"/>
      <c r="E21" s="39">
        <v>7.4989999999999997</v>
      </c>
      <c r="F21" s="2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35">
      <c r="B22" s="14" t="s">
        <v>11</v>
      </c>
      <c r="C22" s="13"/>
      <c r="D22" s="13"/>
      <c r="E22" s="196">
        <f>E20-E21</f>
        <v>9.5000000000000639E-2</v>
      </c>
      <c r="F22" s="26"/>
      <c r="G22" s="1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35">
      <c r="B23" s="14" t="s">
        <v>10</v>
      </c>
      <c r="C23" s="13"/>
      <c r="D23" s="13"/>
      <c r="E23" s="197">
        <f>E22/E21</f>
        <v>1.2668355780770855E-2</v>
      </c>
      <c r="F23" s="26"/>
      <c r="G23" s="1"/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</row>
    <row r="24" spans="2:18" ht="15" thickBot="1" x14ac:dyDescent="0.4">
      <c r="B24" s="15" t="s">
        <v>14</v>
      </c>
      <c r="C24" s="16"/>
      <c r="D24" s="16"/>
      <c r="E24" s="158">
        <f>E6/(1+E23)</f>
        <v>48.901498419805108</v>
      </c>
      <c r="F24" s="17"/>
      <c r="G24" s="1"/>
      <c r="H24" s="100"/>
      <c r="I24" s="6"/>
      <c r="J24" s="1"/>
      <c r="K24" s="1"/>
      <c r="L24" s="1"/>
      <c r="M24" s="1"/>
      <c r="N24" s="1"/>
      <c r="O24" s="1"/>
      <c r="P24" s="1"/>
      <c r="Q24" s="1"/>
      <c r="R24" s="1"/>
    </row>
    <row r="25" spans="2:18" ht="15" thickBot="1" x14ac:dyDescent="0.4">
      <c r="B25" s="1"/>
      <c r="C25" s="1"/>
      <c r="D25" s="1"/>
      <c r="E25" s="13"/>
      <c r="F25" s="13"/>
      <c r="G25" s="1"/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</row>
    <row r="26" spans="2:18" ht="16.5" customHeight="1" thickBot="1" x14ac:dyDescent="0.4">
      <c r="B26" s="173" t="s">
        <v>15</v>
      </c>
      <c r="C26" s="174"/>
      <c r="D26" s="174"/>
      <c r="E26" s="174"/>
      <c r="F26" s="174"/>
      <c r="G26" s="174"/>
      <c r="H26" s="175"/>
      <c r="I26" s="8"/>
      <c r="J26" s="9"/>
      <c r="K26" s="1"/>
      <c r="L26" s="1"/>
      <c r="M26" s="1"/>
      <c r="N26" s="1"/>
      <c r="O26" s="1"/>
      <c r="P26" s="1"/>
      <c r="Q26" s="1"/>
      <c r="R26" s="1"/>
    </row>
    <row r="27" spans="2:18" ht="15" customHeight="1" x14ac:dyDescent="0.35">
      <c r="B27" s="178" t="s">
        <v>83</v>
      </c>
      <c r="C27" s="179"/>
      <c r="D27" s="179"/>
      <c r="E27" s="98"/>
      <c r="F27" s="98"/>
      <c r="G27" s="98"/>
      <c r="H27" s="99"/>
      <c r="I27" s="10"/>
      <c r="J27" s="10"/>
      <c r="K27" s="1"/>
      <c r="L27" s="1"/>
      <c r="M27" s="1"/>
      <c r="N27" s="1"/>
      <c r="O27" s="1"/>
      <c r="P27" s="1"/>
      <c r="Q27" s="1"/>
      <c r="R27" s="1"/>
    </row>
    <row r="28" spans="2:18" ht="42" x14ac:dyDescent="0.35">
      <c r="B28" s="95" t="s">
        <v>1</v>
      </c>
      <c r="C28" s="96" t="s">
        <v>3</v>
      </c>
      <c r="D28" s="97" t="s">
        <v>2</v>
      </c>
      <c r="E28" s="7" t="s">
        <v>93</v>
      </c>
      <c r="F28" s="7" t="s">
        <v>7</v>
      </c>
      <c r="G28" s="7" t="s">
        <v>20</v>
      </c>
      <c r="H28" s="18" t="s">
        <v>6</v>
      </c>
      <c r="I28" s="7"/>
      <c r="J28" s="7"/>
      <c r="K28" s="2"/>
      <c r="L28" s="1"/>
      <c r="M28" s="1"/>
      <c r="N28" s="1"/>
      <c r="O28" s="1"/>
      <c r="P28" s="1"/>
      <c r="Q28" s="1"/>
      <c r="R28" s="1"/>
    </row>
    <row r="29" spans="2:18" x14ac:dyDescent="0.35">
      <c r="B29" s="19" t="s">
        <v>16</v>
      </c>
      <c r="C29" s="12" t="s">
        <v>17</v>
      </c>
      <c r="D29" s="12" t="s">
        <v>18</v>
      </c>
      <c r="E29" s="12" t="s">
        <v>18</v>
      </c>
      <c r="F29" s="7" t="s">
        <v>22</v>
      </c>
      <c r="G29" s="7" t="s">
        <v>19</v>
      </c>
      <c r="H29" s="18" t="s">
        <v>21</v>
      </c>
      <c r="I29" s="7"/>
      <c r="J29" s="7"/>
      <c r="K29" s="2"/>
      <c r="L29" s="1"/>
      <c r="M29" s="1"/>
      <c r="N29" s="1"/>
      <c r="O29" s="1"/>
      <c r="P29" s="1"/>
      <c r="Q29" s="1"/>
      <c r="R29" s="1"/>
    </row>
    <row r="30" spans="2:18" ht="23.25" customHeight="1" thickBot="1" x14ac:dyDescent="0.4">
      <c r="B30" s="32" t="s">
        <v>23</v>
      </c>
      <c r="C30" s="33"/>
      <c r="D30" s="33" t="s">
        <v>4</v>
      </c>
      <c r="E30" s="33" t="s">
        <v>5</v>
      </c>
      <c r="F30" s="33" t="s">
        <v>26</v>
      </c>
      <c r="G30" s="33" t="s">
        <v>27</v>
      </c>
      <c r="H30" s="34" t="s">
        <v>31</v>
      </c>
      <c r="I30" s="7"/>
      <c r="J30" s="7"/>
      <c r="K30" s="2"/>
      <c r="L30" s="1"/>
      <c r="M30" s="1"/>
      <c r="N30" s="1"/>
      <c r="O30" s="1"/>
      <c r="P30" s="1"/>
      <c r="Q30" s="1"/>
      <c r="R30" s="1"/>
    </row>
    <row r="31" spans="2:18" x14ac:dyDescent="0.35">
      <c r="B31" s="31">
        <v>0</v>
      </c>
      <c r="C31" s="35" t="s">
        <v>25</v>
      </c>
      <c r="D31" s="36" t="s">
        <v>25</v>
      </c>
      <c r="E31" s="36" t="s">
        <v>25</v>
      </c>
      <c r="F31" s="36" t="s">
        <v>25</v>
      </c>
      <c r="G31" s="36" t="s">
        <v>25</v>
      </c>
      <c r="H31" s="37" t="s">
        <v>25</v>
      </c>
      <c r="I31" s="11"/>
      <c r="J31" s="38"/>
      <c r="K31" s="1"/>
      <c r="M31" s="3"/>
      <c r="N31" s="1"/>
      <c r="O31" s="1"/>
      <c r="P31" s="1"/>
      <c r="Q31" s="1"/>
      <c r="R31" s="1"/>
    </row>
    <row r="32" spans="2:18" x14ac:dyDescent="0.35">
      <c r="B32" s="20">
        <v>259</v>
      </c>
      <c r="C32" s="42">
        <v>21.5</v>
      </c>
      <c r="D32" s="161">
        <v>13</v>
      </c>
      <c r="E32" s="43">
        <v>6.25</v>
      </c>
      <c r="F32" s="147">
        <f>0.6226*($E$7/($E$7-1))*($E$13/$E$24)*(D32-E32)*(100/1000)*0.01</f>
        <v>0.13649148698868685</v>
      </c>
      <c r="G32" s="148">
        <f>$E$16+((($E$15-$E$16)/(60-(-5)))*(60-D32+$E$14))-($E$17/(2*$E$12))</f>
        <v>15.037018168770548</v>
      </c>
      <c r="H32" s="194">
        <f>(SQRT((18*0.01*G32)/(0.99821*980.7*($E$7-1)*(B32*60))))*10</f>
        <v>3.2351029156364192E-3</v>
      </c>
      <c r="I32" s="11"/>
      <c r="J32" s="11"/>
      <c r="K32" s="1"/>
      <c r="M32" s="1"/>
      <c r="N32" s="1"/>
      <c r="O32" s="1"/>
      <c r="P32" s="1"/>
      <c r="Q32" s="1"/>
      <c r="R32" s="1"/>
    </row>
    <row r="33" spans="2:18" ht="15" thickBot="1" x14ac:dyDescent="0.4">
      <c r="B33" s="21">
        <v>1252</v>
      </c>
      <c r="C33" s="42">
        <v>21.5</v>
      </c>
      <c r="D33" s="162">
        <v>11.75</v>
      </c>
      <c r="E33" s="94">
        <v>6.25</v>
      </c>
      <c r="F33" s="149">
        <f>0.6226*($E$7/($E$7-1))*($E$13/$E$24)*(D33-E33)*(100/1000)*0.01</f>
        <v>0.11121528569448558</v>
      </c>
      <c r="G33" s="150">
        <f>$E$16+((($E$15-$E$16)/(60-(-5)))*(60-D33+$E$14))-($E$17/(2*$E$12))</f>
        <v>15.248556630309011</v>
      </c>
      <c r="H33" s="195">
        <f>(SQRT((18*0.01*G33)/(0.99821*980.7*($E$7-1)*(B33*60))))*10</f>
        <v>1.4817308562780425E-3</v>
      </c>
      <c r="I33" s="11"/>
      <c r="J33" s="11"/>
      <c r="K33" s="1"/>
      <c r="M33" s="1"/>
      <c r="N33" s="1"/>
      <c r="O33" s="1"/>
      <c r="P33" s="1"/>
      <c r="Q33" s="1"/>
      <c r="R33" s="1"/>
    </row>
    <row r="34" spans="2:18" ht="15" thickBot="1" x14ac:dyDescent="0.4">
      <c r="B34" s="115"/>
      <c r="C34" s="116"/>
      <c r="D34" s="115"/>
      <c r="E34" s="117"/>
      <c r="F34" s="118"/>
      <c r="G34" s="116"/>
      <c r="H34" s="119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" thickBot="1" x14ac:dyDescent="0.4">
      <c r="B35" s="169" t="s">
        <v>69</v>
      </c>
      <c r="C35" s="170"/>
      <c r="D35" s="170"/>
      <c r="E35" s="170"/>
      <c r="F35" s="87"/>
      <c r="G35" s="13"/>
      <c r="H35" s="44"/>
      <c r="I35" s="6"/>
      <c r="J35" s="1"/>
      <c r="K35" s="1"/>
      <c r="L35" s="1"/>
      <c r="M35" s="1"/>
      <c r="N35" s="1"/>
      <c r="O35" s="1"/>
      <c r="P35" s="1"/>
      <c r="Q35" s="1"/>
      <c r="R35" s="1"/>
    </row>
    <row r="36" spans="2:18" ht="15" thickBot="1" x14ac:dyDescent="0.4">
      <c r="B36" s="182" t="s">
        <v>36</v>
      </c>
      <c r="C36" s="183"/>
      <c r="D36" s="159"/>
      <c r="E36" s="73"/>
      <c r="F36" s="8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35">
      <c r="B37" s="45" t="s">
        <v>37</v>
      </c>
      <c r="C37" s="46" t="s">
        <v>38</v>
      </c>
      <c r="D37" s="46" t="s">
        <v>39</v>
      </c>
      <c r="E37" s="46" t="s">
        <v>40</v>
      </c>
      <c r="F37" s="93" t="s">
        <v>74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35">
      <c r="B38" s="77" t="s">
        <v>41</v>
      </c>
      <c r="C38" s="75" t="s">
        <v>42</v>
      </c>
      <c r="D38" s="74" t="s">
        <v>43</v>
      </c>
      <c r="E38" s="74" t="s">
        <v>22</v>
      </c>
      <c r="F38" s="78" t="s">
        <v>22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35">
      <c r="B39" s="47">
        <v>5</v>
      </c>
      <c r="C39" s="48">
        <v>4000</v>
      </c>
      <c r="D39" s="141">
        <v>0</v>
      </c>
      <c r="E39" s="151">
        <f t="shared" ref="E39:E40" si="0">D39/$E$24</f>
        <v>0</v>
      </c>
      <c r="F39" s="152">
        <f>1-E39</f>
        <v>1</v>
      </c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x14ac:dyDescent="0.35">
      <c r="B40" s="49">
        <v>10</v>
      </c>
      <c r="C40" s="50">
        <v>2000</v>
      </c>
      <c r="D40" s="141">
        <v>0</v>
      </c>
      <c r="E40" s="151">
        <f t="shared" si="0"/>
        <v>0</v>
      </c>
      <c r="F40" s="152">
        <f>F39-E40</f>
        <v>1</v>
      </c>
      <c r="G40" s="30"/>
    </row>
    <row r="41" spans="2:18" x14ac:dyDescent="0.35">
      <c r="B41" s="79">
        <v>270</v>
      </c>
      <c r="C41" s="76">
        <v>53</v>
      </c>
      <c r="D41" s="142">
        <v>28.37</v>
      </c>
      <c r="E41" s="153">
        <f>D41/$E$24</f>
        <v>0.58014582204520238</v>
      </c>
      <c r="F41" s="154">
        <f>F40-E41</f>
        <v>0.41985417795479762</v>
      </c>
      <c r="G41" s="30"/>
    </row>
    <row r="42" spans="2:18" ht="15" thickBot="1" x14ac:dyDescent="0.4">
      <c r="B42" s="51" t="s">
        <v>59</v>
      </c>
      <c r="C42" s="52" t="s">
        <v>25</v>
      </c>
      <c r="D42" s="53">
        <f>SUM(D39:D41)</f>
        <v>28.37</v>
      </c>
      <c r="E42" s="155">
        <f>SUM(E39:E41)</f>
        <v>0.58014582204520238</v>
      </c>
      <c r="F42" s="156" t="s">
        <v>25</v>
      </c>
      <c r="G42" s="30"/>
    </row>
    <row r="43" spans="2:18" ht="15" thickBot="1" x14ac:dyDescent="0.4">
      <c r="B43" s="41"/>
      <c r="C43" s="41"/>
      <c r="E43" s="40"/>
      <c r="F43" s="30"/>
      <c r="G43" s="30"/>
    </row>
    <row r="44" spans="2:18" ht="15" thickBot="1" x14ac:dyDescent="0.4">
      <c r="C44" s="180" t="s">
        <v>68</v>
      </c>
      <c r="D44" s="181"/>
      <c r="F44" s="30"/>
      <c r="G44" s="30"/>
    </row>
    <row r="45" spans="2:18" x14ac:dyDescent="0.35">
      <c r="C45" s="101" t="s">
        <v>49</v>
      </c>
      <c r="D45" s="102">
        <f>E42</f>
        <v>0.58014582204520238</v>
      </c>
      <c r="E45" s="40"/>
      <c r="F45" s="30"/>
      <c r="G45" s="91"/>
    </row>
    <row r="46" spans="2:18" x14ac:dyDescent="0.35">
      <c r="C46" s="103" t="s">
        <v>55</v>
      </c>
      <c r="D46" s="104">
        <f>1-(D45+D47)</f>
        <v>0.30185417795479763</v>
      </c>
      <c r="E46" s="40"/>
      <c r="F46" s="30"/>
      <c r="G46" s="30"/>
    </row>
    <row r="47" spans="2:18" x14ac:dyDescent="0.35">
      <c r="C47" s="105" t="s">
        <v>57</v>
      </c>
      <c r="D47" s="160">
        <v>0.11799999999999999</v>
      </c>
      <c r="E47" s="30"/>
      <c r="F47" s="30"/>
      <c r="G47" s="92"/>
    </row>
    <row r="48" spans="2:18" x14ac:dyDescent="0.35">
      <c r="C48" s="103" t="s">
        <v>59</v>
      </c>
      <c r="D48" s="106">
        <f>SUM(D45:D47)</f>
        <v>1</v>
      </c>
      <c r="G48" s="30"/>
    </row>
    <row r="49" spans="2:7" ht="15" thickBot="1" x14ac:dyDescent="0.4">
      <c r="C49" s="107" t="s">
        <v>67</v>
      </c>
      <c r="D49" s="108">
        <f>D46/D47</f>
        <v>2.5580862538542175</v>
      </c>
      <c r="G49" s="30"/>
    </row>
    <row r="50" spans="2:7" ht="15" thickBot="1" x14ac:dyDescent="0.4"/>
    <row r="51" spans="2:7" x14ac:dyDescent="0.35">
      <c r="C51" s="167" t="s">
        <v>75</v>
      </c>
      <c r="D51" s="168"/>
    </row>
    <row r="52" spans="2:7" ht="15" thickBot="1" x14ac:dyDescent="0.4">
      <c r="C52" s="82" t="s">
        <v>72</v>
      </c>
      <c r="D52" s="83" t="s">
        <v>70</v>
      </c>
    </row>
    <row r="53" spans="2:7" x14ac:dyDescent="0.35">
      <c r="B53" s="165" t="s">
        <v>73</v>
      </c>
      <c r="C53" s="88">
        <f>C39/1000</f>
        <v>4</v>
      </c>
      <c r="D53" s="84">
        <f>F39</f>
        <v>1</v>
      </c>
    </row>
    <row r="54" spans="2:7" x14ac:dyDescent="0.35">
      <c r="B54" s="166"/>
      <c r="C54" s="88">
        <f>C40/1000</f>
        <v>2</v>
      </c>
      <c r="D54" s="84">
        <f>F40</f>
        <v>1</v>
      </c>
    </row>
    <row r="55" spans="2:7" x14ac:dyDescent="0.35">
      <c r="B55" s="166"/>
      <c r="C55" s="88">
        <f>C41/1000</f>
        <v>5.2999999999999999E-2</v>
      </c>
      <c r="D55" s="84">
        <f t="shared" ref="D55" si="1">F41</f>
        <v>0.41985417795479762</v>
      </c>
    </row>
    <row r="56" spans="2:7" x14ac:dyDescent="0.35">
      <c r="B56" s="163"/>
      <c r="C56" s="89">
        <f t="shared" ref="C56:C57" si="2">H32</f>
        <v>3.2351029156364192E-3</v>
      </c>
      <c r="D56" s="85">
        <f t="shared" ref="D56:D57" si="3">F32</f>
        <v>0.13649148698868685</v>
      </c>
    </row>
    <row r="57" spans="2:7" ht="15" thickBot="1" x14ac:dyDescent="0.4">
      <c r="B57" s="164"/>
      <c r="C57" s="90">
        <f t="shared" si="2"/>
        <v>1.4817308562780425E-3</v>
      </c>
      <c r="D57" s="86">
        <f t="shared" si="3"/>
        <v>0.11121528569448558</v>
      </c>
    </row>
    <row r="58" spans="2:7" x14ac:dyDescent="0.35">
      <c r="B58" s="80"/>
      <c r="C58" s="81"/>
    </row>
  </sheetData>
  <mergeCells count="11">
    <mergeCell ref="B2:F2"/>
    <mergeCell ref="B9:F9"/>
    <mergeCell ref="B27:D27"/>
    <mergeCell ref="C44:D44"/>
    <mergeCell ref="B36:C36"/>
    <mergeCell ref="B56:B57"/>
    <mergeCell ref="B53:B55"/>
    <mergeCell ref="C51:D51"/>
    <mergeCell ref="B35:E35"/>
    <mergeCell ref="B19:F19"/>
    <mergeCell ref="B26:H2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3E37-477B-4124-8A03-A20B4C41AD4B}">
  <dimension ref="A1:F44"/>
  <sheetViews>
    <sheetView view="pageLayout" topLeftCell="A10" zoomScaleNormal="70" workbookViewId="0">
      <selection activeCell="C2" sqref="C2"/>
    </sheetView>
  </sheetViews>
  <sheetFormatPr defaultRowHeight="14.5" x14ac:dyDescent="0.35"/>
  <cols>
    <col min="1" max="1" width="4.81640625" customWidth="1"/>
    <col min="2" max="2" width="20.81640625" bestFit="1" customWidth="1"/>
    <col min="3" max="3" width="19" customWidth="1"/>
    <col min="4" max="4" width="16.81640625" customWidth="1"/>
    <col min="5" max="5" width="18.1796875" customWidth="1"/>
  </cols>
  <sheetData>
    <row r="1" spans="1:6" x14ac:dyDescent="0.35">
      <c r="A1" s="1"/>
      <c r="B1" s="109" t="s">
        <v>44</v>
      </c>
      <c r="C1" s="133" t="str">
        <f>'Data Sheet'!E5</f>
        <v>replication1</v>
      </c>
      <c r="D1" s="54"/>
      <c r="E1" s="54"/>
      <c r="F1" s="1"/>
    </row>
    <row r="2" spans="1:6" x14ac:dyDescent="0.35">
      <c r="A2" s="1"/>
      <c r="B2" s="109" t="s">
        <v>65</v>
      </c>
      <c r="C2" s="1" t="s">
        <v>66</v>
      </c>
      <c r="D2" s="1"/>
      <c r="E2" s="1"/>
      <c r="F2" s="1"/>
    </row>
    <row r="3" spans="1:6" x14ac:dyDescent="0.35">
      <c r="A3" s="1"/>
      <c r="B3" s="1"/>
      <c r="C3" s="1"/>
      <c r="D3" s="1"/>
      <c r="E3" s="1"/>
      <c r="F3" s="1"/>
    </row>
    <row r="4" spans="1:6" ht="15" thickBot="1" x14ac:dyDescent="0.4">
      <c r="A4" s="1"/>
      <c r="B4" s="1"/>
      <c r="C4" s="55"/>
      <c r="D4" s="56"/>
      <c r="E4" s="56"/>
      <c r="F4" s="1"/>
    </row>
    <row r="5" spans="1:6" ht="15" thickTop="1" x14ac:dyDescent="0.35">
      <c r="A5" s="1"/>
      <c r="B5" s="57"/>
      <c r="C5" s="58" t="s">
        <v>45</v>
      </c>
      <c r="D5" s="184" t="s">
        <v>46</v>
      </c>
      <c r="E5" s="185"/>
      <c r="F5" s="1"/>
    </row>
    <row r="6" spans="1:6" ht="15" thickBot="1" x14ac:dyDescent="0.4">
      <c r="A6" s="1"/>
      <c r="B6" s="59"/>
      <c r="C6" s="60"/>
      <c r="D6" s="61" t="s">
        <v>47</v>
      </c>
      <c r="E6" s="61" t="s">
        <v>79</v>
      </c>
      <c r="F6" s="1"/>
    </row>
    <row r="7" spans="1:6" x14ac:dyDescent="0.35">
      <c r="A7" s="1"/>
      <c r="B7" s="190" t="s">
        <v>71</v>
      </c>
      <c r="C7" s="110" t="s">
        <v>80</v>
      </c>
      <c r="D7" s="192">
        <f>SUM(E7:E8)</f>
        <v>0</v>
      </c>
      <c r="E7" s="111">
        <f>'Data Sheet'!E39</f>
        <v>0</v>
      </c>
      <c r="F7" s="1"/>
    </row>
    <row r="8" spans="1:6" x14ac:dyDescent="0.35">
      <c r="A8" s="1"/>
      <c r="B8" s="191"/>
      <c r="C8" s="64" t="s">
        <v>48</v>
      </c>
      <c r="D8" s="193"/>
      <c r="E8" s="65">
        <f>'Data Sheet'!E40</f>
        <v>0</v>
      </c>
      <c r="F8" s="1"/>
    </row>
    <row r="9" spans="1:6" x14ac:dyDescent="0.35">
      <c r="A9" s="1"/>
      <c r="B9" s="186" t="s">
        <v>49</v>
      </c>
      <c r="C9" s="62" t="s">
        <v>50</v>
      </c>
      <c r="D9" s="187" t="e">
        <f>SUM(E9:E13)</f>
        <v>#REF!</v>
      </c>
      <c r="E9" s="63" t="e">
        <f>'Data Sheet'!#REF!</f>
        <v>#REF!</v>
      </c>
      <c r="F9" s="1"/>
    </row>
    <row r="10" spans="1:6" x14ac:dyDescent="0.35">
      <c r="A10" s="1"/>
      <c r="B10" s="186"/>
      <c r="C10" s="62" t="s">
        <v>51</v>
      </c>
      <c r="D10" s="188"/>
      <c r="E10" s="63" t="e">
        <f>'Data Sheet'!#REF!</f>
        <v>#REF!</v>
      </c>
      <c r="F10" s="1"/>
    </row>
    <row r="11" spans="1:6" x14ac:dyDescent="0.35">
      <c r="A11" s="1"/>
      <c r="B11" s="186"/>
      <c r="C11" s="62" t="s">
        <v>52</v>
      </c>
      <c r="D11" s="188"/>
      <c r="E11" s="63" t="e">
        <f>'Data Sheet'!#REF!</f>
        <v>#REF!</v>
      </c>
      <c r="F11" s="1"/>
    </row>
    <row r="12" spans="1:6" x14ac:dyDescent="0.35">
      <c r="A12" s="1"/>
      <c r="B12" s="186"/>
      <c r="C12" s="62" t="s">
        <v>53</v>
      </c>
      <c r="D12" s="188"/>
      <c r="E12" s="63" t="e">
        <f>'Data Sheet'!#REF!</f>
        <v>#REF!</v>
      </c>
      <c r="F12" s="1"/>
    </row>
    <row r="13" spans="1:6" x14ac:dyDescent="0.35">
      <c r="A13" s="1"/>
      <c r="B13" s="186"/>
      <c r="C13" s="64" t="s">
        <v>54</v>
      </c>
      <c r="D13" s="189"/>
      <c r="E13" s="63">
        <f>'Data Sheet'!E41</f>
        <v>0.58014582204520238</v>
      </c>
      <c r="F13" s="1"/>
    </row>
    <row r="14" spans="1:6" x14ac:dyDescent="0.35">
      <c r="A14" s="1"/>
      <c r="B14" s="66" t="s">
        <v>55</v>
      </c>
      <c r="C14" s="67" t="s">
        <v>56</v>
      </c>
      <c r="D14" s="68">
        <f>'Data Sheet'!D46</f>
        <v>0.30185417795479763</v>
      </c>
      <c r="E14" s="68">
        <f>D14</f>
        <v>0.30185417795479763</v>
      </c>
      <c r="F14" s="1"/>
    </row>
    <row r="15" spans="1:6" x14ac:dyDescent="0.35">
      <c r="A15" s="1"/>
      <c r="B15" s="66" t="s">
        <v>57</v>
      </c>
      <c r="C15" s="67" t="s">
        <v>58</v>
      </c>
      <c r="D15" s="68">
        <f>'Data Sheet'!D47</f>
        <v>0.11799999999999999</v>
      </c>
      <c r="E15" s="68">
        <f>D15</f>
        <v>0.11799999999999999</v>
      </c>
      <c r="F15" s="1"/>
    </row>
    <row r="16" spans="1:6" ht="15" thickBot="1" x14ac:dyDescent="0.4">
      <c r="A16" s="1"/>
      <c r="B16" s="69" t="s">
        <v>59</v>
      </c>
      <c r="C16" s="70" t="s">
        <v>25</v>
      </c>
      <c r="D16" s="71" t="e">
        <f>SUM(D7:D15)</f>
        <v>#REF!</v>
      </c>
      <c r="E16" s="71" t="e">
        <f>SUM(E7:E15)</f>
        <v>#REF!</v>
      </c>
      <c r="F16" s="1"/>
    </row>
    <row r="17" spans="1:6" ht="15" thickTop="1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 s="1"/>
      <c r="B21" s="1"/>
      <c r="C21" s="1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1"/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1"/>
      <c r="B26" s="1"/>
      <c r="C26" s="1"/>
      <c r="D26" s="1"/>
      <c r="E26" s="1"/>
      <c r="F26" s="1"/>
    </row>
    <row r="27" spans="1:6" x14ac:dyDescent="0.35">
      <c r="A27" s="1"/>
      <c r="B27" s="1"/>
      <c r="C27" s="1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  <row r="29" spans="1:6" x14ac:dyDescent="0.35">
      <c r="A29" s="1"/>
      <c r="B29" s="1"/>
      <c r="C29" s="1"/>
      <c r="D29" s="1"/>
      <c r="E29" s="1"/>
      <c r="F29" s="1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1"/>
      <c r="B31" s="1"/>
      <c r="C31" s="1"/>
      <c r="D31" s="1"/>
      <c r="E31" s="1"/>
      <c r="F31" s="1"/>
    </row>
    <row r="32" spans="1:6" x14ac:dyDescent="0.35">
      <c r="A32" s="1"/>
      <c r="D32" s="1"/>
      <c r="E32" s="1"/>
      <c r="F32" s="1"/>
    </row>
    <row r="33" spans="1:6" x14ac:dyDescent="0.35">
      <c r="A33" s="1"/>
      <c r="D33" s="1"/>
      <c r="E33" s="1"/>
      <c r="F33" s="1"/>
    </row>
    <row r="38" spans="1:6" x14ac:dyDescent="0.35">
      <c r="A38" s="1"/>
      <c r="D38" s="1"/>
      <c r="E38" s="1"/>
      <c r="F38" s="1"/>
    </row>
    <row r="39" spans="1:6" x14ac:dyDescent="0.35">
      <c r="A39" s="1"/>
      <c r="D39" s="1"/>
      <c r="E39" s="1"/>
      <c r="F39" s="1"/>
    </row>
    <row r="41" spans="1:6" ht="17" x14ac:dyDescent="0.45">
      <c r="A41" s="1"/>
      <c r="B41" s="1" t="s">
        <v>60</v>
      </c>
      <c r="C41" s="72" t="s">
        <v>61</v>
      </c>
      <c r="D41" s="1"/>
      <c r="E41" s="1"/>
      <c r="F41" s="1"/>
    </row>
    <row r="42" spans="1:6" ht="17" x14ac:dyDescent="0.45">
      <c r="A42" s="1"/>
      <c r="B42" s="1" t="s">
        <v>62</v>
      </c>
      <c r="C42" s="72" t="s">
        <v>61</v>
      </c>
      <c r="D42" s="1"/>
      <c r="E42" s="1"/>
      <c r="F42" s="1"/>
    </row>
    <row r="43" spans="1:6" x14ac:dyDescent="0.35">
      <c r="B43" s="1" t="s">
        <v>63</v>
      </c>
      <c r="C43" s="72" t="s">
        <v>61</v>
      </c>
    </row>
    <row r="44" spans="1:6" x14ac:dyDescent="0.35">
      <c r="B44" s="1" t="s">
        <v>64</v>
      </c>
      <c r="C44" s="112">
        <f>D14/D15</f>
        <v>2.5580862538542175</v>
      </c>
    </row>
  </sheetData>
  <mergeCells count="5">
    <mergeCell ref="D5:E5"/>
    <mergeCell ref="B9:B13"/>
    <mergeCell ref="D9:D13"/>
    <mergeCell ref="B7:B8"/>
    <mergeCell ref="D7:D8"/>
  </mergeCells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5280-E75E-406C-99C8-114B3CA03F08}">
  <dimension ref="A1:B9"/>
  <sheetViews>
    <sheetView workbookViewId="0">
      <selection activeCell="D5" sqref="D5"/>
    </sheetView>
  </sheetViews>
  <sheetFormatPr defaultRowHeight="14.5" x14ac:dyDescent="0.35"/>
  <cols>
    <col min="1" max="1" width="10.1796875" bestFit="1" customWidth="1"/>
  </cols>
  <sheetData>
    <row r="1" spans="1:2" x14ac:dyDescent="0.35">
      <c r="A1" t="s">
        <v>78</v>
      </c>
    </row>
    <row r="2" spans="1:2" x14ac:dyDescent="0.35">
      <c r="A2" t="s">
        <v>76</v>
      </c>
      <c r="B2" t="s">
        <v>22</v>
      </c>
    </row>
    <row r="3" spans="1:2" x14ac:dyDescent="0.35">
      <c r="A3">
        <v>0.05</v>
      </c>
      <c r="B3">
        <v>0</v>
      </c>
    </row>
    <row r="4" spans="1:2" x14ac:dyDescent="0.35">
      <c r="A4">
        <v>0.05</v>
      </c>
      <c r="B4">
        <v>100</v>
      </c>
    </row>
    <row r="6" spans="1:2" x14ac:dyDescent="0.35">
      <c r="A6" t="s">
        <v>77</v>
      </c>
    </row>
    <row r="7" spans="1:2" x14ac:dyDescent="0.35">
      <c r="A7" t="s">
        <v>76</v>
      </c>
      <c r="B7" t="s">
        <v>22</v>
      </c>
    </row>
    <row r="8" spans="1:2" x14ac:dyDescent="0.35">
      <c r="A8">
        <v>2E-3</v>
      </c>
      <c r="B8">
        <v>0</v>
      </c>
    </row>
    <row r="9" spans="1:2" x14ac:dyDescent="0.35">
      <c r="A9">
        <v>2E-3</v>
      </c>
      <c r="B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343F-469D-442C-B784-F07DFA43C557}">
  <dimension ref="A1:T23"/>
  <sheetViews>
    <sheetView workbookViewId="0">
      <selection activeCell="D18" sqref="D18"/>
    </sheetView>
  </sheetViews>
  <sheetFormatPr defaultRowHeight="14.5" x14ac:dyDescent="0.35"/>
  <cols>
    <col min="1" max="1" width="10.7265625" bestFit="1" customWidth="1"/>
    <col min="2" max="2" width="12.453125" bestFit="1" customWidth="1"/>
    <col min="3" max="3" width="12.453125" customWidth="1"/>
    <col min="4" max="4" width="13.81640625" bestFit="1" customWidth="1"/>
    <col min="5" max="5" width="23" bestFit="1" customWidth="1"/>
    <col min="6" max="6" width="22" bestFit="1" customWidth="1"/>
  </cols>
  <sheetData>
    <row r="1" spans="1:20" ht="17" thickBot="1" x14ac:dyDescent="0.4">
      <c r="A1" s="130" t="s">
        <v>84</v>
      </c>
      <c r="B1" s="128" t="s">
        <v>85</v>
      </c>
      <c r="C1" s="128" t="s">
        <v>90</v>
      </c>
      <c r="D1" s="128" t="s">
        <v>86</v>
      </c>
      <c r="E1" s="128" t="s">
        <v>87</v>
      </c>
      <c r="F1" s="129" t="s">
        <v>88</v>
      </c>
    </row>
    <row r="2" spans="1:20" x14ac:dyDescent="0.35">
      <c r="A2" s="131">
        <v>1</v>
      </c>
      <c r="B2" s="120">
        <v>1000</v>
      </c>
      <c r="C2" s="121">
        <f>3.14159*((D2/2)^2)</f>
        <v>26.14816042775</v>
      </c>
      <c r="D2" s="122">
        <v>5.7700000000000005</v>
      </c>
      <c r="E2" s="121">
        <v>37.623750000000001</v>
      </c>
      <c r="F2" s="123">
        <f t="shared" ref="F2:F13" si="0">3.14159*((D2*0.5)^2)*E2</f>
        <v>983.79185089355906</v>
      </c>
    </row>
    <row r="3" spans="1:20" x14ac:dyDescent="0.35">
      <c r="A3" s="131">
        <v>2</v>
      </c>
      <c r="B3" s="120">
        <v>1000</v>
      </c>
      <c r="C3" s="121">
        <f t="shared" ref="C3:C13" si="1">3.14159*((D3/2)^2)</f>
        <v>27.247088609749998</v>
      </c>
      <c r="D3" s="122">
        <v>5.89</v>
      </c>
      <c r="E3" s="121">
        <v>35.71875</v>
      </c>
      <c r="F3" s="123">
        <f t="shared" si="0"/>
        <v>973.23194627950772</v>
      </c>
    </row>
    <row r="4" spans="1:20" x14ac:dyDescent="0.35">
      <c r="A4" s="131">
        <v>3</v>
      </c>
      <c r="B4" s="120">
        <v>1000</v>
      </c>
      <c r="C4" s="121">
        <f t="shared" si="1"/>
        <v>27.898575835999999</v>
      </c>
      <c r="D4" s="122">
        <v>5.96</v>
      </c>
      <c r="E4" s="121">
        <v>35.2425</v>
      </c>
      <c r="F4" s="123">
        <f t="shared" si="0"/>
        <v>983.21555890023001</v>
      </c>
    </row>
    <row r="5" spans="1:20" x14ac:dyDescent="0.35">
      <c r="A5" s="131">
        <v>4</v>
      </c>
      <c r="B5" s="120">
        <v>1000</v>
      </c>
      <c r="C5" s="121">
        <f t="shared" si="1"/>
        <v>27.898575835999999</v>
      </c>
      <c r="D5" s="122">
        <v>5.96</v>
      </c>
      <c r="E5" s="121">
        <v>34.924999999999997</v>
      </c>
      <c r="F5" s="123">
        <f t="shared" si="0"/>
        <v>974.35776107229992</v>
      </c>
    </row>
    <row r="6" spans="1:20" x14ac:dyDescent="0.35">
      <c r="A6" s="131">
        <v>5</v>
      </c>
      <c r="B6" s="120">
        <v>1000</v>
      </c>
      <c r="C6" s="121">
        <f t="shared" si="1"/>
        <v>28.086128758999998</v>
      </c>
      <c r="D6" s="122">
        <v>5.9799999999999995</v>
      </c>
      <c r="E6" s="121">
        <v>35.2425</v>
      </c>
      <c r="F6" s="123">
        <f t="shared" si="0"/>
        <v>989.82539278905745</v>
      </c>
    </row>
    <row r="7" spans="1:20" x14ac:dyDescent="0.35">
      <c r="A7" s="131">
        <v>6</v>
      </c>
      <c r="B7" s="120">
        <v>1000</v>
      </c>
      <c r="C7" s="121">
        <f t="shared" si="1"/>
        <v>27.43244241975</v>
      </c>
      <c r="D7" s="122">
        <v>5.91</v>
      </c>
      <c r="E7" s="121">
        <v>35.877499999999998</v>
      </c>
      <c r="F7" s="123">
        <f t="shared" si="0"/>
        <v>984.20745291458059</v>
      </c>
    </row>
    <row r="8" spans="1:20" x14ac:dyDescent="0.35">
      <c r="A8" s="131">
        <v>7</v>
      </c>
      <c r="B8" s="120">
        <v>1000</v>
      </c>
      <c r="C8" s="121">
        <f t="shared" si="1"/>
        <v>26.420771899999998</v>
      </c>
      <c r="D8" s="122">
        <v>5.8</v>
      </c>
      <c r="E8" s="121">
        <v>36.83</v>
      </c>
      <c r="F8" s="123">
        <f t="shared" si="0"/>
        <v>973.07702907699991</v>
      </c>
    </row>
    <row r="9" spans="1:20" x14ac:dyDescent="0.35">
      <c r="A9" s="131">
        <v>8</v>
      </c>
      <c r="B9" s="120">
        <v>1000</v>
      </c>
      <c r="C9" s="121">
        <f t="shared" si="1"/>
        <v>26.603298279000004</v>
      </c>
      <c r="D9" s="122">
        <v>5.82</v>
      </c>
      <c r="E9" s="121">
        <v>36.671250000000001</v>
      </c>
      <c r="F9" s="123">
        <f t="shared" si="0"/>
        <v>975.57620201377892</v>
      </c>
    </row>
    <row r="10" spans="1:20" x14ac:dyDescent="0.35">
      <c r="A10" s="131">
        <v>9</v>
      </c>
      <c r="B10" s="120">
        <v>1000</v>
      </c>
      <c r="C10" s="121">
        <f t="shared" si="1"/>
        <v>26.69479708775</v>
      </c>
      <c r="D10" s="122">
        <v>5.83</v>
      </c>
      <c r="E10" s="121">
        <v>36.83</v>
      </c>
      <c r="F10" s="123">
        <f t="shared" si="0"/>
        <v>983.16937674183248</v>
      </c>
    </row>
    <row r="11" spans="1:20" x14ac:dyDescent="0.35">
      <c r="A11" s="131">
        <v>10</v>
      </c>
      <c r="B11" s="120">
        <v>1000</v>
      </c>
      <c r="C11" s="121">
        <f t="shared" si="1"/>
        <v>26.786452975999996</v>
      </c>
      <c r="D11" s="122">
        <v>5.84</v>
      </c>
      <c r="E11" s="121">
        <v>36.353749999999998</v>
      </c>
      <c r="F11" s="123">
        <f t="shared" si="0"/>
        <v>973.78801487625981</v>
      </c>
    </row>
    <row r="12" spans="1:20" x14ac:dyDescent="0.35">
      <c r="A12" s="131">
        <v>11</v>
      </c>
      <c r="B12" s="120">
        <v>1000</v>
      </c>
      <c r="C12" s="121">
        <f t="shared" si="1"/>
        <v>28.27431</v>
      </c>
      <c r="D12" s="122">
        <v>6</v>
      </c>
      <c r="E12" s="121">
        <v>34.766249999999999</v>
      </c>
      <c r="F12" s="123">
        <f t="shared" si="0"/>
        <v>982.99173003750002</v>
      </c>
    </row>
    <row r="13" spans="1:20" ht="15" thickBot="1" x14ac:dyDescent="0.4">
      <c r="A13" s="132">
        <v>12</v>
      </c>
      <c r="B13" s="124">
        <v>1000</v>
      </c>
      <c r="C13" s="125">
        <f t="shared" si="1"/>
        <v>33.798481855999995</v>
      </c>
      <c r="D13" s="126">
        <v>6.56</v>
      </c>
      <c r="E13" s="125">
        <v>29.05125</v>
      </c>
      <c r="F13" s="127">
        <f t="shared" si="0"/>
        <v>981.88814601911986</v>
      </c>
      <c r="S13" s="114"/>
      <c r="T13" s="113"/>
    </row>
    <row r="14" spans="1:20" x14ac:dyDescent="0.35">
      <c r="S14" s="114"/>
      <c r="T14" s="113"/>
    </row>
    <row r="15" spans="1:20" x14ac:dyDescent="0.35">
      <c r="S15" s="114"/>
      <c r="T15" s="113"/>
    </row>
    <row r="16" spans="1:20" x14ac:dyDescent="0.35">
      <c r="S16" s="114"/>
      <c r="T16" s="113"/>
    </row>
    <row r="17" spans="19:20" x14ac:dyDescent="0.35">
      <c r="S17" s="114"/>
      <c r="T17" s="113"/>
    </row>
    <row r="18" spans="19:20" x14ac:dyDescent="0.35">
      <c r="S18" s="114"/>
      <c r="T18" s="113"/>
    </row>
    <row r="19" spans="19:20" x14ac:dyDescent="0.35">
      <c r="S19" s="114"/>
      <c r="T19" s="113"/>
    </row>
    <row r="20" spans="19:20" x14ac:dyDescent="0.35">
      <c r="S20" s="114"/>
      <c r="T20" s="113"/>
    </row>
    <row r="21" spans="19:20" x14ac:dyDescent="0.35">
      <c r="S21" s="114"/>
      <c r="T21" s="113"/>
    </row>
    <row r="22" spans="19:20" x14ac:dyDescent="0.35">
      <c r="S22" s="114"/>
      <c r="T22" s="113"/>
    </row>
    <row r="23" spans="19:20" x14ac:dyDescent="0.35">
      <c r="S23" s="114"/>
      <c r="T23" s="1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Size breakdown and curve</vt:lpstr>
      <vt:lpstr>Dummy data</vt:lpstr>
      <vt:lpstr>Sed. cylinder 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Mascitti</dc:creator>
  <cp:lastModifiedBy>Mascitti, Evan C</cp:lastModifiedBy>
  <cp:lastPrinted>2019-06-04T01:18:12Z</cp:lastPrinted>
  <dcterms:created xsi:type="dcterms:W3CDTF">2019-05-22T15:18:25Z</dcterms:created>
  <dcterms:modified xsi:type="dcterms:W3CDTF">2021-06-07T22:22:38Z</dcterms:modified>
</cp:coreProperties>
</file>