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9320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G15" i="1"/>
  <c r="Q18"/>
  <c r="Q15"/>
  <c r="Q49" l="1"/>
  <c r="Q45"/>
  <c r="Q44"/>
  <c r="Q43"/>
  <c r="Q34"/>
  <c r="Q33"/>
  <c r="Q32"/>
  <c r="Q31"/>
  <c r="Q30"/>
  <c r="Q29"/>
  <c r="Q20"/>
  <c r="Q19"/>
  <c r="Q17"/>
  <c r="Q16"/>
  <c r="E29"/>
  <c r="I20"/>
  <c r="N16" l="1"/>
  <c r="I15"/>
  <c r="M49" l="1"/>
  <c r="M48"/>
  <c r="M47"/>
  <c r="M46"/>
  <c r="M45"/>
  <c r="M44"/>
  <c r="M43"/>
  <c r="N46" l="1"/>
  <c r="O46" s="1"/>
  <c r="N49"/>
  <c r="O49" s="1"/>
  <c r="N48"/>
  <c r="O48" s="1"/>
  <c r="N47"/>
  <c r="O47" s="1"/>
  <c r="N45"/>
  <c r="O45" s="1"/>
  <c r="N44"/>
  <c r="O44" s="1"/>
  <c r="N43"/>
  <c r="O43" s="1"/>
  <c r="L50" l="1"/>
  <c r="J45"/>
  <c r="F43"/>
  <c r="F29" l="1"/>
  <c r="F45" l="1"/>
  <c r="J49" l="1"/>
  <c r="J48"/>
  <c r="J47"/>
  <c r="J46"/>
  <c r="J44"/>
  <c r="J43"/>
  <c r="I49"/>
  <c r="I48"/>
  <c r="I47"/>
  <c r="I46"/>
  <c r="I45"/>
  <c r="I44"/>
  <c r="I43"/>
  <c r="F46"/>
  <c r="F47"/>
  <c r="F48"/>
  <c r="E48"/>
  <c r="E47"/>
  <c r="E46"/>
  <c r="F44"/>
  <c r="E44"/>
  <c r="F49"/>
  <c r="E49"/>
  <c r="E45"/>
  <c r="E43"/>
  <c r="G43" s="1"/>
  <c r="N34"/>
  <c r="M34"/>
  <c r="N32"/>
  <c r="M33"/>
  <c r="M32"/>
  <c r="O32" s="1"/>
  <c r="M31"/>
  <c r="N31"/>
  <c r="N30"/>
  <c r="N29"/>
  <c r="M30"/>
  <c r="O30" s="1"/>
  <c r="M29"/>
  <c r="O29" s="1"/>
  <c r="N33"/>
  <c r="J34"/>
  <c r="I34"/>
  <c r="J33"/>
  <c r="I33"/>
  <c r="J32"/>
  <c r="I32"/>
  <c r="J31"/>
  <c r="I31"/>
  <c r="J30"/>
  <c r="I30"/>
  <c r="J29"/>
  <c r="I29"/>
  <c r="F34"/>
  <c r="F33"/>
  <c r="F32"/>
  <c r="E34"/>
  <c r="E33"/>
  <c r="E32"/>
  <c r="E31"/>
  <c r="F30"/>
  <c r="F31"/>
  <c r="R49"/>
  <c r="R45"/>
  <c r="R44"/>
  <c r="R43"/>
  <c r="R34"/>
  <c r="R33"/>
  <c r="R32"/>
  <c r="R31"/>
  <c r="R20"/>
  <c r="R19"/>
  <c r="R18"/>
  <c r="R17"/>
  <c r="R16"/>
  <c r="R30"/>
  <c r="R29"/>
  <c r="E30"/>
  <c r="N20"/>
  <c r="N19"/>
  <c r="N18"/>
  <c r="N17"/>
  <c r="M20"/>
  <c r="M19"/>
  <c r="M18"/>
  <c r="M17"/>
  <c r="M16"/>
  <c r="O16" s="1"/>
  <c r="M15"/>
  <c r="N15"/>
  <c r="J20"/>
  <c r="J19"/>
  <c r="J18"/>
  <c r="J17"/>
  <c r="J16"/>
  <c r="J15"/>
  <c r="K20"/>
  <c r="I19"/>
  <c r="I18"/>
  <c r="K18" s="1"/>
  <c r="I17"/>
  <c r="I16"/>
  <c r="K16" s="1"/>
  <c r="E20"/>
  <c r="G20" s="1"/>
  <c r="E19"/>
  <c r="G19" s="1"/>
  <c r="E18"/>
  <c r="G18" s="1"/>
  <c r="E17"/>
  <c r="G17" s="1"/>
  <c r="E16"/>
  <c r="G16" s="1"/>
  <c r="E15"/>
  <c r="R15" s="1"/>
  <c r="G30" l="1"/>
  <c r="G47"/>
  <c r="R50"/>
  <c r="K30"/>
  <c r="K32"/>
  <c r="K34"/>
  <c r="K43"/>
  <c r="K45"/>
  <c r="K47"/>
  <c r="K49"/>
  <c r="G29"/>
  <c r="G49"/>
  <c r="G44"/>
  <c r="K44"/>
  <c r="K46"/>
  <c r="K48"/>
  <c r="G31"/>
  <c r="G32"/>
  <c r="G34"/>
  <c r="G33"/>
  <c r="K29"/>
  <c r="K31"/>
  <c r="K33"/>
  <c r="O31"/>
  <c r="O33"/>
  <c r="O34"/>
  <c r="G48"/>
  <c r="G45"/>
  <c r="G46"/>
  <c r="R21"/>
  <c r="R35"/>
  <c r="K17"/>
  <c r="K19"/>
  <c r="O15"/>
  <c r="O19"/>
  <c r="O18"/>
  <c r="K15"/>
  <c r="D21"/>
  <c r="O20"/>
  <c r="O17"/>
  <c r="I50" l="1"/>
  <c r="L35"/>
  <c r="H35"/>
  <c r="D35"/>
  <c r="D50"/>
  <c r="H21"/>
  <c r="L21"/>
</calcChain>
</file>

<file path=xl/sharedStrings.xml><?xml version="1.0" encoding="utf-8"?>
<sst xmlns="http://schemas.openxmlformats.org/spreadsheetml/2006/main" count="150" uniqueCount="53">
  <si>
    <t>Площадь скатов</t>
  </si>
  <si>
    <t>Длина коньков (ребер)</t>
  </si>
  <si>
    <t>Длина торцов</t>
  </si>
  <si>
    <t>Длина карниза </t>
  </si>
  <si>
    <t>Длина ендов</t>
  </si>
  <si>
    <t>Длина примыканий</t>
  </si>
  <si>
    <t>шт</t>
  </si>
  <si>
    <t>м.п</t>
  </si>
  <si>
    <t>м. кв</t>
  </si>
  <si>
    <t>Металлочерепица</t>
  </si>
  <si>
    <t>НАЗВАНИЕ</t>
  </si>
  <si>
    <t>Планка торцевая</t>
  </si>
  <si>
    <t>Планка ендовы</t>
  </si>
  <si>
    <t>Планка карнизная</t>
  </si>
  <si>
    <t>Планка примыкания</t>
  </si>
  <si>
    <t>стоимость</t>
  </si>
  <si>
    <t>итого</t>
  </si>
  <si>
    <t>ИТОГО</t>
  </si>
  <si>
    <t>Кол-во</t>
  </si>
  <si>
    <t>Ед.изм</t>
  </si>
  <si>
    <t>Монтаж</t>
  </si>
  <si>
    <t>Композитная черепица</t>
  </si>
  <si>
    <t>Гибкая черепица</t>
  </si>
  <si>
    <t>м.кв.</t>
  </si>
  <si>
    <t>Подкладочный ковер</t>
  </si>
  <si>
    <t>Черепица</t>
  </si>
  <si>
    <t>Коньковая черепица</t>
  </si>
  <si>
    <t>Карнизная черепица</t>
  </si>
  <si>
    <t>Гвозди кровельные</t>
  </si>
  <si>
    <t>кг</t>
  </si>
  <si>
    <t>Metrobond</t>
  </si>
  <si>
    <t>MetroRoman II</t>
  </si>
  <si>
    <t>м. п</t>
  </si>
  <si>
    <t>Планка конька</t>
  </si>
  <si>
    <t>стоимость за 1 м. п</t>
  </si>
  <si>
    <t>рул</t>
  </si>
  <si>
    <t>Ед изм</t>
  </si>
  <si>
    <t>IKO Кембридж</t>
  </si>
  <si>
    <t>KATEPAL Katrilli</t>
  </si>
  <si>
    <t>Монтеррей ПОЛИЭСТЕР "ЭКО"</t>
  </si>
  <si>
    <t xml:space="preserve"> Bud Matt Венеция</t>
  </si>
  <si>
    <t>цена</t>
  </si>
  <si>
    <t xml:space="preserve"> Ruukki Finnera</t>
  </si>
  <si>
    <t>ИТОГО бел.руб.</t>
  </si>
  <si>
    <t>Фанера ОSB-3 10мм</t>
  </si>
  <si>
    <t xml:space="preserve">Gerard Diamant </t>
  </si>
  <si>
    <t xml:space="preserve">SHINGLAS </t>
  </si>
  <si>
    <t>ИТОГО, бел.руб.</t>
  </si>
  <si>
    <t>ИТОГО, бел. руб.</t>
  </si>
  <si>
    <t>EUR</t>
  </si>
  <si>
    <t>RUB</t>
  </si>
  <si>
    <t>USD</t>
  </si>
  <si>
    <t>Размеры для расчета стоимости материала 
и монтажа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</si>
</sst>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4" formatCode="_-* #,##0_р_._-;\-* #,##0_р_._-;_-* &quot;-&quot;??_р_._-;_-@_-"/>
  </numFmts>
  <fonts count="12">
    <font>
      <sz val="11"/>
      <color theme="1"/>
      <name val="Calibri"/>
      <family val="2"/>
      <charset val="204"/>
      <scheme val="minor"/>
    </font>
    <font>
      <b/>
      <sz val="12"/>
      <color rgb="FFFF0000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color rgb="FFFF0000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rgb="FF0070C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3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0" applyNumberFormat="1" applyFont="1" applyBorder="1"/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6" fillId="2" borderId="15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4" fillId="0" borderId="27" xfId="0" applyFont="1" applyBorder="1"/>
    <xf numFmtId="0" fontId="6" fillId="2" borderId="26" xfId="0" applyFont="1" applyFill="1" applyBorder="1" applyAlignment="1">
      <alignment horizontal="center" vertical="center" wrapText="1"/>
    </xf>
    <xf numFmtId="164" fontId="7" fillId="0" borderId="35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8" xfId="1" applyNumberFormat="1" applyFont="1" applyBorder="1" applyAlignment="1">
      <alignment horizontal="center"/>
    </xf>
    <xf numFmtId="0" fontId="6" fillId="2" borderId="40" xfId="0" applyFont="1" applyFill="1" applyBorder="1" applyAlignment="1">
      <alignment horizontal="left" vertical="center" wrapText="1"/>
    </xf>
    <xf numFmtId="0" fontId="6" fillId="2" borderId="41" xfId="0" applyFont="1" applyFill="1" applyBorder="1" applyAlignment="1">
      <alignment horizontal="left" vertical="center" wrapText="1"/>
    </xf>
    <xf numFmtId="0" fontId="6" fillId="2" borderId="42" xfId="0" applyFont="1" applyFill="1" applyBorder="1" applyAlignment="1">
      <alignment horizontal="left" vertical="center" wrapText="1"/>
    </xf>
    <xf numFmtId="164" fontId="7" fillId="0" borderId="35" xfId="1" applyNumberFormat="1" applyFont="1" applyBorder="1" applyAlignment="1">
      <alignment horizontal="center" vertical="center"/>
    </xf>
    <xf numFmtId="164" fontId="7" fillId="0" borderId="5" xfId="1" applyNumberFormat="1" applyFont="1" applyBorder="1" applyAlignment="1">
      <alignment horizontal="center" vertical="center"/>
    </xf>
    <xf numFmtId="164" fontId="7" fillId="0" borderId="8" xfId="1" applyNumberFormat="1" applyFont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6" fillId="0" borderId="41" xfId="0" applyFont="1" applyBorder="1"/>
    <xf numFmtId="0" fontId="5" fillId="0" borderId="46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164" fontId="7" fillId="0" borderId="46" xfId="1" applyNumberFormat="1" applyFont="1" applyBorder="1" applyAlignment="1">
      <alignment horizontal="center"/>
    </xf>
    <xf numFmtId="164" fontId="7" fillId="0" borderId="46" xfId="1" applyNumberFormat="1" applyFont="1" applyBorder="1" applyAlignment="1">
      <alignment horizontal="center" vertical="center"/>
    </xf>
    <xf numFmtId="0" fontId="6" fillId="0" borderId="42" xfId="0" applyFont="1" applyBorder="1"/>
    <xf numFmtId="0" fontId="5" fillId="0" borderId="48" xfId="0" applyFont="1" applyBorder="1" applyAlignment="1">
      <alignment horizontal="center"/>
    </xf>
    <xf numFmtId="164" fontId="7" fillId="0" borderId="48" xfId="1" applyNumberFormat="1" applyFont="1" applyBorder="1" applyAlignment="1">
      <alignment horizontal="center"/>
    </xf>
    <xf numFmtId="164" fontId="7" fillId="0" borderId="48" xfId="1" applyNumberFormat="1" applyFont="1" applyBorder="1" applyAlignment="1">
      <alignment horizontal="center" vertical="center"/>
    </xf>
    <xf numFmtId="0" fontId="6" fillId="2" borderId="49" xfId="0" applyFont="1" applyFill="1" applyBorder="1" applyAlignment="1">
      <alignment horizontal="left" vertical="center" wrapText="1"/>
    </xf>
    <xf numFmtId="0" fontId="6" fillId="0" borderId="49" xfId="0" applyFont="1" applyBorder="1"/>
    <xf numFmtId="0" fontId="6" fillId="0" borderId="39" xfId="0" applyFont="1" applyBorder="1"/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3" fontId="11" fillId="2" borderId="6" xfId="0" applyNumberFormat="1" applyFont="1" applyFill="1" applyBorder="1" applyAlignment="1">
      <alignment horizontal="center" vertical="center" wrapText="1"/>
    </xf>
    <xf numFmtId="1" fontId="11" fillId="2" borderId="15" xfId="0" applyNumberFormat="1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/>
    </xf>
    <xf numFmtId="1" fontId="11" fillId="2" borderId="4" xfId="0" applyNumberFormat="1" applyFont="1" applyFill="1" applyBorder="1" applyAlignment="1">
      <alignment horizontal="center" vertical="center" wrapText="1"/>
    </xf>
    <xf numFmtId="1" fontId="11" fillId="2" borderId="7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1" fontId="11" fillId="2" borderId="2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5" fillId="0" borderId="27" xfId="0" applyFont="1" applyBorder="1"/>
    <xf numFmtId="3" fontId="4" fillId="0" borderId="9" xfId="0" applyNumberFormat="1" applyFont="1" applyBorder="1" applyAlignment="1">
      <alignment horizontal="center" vertical="center"/>
    </xf>
    <xf numFmtId="1" fontId="11" fillId="2" borderId="24" xfId="0" applyNumberFormat="1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164" fontId="4" fillId="0" borderId="32" xfId="0" applyNumberFormat="1" applyFont="1" applyBorder="1"/>
    <xf numFmtId="3" fontId="4" fillId="0" borderId="6" xfId="0" applyNumberFormat="1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3" fontId="11" fillId="2" borderId="14" xfId="0" applyNumberFormat="1" applyFont="1" applyFill="1" applyBorder="1" applyAlignment="1">
      <alignment horizontal="center" vertical="center" wrapText="1"/>
    </xf>
    <xf numFmtId="3" fontId="11" fillId="2" borderId="16" xfId="0" applyNumberFormat="1" applyFont="1" applyFill="1" applyBorder="1" applyAlignment="1">
      <alignment horizontal="center" vertical="center" wrapText="1"/>
    </xf>
    <xf numFmtId="3" fontId="11" fillId="2" borderId="17" xfId="0" applyNumberFormat="1" applyFont="1" applyFill="1" applyBorder="1" applyAlignment="1">
      <alignment horizontal="center" vertical="center" wrapText="1"/>
    </xf>
    <xf numFmtId="3" fontId="11" fillId="2" borderId="45" xfId="0" applyNumberFormat="1" applyFont="1" applyFill="1" applyBorder="1" applyAlignment="1">
      <alignment horizontal="center" vertical="center" wrapText="1"/>
    </xf>
    <xf numFmtId="3" fontId="11" fillId="2" borderId="46" xfId="0" applyNumberFormat="1" applyFont="1" applyFill="1" applyBorder="1" applyAlignment="1">
      <alignment horizontal="center" vertical="center" wrapText="1"/>
    </xf>
    <xf numFmtId="3" fontId="11" fillId="2" borderId="44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1" fontId="11" fillId="2" borderId="23" xfId="0" applyNumberFormat="1" applyFont="1" applyFill="1" applyBorder="1" applyAlignment="1">
      <alignment horizontal="center" vertical="center" wrapText="1"/>
    </xf>
    <xf numFmtId="1" fontId="5" fillId="0" borderId="49" xfId="0" applyNumberFormat="1" applyFont="1" applyBorder="1" applyAlignment="1">
      <alignment horizontal="right"/>
    </xf>
    <xf numFmtId="1" fontId="5" fillId="0" borderId="27" xfId="0" applyNumberFormat="1" applyFont="1" applyBorder="1" applyAlignment="1">
      <alignment horizontal="right"/>
    </xf>
    <xf numFmtId="1" fontId="5" fillId="0" borderId="50" xfId="0" applyNumberFormat="1" applyFont="1" applyBorder="1" applyAlignment="1">
      <alignment horizontal="right"/>
    </xf>
    <xf numFmtId="1" fontId="5" fillId="0" borderId="49" xfId="0" applyNumberFormat="1" applyFont="1" applyBorder="1" applyAlignment="1">
      <alignment horizontal="right" vertical="center"/>
    </xf>
    <xf numFmtId="1" fontId="5" fillId="0" borderId="27" xfId="0" applyNumberFormat="1" applyFont="1" applyBorder="1" applyAlignment="1">
      <alignment horizontal="right" vertical="center"/>
    </xf>
    <xf numFmtId="1" fontId="5" fillId="0" borderId="50" xfId="0" applyNumberFormat="1" applyFont="1" applyBorder="1" applyAlignment="1">
      <alignment horizontal="right" vertical="center"/>
    </xf>
    <xf numFmtId="1" fontId="11" fillId="2" borderId="4" xfId="0" applyNumberFormat="1" applyFont="1" applyFill="1" applyBorder="1" applyAlignment="1">
      <alignment horizontal="center" vertical="center" wrapText="1"/>
    </xf>
    <xf numFmtId="1" fontId="11" fillId="2" borderId="33" xfId="0" applyNumberFormat="1" applyFont="1" applyFill="1" applyBorder="1" applyAlignment="1">
      <alignment horizontal="center" vertical="center" wrapText="1"/>
    </xf>
    <xf numFmtId="1" fontId="6" fillId="2" borderId="49" xfId="0" applyNumberFormat="1" applyFont="1" applyFill="1" applyBorder="1" applyAlignment="1">
      <alignment horizontal="right" vertical="center" wrapText="1"/>
    </xf>
    <xf numFmtId="1" fontId="6" fillId="2" borderId="27" xfId="0" applyNumberFormat="1" applyFont="1" applyFill="1" applyBorder="1" applyAlignment="1">
      <alignment horizontal="right" vertical="center" wrapText="1"/>
    </xf>
    <xf numFmtId="1" fontId="6" fillId="2" borderId="28" xfId="0" applyNumberFormat="1" applyFont="1" applyFill="1" applyBorder="1" applyAlignment="1">
      <alignment horizontal="right" vertical="center" wrapText="1"/>
    </xf>
    <xf numFmtId="1" fontId="11" fillId="2" borderId="18" xfId="0" applyNumberFormat="1" applyFont="1" applyFill="1" applyBorder="1" applyAlignment="1">
      <alignment horizontal="center" vertical="center" wrapText="1"/>
    </xf>
    <xf numFmtId="1" fontId="11" fillId="2" borderId="34" xfId="0" applyNumberFormat="1" applyFont="1" applyFill="1" applyBorder="1" applyAlignment="1">
      <alignment horizontal="center" vertical="center" wrapText="1"/>
    </xf>
    <xf numFmtId="1" fontId="6" fillId="2" borderId="25" xfId="0" applyNumberFormat="1" applyFont="1" applyFill="1" applyBorder="1" applyAlignment="1">
      <alignment horizontal="right" vertical="center" wrapText="1"/>
    </xf>
    <xf numFmtId="0" fontId="6" fillId="2" borderId="26" xfId="0" applyFont="1" applyFill="1" applyBorder="1" applyAlignment="1">
      <alignment horizontal="right" vertical="center" wrapText="1"/>
    </xf>
    <xf numFmtId="0" fontId="6" fillId="2" borderId="29" xfId="0" applyFont="1" applyFill="1" applyBorder="1" applyAlignment="1">
      <alignment horizontal="right" vertical="center" wrapText="1"/>
    </xf>
    <xf numFmtId="1" fontId="9" fillId="0" borderId="49" xfId="0" applyNumberFormat="1" applyFont="1" applyBorder="1" applyAlignment="1">
      <alignment horizontal="right"/>
    </xf>
    <xf numFmtId="1" fontId="9" fillId="0" borderId="27" xfId="0" applyNumberFormat="1" applyFont="1" applyBorder="1" applyAlignment="1">
      <alignment horizontal="right"/>
    </xf>
    <xf numFmtId="1" fontId="9" fillId="0" borderId="50" xfId="0" applyNumberFormat="1" applyFont="1" applyBorder="1" applyAlignment="1">
      <alignment horizontal="right"/>
    </xf>
    <xf numFmtId="0" fontId="6" fillId="0" borderId="4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1" fontId="11" fillId="2" borderId="22" xfId="0" applyNumberFormat="1" applyFont="1" applyFill="1" applyBorder="1" applyAlignment="1">
      <alignment horizontal="center" vertical="center" wrapText="1"/>
    </xf>
    <xf numFmtId="1" fontId="11" fillId="2" borderId="3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2" borderId="49" xfId="0" applyFont="1" applyFill="1" applyBorder="1" applyAlignment="1">
      <alignment horizontal="right" vertical="center" wrapText="1"/>
    </xf>
    <xf numFmtId="0" fontId="6" fillId="2" borderId="27" xfId="0" applyFont="1" applyFill="1" applyBorder="1" applyAlignment="1">
      <alignment horizontal="right" vertical="center" wrapText="1"/>
    </xf>
    <xf numFmtId="0" fontId="6" fillId="2" borderId="50" xfId="0" applyFont="1" applyFill="1" applyBorder="1" applyAlignment="1">
      <alignment horizontal="right" vertical="center" wrapText="1"/>
    </xf>
    <xf numFmtId="0" fontId="5" fillId="0" borderId="49" xfId="0" applyFont="1" applyBorder="1" applyAlignment="1">
      <alignment horizontal="right"/>
    </xf>
    <xf numFmtId="0" fontId="5" fillId="0" borderId="27" xfId="0" applyFont="1" applyBorder="1" applyAlignment="1">
      <alignment horizontal="right"/>
    </xf>
    <xf numFmtId="0" fontId="5" fillId="0" borderId="50" xfId="0" applyFont="1" applyBorder="1" applyAlignment="1">
      <alignment horizontal="right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52"/>
  <sheetViews>
    <sheetView tabSelected="1" workbookViewId="0">
      <selection activeCell="S22" sqref="S22"/>
    </sheetView>
  </sheetViews>
  <sheetFormatPr defaultRowHeight="15"/>
  <cols>
    <col min="1" max="1" width="0.85546875" customWidth="1"/>
    <col min="2" max="2" width="3.7109375" style="1" customWidth="1"/>
    <col min="3" max="3" width="19.5703125" style="2" customWidth="1"/>
    <col min="4" max="4" width="7.42578125" style="3" bestFit="1" customWidth="1"/>
    <col min="5" max="5" width="7.42578125" style="2" customWidth="1"/>
    <col min="6" max="6" width="11" style="1" customWidth="1"/>
    <col min="7" max="7" width="10.7109375" style="2" bestFit="1" customWidth="1"/>
    <col min="8" max="8" width="7.140625" style="2" customWidth="1"/>
    <col min="9" max="9" width="7.42578125" style="1" customWidth="1"/>
    <col min="10" max="10" width="10.7109375" style="1" customWidth="1"/>
    <col min="11" max="11" width="10.42578125" style="3" bestFit="1" customWidth="1"/>
    <col min="12" max="12" width="7.42578125" style="1" customWidth="1"/>
    <col min="13" max="13" width="7.28515625" style="2" customWidth="1"/>
    <col min="14" max="14" width="12" style="2" customWidth="1"/>
    <col min="15" max="15" width="11.42578125" style="2" bestFit="1" customWidth="1"/>
    <col min="16" max="16" width="0.140625" style="2" hidden="1" customWidth="1"/>
    <col min="17" max="17" width="14.140625" style="2" customWidth="1"/>
    <col min="18" max="18" width="12.28515625" style="2" customWidth="1"/>
  </cols>
  <sheetData>
    <row r="2" spans="2:18" ht="60" customHeight="1">
      <c r="C2" s="110" t="s">
        <v>52</v>
      </c>
      <c r="D2" s="110"/>
      <c r="E2" s="110"/>
      <c r="K2" s="133" t="s">
        <v>49</v>
      </c>
      <c r="L2" s="133" t="s">
        <v>50</v>
      </c>
      <c r="M2" s="133" t="s">
        <v>51</v>
      </c>
      <c r="N2" s="1"/>
    </row>
    <row r="3" spans="2:18">
      <c r="B3" s="5">
        <v>1</v>
      </c>
      <c r="C3" s="6" t="s">
        <v>0</v>
      </c>
      <c r="D3" s="7" t="s">
        <v>8</v>
      </c>
      <c r="E3" s="8"/>
      <c r="K3" s="7">
        <v>16000</v>
      </c>
      <c r="L3" s="7">
        <v>258</v>
      </c>
      <c r="M3" s="7">
        <v>15000</v>
      </c>
      <c r="N3" s="1"/>
    </row>
    <row r="4" spans="2:18">
      <c r="B4" s="5">
        <v>2</v>
      </c>
      <c r="C4" s="9" t="s">
        <v>1</v>
      </c>
      <c r="D4" s="7" t="s">
        <v>7</v>
      </c>
      <c r="E4" s="8"/>
    </row>
    <row r="5" spans="2:18">
      <c r="B5" s="5">
        <v>3</v>
      </c>
      <c r="C5" s="9" t="s">
        <v>2</v>
      </c>
      <c r="D5" s="7" t="s">
        <v>7</v>
      </c>
      <c r="E5" s="8"/>
    </row>
    <row r="6" spans="2:18">
      <c r="B6" s="5">
        <v>4</v>
      </c>
      <c r="C6" s="6" t="s">
        <v>3</v>
      </c>
      <c r="D6" s="10" t="s">
        <v>7</v>
      </c>
      <c r="E6" s="8"/>
    </row>
    <row r="7" spans="2:18">
      <c r="B7" s="5">
        <v>5</v>
      </c>
      <c r="C7" s="6" t="s">
        <v>4</v>
      </c>
      <c r="D7" s="10" t="s">
        <v>7</v>
      </c>
      <c r="E7" s="8"/>
    </row>
    <row r="8" spans="2:18">
      <c r="B8" s="5">
        <v>6</v>
      </c>
      <c r="C8" s="6" t="s">
        <v>5</v>
      </c>
      <c r="D8" s="10" t="s">
        <v>7</v>
      </c>
      <c r="E8" s="8"/>
    </row>
    <row r="9" spans="2:18">
      <c r="D9" s="11"/>
    </row>
    <row r="11" spans="2:18" s="19" customFormat="1" ht="27" customHeight="1">
      <c r="B11" s="18"/>
      <c r="C11" s="117" t="s">
        <v>9</v>
      </c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Q11" s="110" t="s">
        <v>20</v>
      </c>
      <c r="R11" s="110"/>
    </row>
    <row r="12" spans="2:18" ht="15.75" thickBot="1"/>
    <row r="13" spans="2:18" ht="27.75" customHeight="1">
      <c r="C13" s="125" t="s">
        <v>10</v>
      </c>
      <c r="D13" s="102" t="s">
        <v>19</v>
      </c>
      <c r="E13" s="102" t="s">
        <v>18</v>
      </c>
      <c r="F13" s="111" t="s">
        <v>39</v>
      </c>
      <c r="G13" s="112"/>
      <c r="H13" s="102" t="s">
        <v>19</v>
      </c>
      <c r="I13" s="102" t="s">
        <v>18</v>
      </c>
      <c r="J13" s="111" t="s">
        <v>40</v>
      </c>
      <c r="K13" s="113"/>
      <c r="L13" s="102" t="s">
        <v>19</v>
      </c>
      <c r="M13" s="102" t="s">
        <v>18</v>
      </c>
      <c r="N13" s="111" t="s">
        <v>42</v>
      </c>
      <c r="O13" s="114"/>
      <c r="P13" s="21"/>
      <c r="Q13" s="115"/>
      <c r="R13" s="116"/>
    </row>
    <row r="14" spans="2:18" ht="25.5">
      <c r="C14" s="126"/>
      <c r="D14" s="118"/>
      <c r="E14" s="118"/>
      <c r="F14" s="42" t="s">
        <v>41</v>
      </c>
      <c r="G14" s="22" t="s">
        <v>15</v>
      </c>
      <c r="H14" s="118"/>
      <c r="I14" s="118"/>
      <c r="J14" s="42" t="s">
        <v>41</v>
      </c>
      <c r="K14" s="22" t="s">
        <v>15</v>
      </c>
      <c r="L14" s="118"/>
      <c r="M14" s="118"/>
      <c r="N14" s="42" t="s">
        <v>41</v>
      </c>
      <c r="O14" s="22" t="s">
        <v>15</v>
      </c>
      <c r="P14" s="4"/>
      <c r="Q14" s="20" t="s">
        <v>34</v>
      </c>
      <c r="R14" s="22" t="s">
        <v>16</v>
      </c>
    </row>
    <row r="15" spans="2:18">
      <c r="C15" s="40" t="s">
        <v>9</v>
      </c>
      <c r="D15" s="41" t="s">
        <v>8</v>
      </c>
      <c r="E15" s="43">
        <f>E3</f>
        <v>0</v>
      </c>
      <c r="F15" s="54">
        <v>90000</v>
      </c>
      <c r="G15" s="55">
        <f>E15*F15</f>
        <v>0</v>
      </c>
      <c r="H15" s="41" t="s">
        <v>8</v>
      </c>
      <c r="I15" s="44">
        <f>E3</f>
        <v>0</v>
      </c>
      <c r="J15" s="54">
        <f>10*K3</f>
        <v>160000</v>
      </c>
      <c r="K15" s="57">
        <f>I15*J15</f>
        <v>0</v>
      </c>
      <c r="L15" s="52" t="s">
        <v>8</v>
      </c>
      <c r="M15" s="43">
        <f>E3</f>
        <v>0</v>
      </c>
      <c r="N15" s="54">
        <f>9*K3</f>
        <v>144000</v>
      </c>
      <c r="O15" s="59">
        <f>M15*N15</f>
        <v>0</v>
      </c>
      <c r="P15" s="4"/>
      <c r="Q15" s="61">
        <f>6*M3</f>
        <v>90000</v>
      </c>
      <c r="R15" s="62">
        <f>Q15*E15</f>
        <v>0</v>
      </c>
    </row>
    <row r="16" spans="2:18" ht="15.75" customHeight="1">
      <c r="C16" s="32" t="s">
        <v>33</v>
      </c>
      <c r="D16" s="41" t="s">
        <v>32</v>
      </c>
      <c r="E16" s="43">
        <f>E4</f>
        <v>0</v>
      </c>
      <c r="F16" s="56">
        <v>62700</v>
      </c>
      <c r="G16" s="55">
        <f t="shared" ref="G16:G20" si="0">E16*F16</f>
        <v>0</v>
      </c>
      <c r="H16" s="41" t="s">
        <v>6</v>
      </c>
      <c r="I16" s="44">
        <f>E4/2</f>
        <v>0</v>
      </c>
      <c r="J16" s="56">
        <f>9.7*K3</f>
        <v>155200</v>
      </c>
      <c r="K16" s="57">
        <f t="shared" ref="K16:K20" si="1">I16*J16</f>
        <v>0</v>
      </c>
      <c r="L16" s="52" t="s">
        <v>6</v>
      </c>
      <c r="M16" s="43">
        <f>E4/2</f>
        <v>0</v>
      </c>
      <c r="N16" s="73">
        <f>18.24*K3</f>
        <v>291840</v>
      </c>
      <c r="O16" s="59">
        <f>M16*N16</f>
        <v>0</v>
      </c>
      <c r="P16" s="4"/>
      <c r="Q16" s="61">
        <f>3*M3</f>
        <v>45000</v>
      </c>
      <c r="R16" s="62">
        <f>Q16*E4</f>
        <v>0</v>
      </c>
    </row>
    <row r="17" spans="2:18">
      <c r="C17" s="40" t="s">
        <v>11</v>
      </c>
      <c r="D17" s="41" t="s">
        <v>32</v>
      </c>
      <c r="E17" s="43">
        <f>E5</f>
        <v>0</v>
      </c>
      <c r="F17" s="56">
        <v>40600</v>
      </c>
      <c r="G17" s="55">
        <f t="shared" si="0"/>
        <v>0</v>
      </c>
      <c r="H17" s="41" t="s">
        <v>6</v>
      </c>
      <c r="I17" s="44">
        <f>E5/2</f>
        <v>0</v>
      </c>
      <c r="J17" s="56">
        <f>8*K3</f>
        <v>128000</v>
      </c>
      <c r="K17" s="57">
        <f t="shared" si="1"/>
        <v>0</v>
      </c>
      <c r="L17" s="52" t="s">
        <v>6</v>
      </c>
      <c r="M17" s="43">
        <f>E5/2</f>
        <v>0</v>
      </c>
      <c r="N17" s="73">
        <f>8.84*K3</f>
        <v>141440</v>
      </c>
      <c r="O17" s="59">
        <f t="shared" ref="O17:O20" si="2">M17*N17</f>
        <v>0</v>
      </c>
      <c r="P17" s="4"/>
      <c r="Q17" s="61">
        <f>2*M3</f>
        <v>30000</v>
      </c>
      <c r="R17" s="62">
        <f>Q17*E5</f>
        <v>0</v>
      </c>
    </row>
    <row r="18" spans="2:18">
      <c r="C18" s="40" t="s">
        <v>12</v>
      </c>
      <c r="D18" s="41" t="s">
        <v>32</v>
      </c>
      <c r="E18" s="43">
        <f>E7</f>
        <v>0</v>
      </c>
      <c r="F18" s="56">
        <v>52700</v>
      </c>
      <c r="G18" s="55">
        <f t="shared" si="0"/>
        <v>0</v>
      </c>
      <c r="H18" s="41" t="s">
        <v>6</v>
      </c>
      <c r="I18" s="44">
        <f>E7/2</f>
        <v>0</v>
      </c>
      <c r="J18" s="56">
        <f>6.95*K3</f>
        <v>111200</v>
      </c>
      <c r="K18" s="57">
        <f t="shared" si="1"/>
        <v>0</v>
      </c>
      <c r="L18" s="52" t="s">
        <v>6</v>
      </c>
      <c r="M18" s="43">
        <f>E7/2</f>
        <v>0</v>
      </c>
      <c r="N18" s="73">
        <f>10.92*K3</f>
        <v>174720</v>
      </c>
      <c r="O18" s="59">
        <f t="shared" si="2"/>
        <v>0</v>
      </c>
      <c r="P18" s="4"/>
      <c r="Q18" s="61">
        <f>3*M3</f>
        <v>45000</v>
      </c>
      <c r="R18" s="62">
        <f>Q18*E7</f>
        <v>0</v>
      </c>
    </row>
    <row r="19" spans="2:18">
      <c r="C19" s="40" t="s">
        <v>13</v>
      </c>
      <c r="D19" s="41" t="s">
        <v>32</v>
      </c>
      <c r="E19" s="43">
        <f>E6</f>
        <v>0</v>
      </c>
      <c r="F19" s="56">
        <v>33800</v>
      </c>
      <c r="G19" s="55">
        <f t="shared" si="0"/>
        <v>0</v>
      </c>
      <c r="H19" s="41" t="s">
        <v>6</v>
      </c>
      <c r="I19" s="44">
        <f>E6/2</f>
        <v>0</v>
      </c>
      <c r="J19" s="56">
        <f>5.85*K3</f>
        <v>93600</v>
      </c>
      <c r="K19" s="57">
        <f t="shared" si="1"/>
        <v>0</v>
      </c>
      <c r="L19" s="52" t="s">
        <v>6</v>
      </c>
      <c r="M19" s="43">
        <f>E6/2</f>
        <v>0</v>
      </c>
      <c r="N19" s="73">
        <f>6.07*K3</f>
        <v>97120</v>
      </c>
      <c r="O19" s="59">
        <f t="shared" si="2"/>
        <v>0</v>
      </c>
      <c r="P19" s="4"/>
      <c r="Q19" s="61">
        <f>2*M3</f>
        <v>30000</v>
      </c>
      <c r="R19" s="62">
        <f>Q19*E6</f>
        <v>0</v>
      </c>
    </row>
    <row r="20" spans="2:18" ht="15.75" thickBot="1">
      <c r="C20" s="40" t="s">
        <v>14</v>
      </c>
      <c r="D20" s="46" t="s">
        <v>32</v>
      </c>
      <c r="E20" s="47">
        <f>E8</f>
        <v>0</v>
      </c>
      <c r="F20" s="68">
        <v>62750</v>
      </c>
      <c r="G20" s="69">
        <f t="shared" si="0"/>
        <v>0</v>
      </c>
      <c r="H20" s="46" t="s">
        <v>6</v>
      </c>
      <c r="I20" s="48">
        <f>E8/2</f>
        <v>0</v>
      </c>
      <c r="J20" s="68">
        <f>11.7*K3</f>
        <v>187200</v>
      </c>
      <c r="K20" s="58">
        <f t="shared" si="1"/>
        <v>0</v>
      </c>
      <c r="L20" s="53" t="s">
        <v>6</v>
      </c>
      <c r="M20" s="47">
        <f>E8/2</f>
        <v>0</v>
      </c>
      <c r="N20" s="74">
        <f>11*K3</f>
        <v>176000</v>
      </c>
      <c r="O20" s="60">
        <f t="shared" si="2"/>
        <v>0</v>
      </c>
      <c r="P20" s="4"/>
      <c r="Q20" s="63">
        <f>5*M3</f>
        <v>75000</v>
      </c>
      <c r="R20" s="64">
        <f>Q20*E8</f>
        <v>0</v>
      </c>
    </row>
    <row r="21" spans="2:18" ht="15.75" thickBot="1">
      <c r="C21" s="51" t="s">
        <v>43</v>
      </c>
      <c r="D21" s="127">
        <f>SUM(G15:G20)</f>
        <v>0</v>
      </c>
      <c r="E21" s="128"/>
      <c r="F21" s="128"/>
      <c r="G21" s="129"/>
      <c r="H21" s="130">
        <f>SUM(K15:K20)</f>
        <v>0</v>
      </c>
      <c r="I21" s="131"/>
      <c r="J21" s="131"/>
      <c r="K21" s="132"/>
      <c r="L21" s="130">
        <f>SUM(O15:O20)</f>
        <v>0</v>
      </c>
      <c r="M21" s="131"/>
      <c r="N21" s="131"/>
      <c r="O21" s="132"/>
      <c r="P21" s="23"/>
      <c r="Q21" s="65" t="s">
        <v>17</v>
      </c>
      <c r="R21" s="66">
        <f>SUM(R15:R20)</f>
        <v>0</v>
      </c>
    </row>
    <row r="24" spans="2:18" ht="1.5" customHeight="1"/>
    <row r="25" spans="2:18" s="19" customFormat="1" ht="30" customHeight="1">
      <c r="B25" s="18"/>
      <c r="C25" s="117" t="s">
        <v>21</v>
      </c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Q25" s="110" t="s">
        <v>20</v>
      </c>
      <c r="R25" s="110"/>
    </row>
    <row r="26" spans="2:18" ht="15.75" thickBot="1"/>
    <row r="27" spans="2:18">
      <c r="C27" s="125" t="s">
        <v>10</v>
      </c>
      <c r="D27" s="102" t="s">
        <v>19</v>
      </c>
      <c r="E27" s="102" t="s">
        <v>18</v>
      </c>
      <c r="F27" s="111" t="s">
        <v>45</v>
      </c>
      <c r="G27" s="113"/>
      <c r="H27" s="102" t="s">
        <v>19</v>
      </c>
      <c r="I27" s="102" t="s">
        <v>18</v>
      </c>
      <c r="J27" s="111" t="s">
        <v>30</v>
      </c>
      <c r="K27" s="113"/>
      <c r="L27" s="102" t="s">
        <v>19</v>
      </c>
      <c r="M27" s="102" t="s">
        <v>18</v>
      </c>
      <c r="N27" s="111" t="s">
        <v>31</v>
      </c>
      <c r="O27" s="114"/>
      <c r="P27" s="21"/>
      <c r="Q27" s="115"/>
      <c r="R27" s="116"/>
    </row>
    <row r="28" spans="2:18" ht="25.5">
      <c r="C28" s="126"/>
      <c r="D28" s="118"/>
      <c r="E28" s="118"/>
      <c r="F28" s="42" t="s">
        <v>41</v>
      </c>
      <c r="G28" s="22" t="s">
        <v>15</v>
      </c>
      <c r="H28" s="118"/>
      <c r="I28" s="118"/>
      <c r="J28" s="42" t="s">
        <v>41</v>
      </c>
      <c r="K28" s="22" t="s">
        <v>15</v>
      </c>
      <c r="L28" s="118"/>
      <c r="M28" s="118"/>
      <c r="N28" s="42" t="s">
        <v>41</v>
      </c>
      <c r="O28" s="22" t="s">
        <v>15</v>
      </c>
      <c r="P28" s="4"/>
      <c r="Q28" s="20" t="s">
        <v>34</v>
      </c>
      <c r="R28" s="22" t="s">
        <v>16</v>
      </c>
    </row>
    <row r="29" spans="2:18">
      <c r="C29" s="40" t="s">
        <v>21</v>
      </c>
      <c r="D29" s="41" t="s">
        <v>8</v>
      </c>
      <c r="E29" s="43">
        <f>E3</f>
        <v>0</v>
      </c>
      <c r="F29" s="54">
        <f>16.56*K3*1.04</f>
        <v>275558.40000000002</v>
      </c>
      <c r="G29" s="57">
        <f>E29*F29</f>
        <v>0</v>
      </c>
      <c r="H29" s="41" t="s">
        <v>8</v>
      </c>
      <c r="I29" s="44">
        <f>E3</f>
        <v>0</v>
      </c>
      <c r="J29" s="54">
        <f>14.28*K3*1.02</f>
        <v>233049.60000000001</v>
      </c>
      <c r="K29" s="57">
        <f>I29*J29</f>
        <v>0</v>
      </c>
      <c r="L29" s="41" t="s">
        <v>8</v>
      </c>
      <c r="M29" s="43">
        <f>E3</f>
        <v>0</v>
      </c>
      <c r="N29" s="54">
        <f>19.072*K3*1.02</f>
        <v>311255.03999999998</v>
      </c>
      <c r="O29" s="59">
        <f>M29*N29</f>
        <v>0</v>
      </c>
      <c r="P29" s="4"/>
      <c r="Q29" s="61">
        <f>6*M3</f>
        <v>90000</v>
      </c>
      <c r="R29" s="55">
        <f>Q29*E3</f>
        <v>0</v>
      </c>
    </row>
    <row r="30" spans="2:18" ht="15.75" customHeight="1">
      <c r="C30" s="40" t="s">
        <v>33</v>
      </c>
      <c r="D30" s="41" t="s">
        <v>6</v>
      </c>
      <c r="E30" s="43">
        <f>E4/0.4</f>
        <v>0</v>
      </c>
      <c r="F30" s="56">
        <f>7.25*K3*1.04</f>
        <v>120640</v>
      </c>
      <c r="G30" s="57">
        <f t="shared" ref="G30:G34" si="3">E30*F30</f>
        <v>0</v>
      </c>
      <c r="H30" s="41" t="s">
        <v>6</v>
      </c>
      <c r="I30" s="44">
        <f>E4/1.365</f>
        <v>0</v>
      </c>
      <c r="J30" s="56">
        <f>14.9*K3*1.02</f>
        <v>243168</v>
      </c>
      <c r="K30" s="57">
        <f t="shared" ref="K30:K34" si="4">I30*J30</f>
        <v>0</v>
      </c>
      <c r="L30" s="41" t="s">
        <v>6</v>
      </c>
      <c r="M30" s="43">
        <f>E4/1.365</f>
        <v>0</v>
      </c>
      <c r="N30" s="73">
        <f>14.9*K3*1.02</f>
        <v>243168</v>
      </c>
      <c r="O30" s="59">
        <f t="shared" ref="O30:O34" si="5">M30*N30</f>
        <v>0</v>
      </c>
      <c r="P30" s="4"/>
      <c r="Q30" s="61">
        <f>3*M3</f>
        <v>45000</v>
      </c>
      <c r="R30" s="55">
        <f>Q30*E4</f>
        <v>0</v>
      </c>
    </row>
    <row r="31" spans="2:18">
      <c r="C31" s="40" t="s">
        <v>11</v>
      </c>
      <c r="D31" s="41" t="s">
        <v>6</v>
      </c>
      <c r="E31" s="43">
        <f>E5/2</f>
        <v>0</v>
      </c>
      <c r="F31" s="56">
        <f>16.7*K3</f>
        <v>267200</v>
      </c>
      <c r="G31" s="57">
        <f t="shared" si="3"/>
        <v>0</v>
      </c>
      <c r="H31" s="41" t="s">
        <v>6</v>
      </c>
      <c r="I31" s="44">
        <f>E5/1.25</f>
        <v>0</v>
      </c>
      <c r="J31" s="56">
        <f>12.65*K3*1.02</f>
        <v>206448</v>
      </c>
      <c r="K31" s="57">
        <f t="shared" si="4"/>
        <v>0</v>
      </c>
      <c r="L31" s="41" t="s">
        <v>6</v>
      </c>
      <c r="M31" s="43">
        <f>E5/1.25</f>
        <v>0</v>
      </c>
      <c r="N31" s="73">
        <f>12.65*K3*1.02</f>
        <v>206448</v>
      </c>
      <c r="O31" s="59">
        <f t="shared" si="5"/>
        <v>0</v>
      </c>
      <c r="P31" s="4"/>
      <c r="Q31" s="61">
        <f>2*M3</f>
        <v>30000</v>
      </c>
      <c r="R31" s="55">
        <f>Q31*E5</f>
        <v>0</v>
      </c>
    </row>
    <row r="32" spans="2:18">
      <c r="C32" s="40" t="s">
        <v>12</v>
      </c>
      <c r="D32" s="41" t="s">
        <v>6</v>
      </c>
      <c r="E32" s="43">
        <f>E7/2</f>
        <v>0</v>
      </c>
      <c r="F32" s="56">
        <f>20.9*K3*1.04</f>
        <v>347776</v>
      </c>
      <c r="G32" s="57">
        <f t="shared" si="3"/>
        <v>0</v>
      </c>
      <c r="H32" s="41" t="s">
        <v>6</v>
      </c>
      <c r="I32" s="44">
        <f>E7/1.365</f>
        <v>0</v>
      </c>
      <c r="J32" s="56">
        <f>13.15*K3*1.02</f>
        <v>214608</v>
      </c>
      <c r="K32" s="57">
        <f t="shared" si="4"/>
        <v>0</v>
      </c>
      <c r="L32" s="41" t="s">
        <v>6</v>
      </c>
      <c r="M32" s="43">
        <f>E7/1.365</f>
        <v>0</v>
      </c>
      <c r="N32" s="73">
        <f>17.8*K3*1.02</f>
        <v>290496</v>
      </c>
      <c r="O32" s="59">
        <f t="shared" si="5"/>
        <v>0</v>
      </c>
      <c r="P32" s="4"/>
      <c r="Q32" s="61">
        <f>3*M3</f>
        <v>45000</v>
      </c>
      <c r="R32" s="55">
        <f>Q32*E7</f>
        <v>0</v>
      </c>
    </row>
    <row r="33" spans="2:18">
      <c r="C33" s="40" t="s">
        <v>13</v>
      </c>
      <c r="D33" s="41" t="s">
        <v>6</v>
      </c>
      <c r="E33" s="43">
        <f>E6/2</f>
        <v>0</v>
      </c>
      <c r="F33" s="56">
        <f>16.7*K3*1.04</f>
        <v>277888</v>
      </c>
      <c r="G33" s="57">
        <f t="shared" si="3"/>
        <v>0</v>
      </c>
      <c r="H33" s="41" t="s">
        <v>6</v>
      </c>
      <c r="I33" s="44">
        <f>E6/1.365</f>
        <v>0</v>
      </c>
      <c r="J33" s="56">
        <f>12.3*K3*1.02</f>
        <v>200736</v>
      </c>
      <c r="K33" s="57">
        <f t="shared" si="4"/>
        <v>0</v>
      </c>
      <c r="L33" s="41" t="s">
        <v>6</v>
      </c>
      <c r="M33" s="43">
        <f>E6/1.1</f>
        <v>0</v>
      </c>
      <c r="N33" s="73">
        <f>13.41*K3*1.02</f>
        <v>218851.20000000001</v>
      </c>
      <c r="O33" s="59">
        <f t="shared" si="5"/>
        <v>0</v>
      </c>
      <c r="P33" s="4"/>
      <c r="Q33" s="61">
        <f>2*M3</f>
        <v>30000</v>
      </c>
      <c r="R33" s="55">
        <f>Q33*E6</f>
        <v>0</v>
      </c>
    </row>
    <row r="34" spans="2:18" ht="15.75" thickBot="1">
      <c r="C34" s="45" t="s">
        <v>14</v>
      </c>
      <c r="D34" s="46" t="s">
        <v>6</v>
      </c>
      <c r="E34" s="47">
        <f>E8/2</f>
        <v>0</v>
      </c>
      <c r="F34" s="68">
        <f>16.7*K3*1.04</f>
        <v>277888</v>
      </c>
      <c r="G34" s="58">
        <f t="shared" si="3"/>
        <v>0</v>
      </c>
      <c r="H34" s="46" t="s">
        <v>6</v>
      </c>
      <c r="I34" s="48">
        <f>E8/1.25</f>
        <v>0</v>
      </c>
      <c r="J34" s="68">
        <f>11.9*K3*1.02</f>
        <v>194208</v>
      </c>
      <c r="K34" s="58">
        <f t="shared" si="4"/>
        <v>0</v>
      </c>
      <c r="L34" s="46" t="s">
        <v>6</v>
      </c>
      <c r="M34" s="47">
        <f>E8/1.25</f>
        <v>0</v>
      </c>
      <c r="N34" s="74">
        <f>11.9*K3*1.02</f>
        <v>194208</v>
      </c>
      <c r="O34" s="60">
        <f t="shared" si="5"/>
        <v>0</v>
      </c>
      <c r="P34" s="4"/>
      <c r="Q34" s="63">
        <f>5*M3</f>
        <v>75000</v>
      </c>
      <c r="R34" s="69">
        <f>Q34*E8</f>
        <v>0</v>
      </c>
    </row>
    <row r="35" spans="2:18" ht="15.75" thickBot="1">
      <c r="C35" s="50" t="s">
        <v>47</v>
      </c>
      <c r="D35" s="83">
        <f>SUM(G29:G34)</f>
        <v>0</v>
      </c>
      <c r="E35" s="84"/>
      <c r="F35" s="84"/>
      <c r="G35" s="85"/>
      <c r="H35" s="84">
        <f>SUM(K29:K34)</f>
        <v>0</v>
      </c>
      <c r="I35" s="84"/>
      <c r="J35" s="84"/>
      <c r="K35" s="84"/>
      <c r="L35" s="86">
        <f>SUM(O29:O34)</f>
        <v>0</v>
      </c>
      <c r="M35" s="87"/>
      <c r="N35" s="87"/>
      <c r="O35" s="88"/>
      <c r="P35" s="67"/>
      <c r="Q35" s="27" t="s">
        <v>47</v>
      </c>
      <c r="R35" s="66">
        <f>SUM(R29:R34)</f>
        <v>0</v>
      </c>
    </row>
    <row r="36" spans="2:18">
      <c r="C36" s="12"/>
      <c r="D36" s="13"/>
      <c r="E36" s="14"/>
      <c r="F36" s="15"/>
      <c r="G36" s="14"/>
      <c r="H36" s="14"/>
      <c r="I36" s="15"/>
      <c r="J36" s="15"/>
      <c r="K36" s="13"/>
      <c r="L36" s="15"/>
      <c r="M36" s="14"/>
      <c r="N36" s="14"/>
      <c r="O36" s="14"/>
      <c r="Q36" s="16"/>
      <c r="R36" s="16"/>
    </row>
    <row r="37" spans="2:18" ht="14.25" customHeight="1">
      <c r="C37" s="12"/>
      <c r="D37" s="13"/>
      <c r="E37" s="14"/>
      <c r="F37" s="15"/>
      <c r="G37" s="14"/>
      <c r="H37" s="14"/>
      <c r="I37" s="15"/>
      <c r="J37" s="15"/>
      <c r="K37" s="13"/>
      <c r="L37" s="15"/>
      <c r="M37" s="14"/>
      <c r="N37" s="14"/>
      <c r="O37" s="14"/>
      <c r="Q37" s="16"/>
      <c r="R37" s="16"/>
    </row>
    <row r="38" spans="2:18" ht="15" hidden="1" customHeight="1"/>
    <row r="39" spans="2:18" s="19" customFormat="1" ht="15.75">
      <c r="B39" s="18"/>
      <c r="C39" s="110" t="s">
        <v>22</v>
      </c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Q39" s="110" t="s">
        <v>20</v>
      </c>
      <c r="R39" s="110"/>
    </row>
    <row r="40" spans="2:18" ht="15.75" thickBot="1">
      <c r="D40" s="2"/>
    </row>
    <row r="41" spans="2:18" ht="15" customHeight="1">
      <c r="C41" s="123" t="s">
        <v>10</v>
      </c>
      <c r="D41" s="119" t="s">
        <v>36</v>
      </c>
      <c r="E41" s="102" t="s">
        <v>18</v>
      </c>
      <c r="F41" s="106" t="s">
        <v>37</v>
      </c>
      <c r="G41" s="106"/>
      <c r="H41" s="107"/>
      <c r="I41" s="102" t="s">
        <v>18</v>
      </c>
      <c r="J41" s="111" t="s">
        <v>38</v>
      </c>
      <c r="K41" s="112"/>
      <c r="L41" s="119" t="s">
        <v>36</v>
      </c>
      <c r="M41" s="102" t="s">
        <v>18</v>
      </c>
      <c r="N41" s="121" t="s">
        <v>46</v>
      </c>
      <c r="O41" s="122"/>
      <c r="P41" s="21"/>
      <c r="Q41" s="115"/>
      <c r="R41" s="116"/>
    </row>
    <row r="42" spans="2:18" ht="26.25" thickBot="1">
      <c r="C42" s="124"/>
      <c r="D42" s="120"/>
      <c r="E42" s="103"/>
      <c r="F42" s="42" t="s">
        <v>41</v>
      </c>
      <c r="G42" s="104" t="s">
        <v>15</v>
      </c>
      <c r="H42" s="105"/>
      <c r="I42" s="103"/>
      <c r="J42" s="42" t="s">
        <v>41</v>
      </c>
      <c r="K42" s="22" t="s">
        <v>15</v>
      </c>
      <c r="L42" s="120"/>
      <c r="M42" s="103"/>
      <c r="N42" s="42" t="s">
        <v>41</v>
      </c>
      <c r="O42" s="22" t="s">
        <v>15</v>
      </c>
      <c r="P42" s="23"/>
      <c r="Q42" s="24" t="s">
        <v>34</v>
      </c>
      <c r="R42" s="25" t="s">
        <v>16</v>
      </c>
    </row>
    <row r="43" spans="2:18">
      <c r="C43" s="31" t="s">
        <v>44</v>
      </c>
      <c r="D43" s="37" t="s">
        <v>23</v>
      </c>
      <c r="E43" s="34">
        <f>E3</f>
        <v>0</v>
      </c>
      <c r="F43" s="75">
        <f>3.8*K3*1.02</f>
        <v>62016</v>
      </c>
      <c r="G43" s="108">
        <f t="shared" ref="G43:G49" si="6">E43*F43</f>
        <v>0</v>
      </c>
      <c r="H43" s="109"/>
      <c r="I43" s="28">
        <f>E3</f>
        <v>0</v>
      </c>
      <c r="J43" s="75">
        <f>3.8*K3</f>
        <v>60800</v>
      </c>
      <c r="K43" s="70">
        <f>I43*J43</f>
        <v>0</v>
      </c>
      <c r="L43" s="37" t="s">
        <v>23</v>
      </c>
      <c r="M43" s="34">
        <f>E3</f>
        <v>0</v>
      </c>
      <c r="N43" s="78">
        <f>3.8*K3</f>
        <v>60800</v>
      </c>
      <c r="O43" s="72">
        <f>M43*N43</f>
        <v>0</v>
      </c>
      <c r="P43" s="4"/>
      <c r="Q43" s="81">
        <f>3*M3</f>
        <v>45000</v>
      </c>
      <c r="R43" s="82">
        <f>Q43*E3</f>
        <v>0</v>
      </c>
    </row>
    <row r="44" spans="2:18">
      <c r="C44" s="32" t="s">
        <v>24</v>
      </c>
      <c r="D44" s="38" t="s">
        <v>35</v>
      </c>
      <c r="E44" s="35">
        <f>E3/30</f>
        <v>0</v>
      </c>
      <c r="F44" s="76">
        <f>103.8*K3*1.02</f>
        <v>1694016</v>
      </c>
      <c r="G44" s="89">
        <f t="shared" si="6"/>
        <v>0</v>
      </c>
      <c r="H44" s="90"/>
      <c r="I44" s="29">
        <f>E3/30</f>
        <v>0</v>
      </c>
      <c r="J44" s="76">
        <f>103.8*K3*1.02</f>
        <v>1694016</v>
      </c>
      <c r="K44" s="62">
        <f t="shared" ref="K44:K49" si="7">I44*J44</f>
        <v>0</v>
      </c>
      <c r="L44" s="38" t="s">
        <v>35</v>
      </c>
      <c r="M44" s="35">
        <f>E3/30</f>
        <v>0</v>
      </c>
      <c r="N44" s="79">
        <f>1440*L3*1.04</f>
        <v>386380.79999999999</v>
      </c>
      <c r="O44" s="72">
        <f t="shared" ref="O44:O49" si="8">M44*N44</f>
        <v>0</v>
      </c>
      <c r="P44" s="4"/>
      <c r="Q44" s="61">
        <f>1*M3</f>
        <v>15000</v>
      </c>
      <c r="R44" s="55">
        <f>Q44*E3</f>
        <v>0</v>
      </c>
    </row>
    <row r="45" spans="2:18">
      <c r="C45" s="32" t="s">
        <v>25</v>
      </c>
      <c r="D45" s="38" t="s">
        <v>23</v>
      </c>
      <c r="E45" s="35">
        <f>E3</f>
        <v>0</v>
      </c>
      <c r="F45" s="76">
        <f>10.99*K3*1.02</f>
        <v>179356.80000000002</v>
      </c>
      <c r="G45" s="89">
        <f t="shared" si="6"/>
        <v>0</v>
      </c>
      <c r="H45" s="90"/>
      <c r="I45" s="29">
        <f>E3</f>
        <v>0</v>
      </c>
      <c r="J45" s="76">
        <f>9*K3*1.02</f>
        <v>146880</v>
      </c>
      <c r="K45" s="62">
        <f t="shared" si="7"/>
        <v>0</v>
      </c>
      <c r="L45" s="38" t="s">
        <v>23</v>
      </c>
      <c r="M45" s="35">
        <f>E3</f>
        <v>0</v>
      </c>
      <c r="N45" s="79">
        <f>195*L3*1.04</f>
        <v>52322.400000000001</v>
      </c>
      <c r="O45" s="72">
        <f t="shared" si="8"/>
        <v>0</v>
      </c>
      <c r="P45" s="4"/>
      <c r="Q45" s="61">
        <f>6*M3</f>
        <v>90000</v>
      </c>
      <c r="R45" s="55">
        <f>Q45*E3</f>
        <v>0</v>
      </c>
    </row>
    <row r="46" spans="2:18">
      <c r="C46" s="32" t="s">
        <v>26</v>
      </c>
      <c r="D46" s="38" t="s">
        <v>32</v>
      </c>
      <c r="E46" s="35">
        <f>E4</f>
        <v>0</v>
      </c>
      <c r="F46" s="76">
        <f>3.843*K3*1.02</f>
        <v>62717.760000000002</v>
      </c>
      <c r="G46" s="89">
        <f t="shared" si="6"/>
        <v>0</v>
      </c>
      <c r="H46" s="90"/>
      <c r="I46" s="29">
        <f>E4</f>
        <v>0</v>
      </c>
      <c r="J46" s="76">
        <f>3.843*K3*1.02</f>
        <v>62717.760000000002</v>
      </c>
      <c r="K46" s="62">
        <f t="shared" si="7"/>
        <v>0</v>
      </c>
      <c r="L46" s="38" t="s">
        <v>32</v>
      </c>
      <c r="M46" s="35">
        <f>E4</f>
        <v>0</v>
      </c>
      <c r="N46" s="79">
        <f>154.2*L3*1.04</f>
        <v>41374.944000000003</v>
      </c>
      <c r="O46" s="72">
        <f t="shared" si="8"/>
        <v>0</v>
      </c>
      <c r="P46" s="4"/>
      <c r="Q46" s="61">
        <v>0</v>
      </c>
      <c r="R46" s="55">
        <v>0</v>
      </c>
    </row>
    <row r="47" spans="2:18">
      <c r="C47" s="32" t="s">
        <v>27</v>
      </c>
      <c r="D47" s="38" t="s">
        <v>32</v>
      </c>
      <c r="E47" s="35">
        <f>E6</f>
        <v>0</v>
      </c>
      <c r="F47" s="76">
        <f>1.647*K3*1.02</f>
        <v>26879.040000000001</v>
      </c>
      <c r="G47" s="89">
        <f t="shared" si="6"/>
        <v>0</v>
      </c>
      <c r="H47" s="90"/>
      <c r="I47" s="29">
        <f>E6</f>
        <v>0</v>
      </c>
      <c r="J47" s="76">
        <f>1.647*K3*1.02</f>
        <v>26879.040000000001</v>
      </c>
      <c r="K47" s="62">
        <f t="shared" si="7"/>
        <v>0</v>
      </c>
      <c r="L47" s="38" t="s">
        <v>32</v>
      </c>
      <c r="M47" s="35">
        <f>E6</f>
        <v>0</v>
      </c>
      <c r="N47" s="79">
        <f>92.5*L3*1.04</f>
        <v>24819.600000000002</v>
      </c>
      <c r="O47" s="72">
        <f t="shared" si="8"/>
        <v>0</v>
      </c>
      <c r="P47" s="4"/>
      <c r="Q47" s="61">
        <v>0</v>
      </c>
      <c r="R47" s="55">
        <v>0</v>
      </c>
    </row>
    <row r="48" spans="2:18">
      <c r="C48" s="32" t="s">
        <v>28</v>
      </c>
      <c r="D48" s="38" t="s">
        <v>29</v>
      </c>
      <c r="E48" s="35">
        <f>E3*0.07</f>
        <v>0</v>
      </c>
      <c r="F48" s="76">
        <f>3.6*K3*1.02</f>
        <v>58752</v>
      </c>
      <c r="G48" s="89">
        <f t="shared" si="6"/>
        <v>0</v>
      </c>
      <c r="H48" s="90"/>
      <c r="I48" s="29">
        <f>E3*0.07</f>
        <v>0</v>
      </c>
      <c r="J48" s="76">
        <f>3.6*K3*1.02</f>
        <v>58752</v>
      </c>
      <c r="K48" s="62">
        <f t="shared" si="7"/>
        <v>0</v>
      </c>
      <c r="L48" s="38" t="s">
        <v>29</v>
      </c>
      <c r="M48" s="35">
        <f>E3*0.07</f>
        <v>0</v>
      </c>
      <c r="N48" s="79">
        <f>3.6*K3*1.02</f>
        <v>58752</v>
      </c>
      <c r="O48" s="72">
        <f t="shared" si="8"/>
        <v>0</v>
      </c>
      <c r="P48" s="4"/>
      <c r="Q48" s="61">
        <v>0</v>
      </c>
      <c r="R48" s="55">
        <v>0</v>
      </c>
    </row>
    <row r="49" spans="3:18" ht="15.75" thickBot="1">
      <c r="C49" s="33" t="s">
        <v>13</v>
      </c>
      <c r="D49" s="39" t="s">
        <v>32</v>
      </c>
      <c r="E49" s="36">
        <f>E6</f>
        <v>0</v>
      </c>
      <c r="F49" s="77">
        <f>3*K3</f>
        <v>48000</v>
      </c>
      <c r="G49" s="94">
        <f t="shared" si="6"/>
        <v>0</v>
      </c>
      <c r="H49" s="95"/>
      <c r="I49" s="30">
        <f>E6</f>
        <v>0</v>
      </c>
      <c r="J49" s="77">
        <f>3*K3</f>
        <v>48000</v>
      </c>
      <c r="K49" s="71">
        <f t="shared" si="7"/>
        <v>0</v>
      </c>
      <c r="L49" s="39" t="s">
        <v>32</v>
      </c>
      <c r="M49" s="36">
        <f>E6</f>
        <v>0</v>
      </c>
      <c r="N49" s="80">
        <f>3*K3</f>
        <v>48000</v>
      </c>
      <c r="O49" s="72">
        <f t="shared" si="8"/>
        <v>0</v>
      </c>
      <c r="P49" s="4"/>
      <c r="Q49" s="63">
        <f>2*M3</f>
        <v>30000</v>
      </c>
      <c r="R49" s="69">
        <f>Q49*E6</f>
        <v>0</v>
      </c>
    </row>
    <row r="50" spans="3:18" ht="26.25" thickBot="1">
      <c r="C50" s="49" t="s">
        <v>47</v>
      </c>
      <c r="D50" s="96">
        <f>SUM(G43:H49)</f>
        <v>0</v>
      </c>
      <c r="E50" s="97"/>
      <c r="F50" s="97"/>
      <c r="G50" s="97"/>
      <c r="H50" s="98"/>
      <c r="I50" s="99">
        <f>SUM(K43:K49)</f>
        <v>0</v>
      </c>
      <c r="J50" s="100"/>
      <c r="K50" s="101"/>
      <c r="L50" s="91">
        <f>SUM(O43:O49)</f>
        <v>0</v>
      </c>
      <c r="M50" s="92"/>
      <c r="N50" s="92"/>
      <c r="O50" s="93"/>
      <c r="P50" s="26"/>
      <c r="Q50" s="27" t="s">
        <v>48</v>
      </c>
      <c r="R50" s="66">
        <f>SUM(R43:R49)</f>
        <v>0</v>
      </c>
    </row>
    <row r="52" spans="3:18" hidden="1"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</sheetData>
  <mergeCells count="56">
    <mergeCell ref="D27:D28"/>
    <mergeCell ref="E27:E28"/>
    <mergeCell ref="C27:C28"/>
    <mergeCell ref="D13:D14"/>
    <mergeCell ref="E13:E14"/>
    <mergeCell ref="C13:C14"/>
    <mergeCell ref="C25:O25"/>
    <mergeCell ref="D21:G21"/>
    <mergeCell ref="H21:K21"/>
    <mergeCell ref="L21:O21"/>
    <mergeCell ref="Q41:R41"/>
    <mergeCell ref="Q39:R39"/>
    <mergeCell ref="D41:D42"/>
    <mergeCell ref="J41:K41"/>
    <mergeCell ref="C39:N39"/>
    <mergeCell ref="E41:E42"/>
    <mergeCell ref="N41:O41"/>
    <mergeCell ref="M41:M42"/>
    <mergeCell ref="L41:L42"/>
    <mergeCell ref="C41:C42"/>
    <mergeCell ref="Q25:R25"/>
    <mergeCell ref="F27:G27"/>
    <mergeCell ref="J27:K27"/>
    <mergeCell ref="N27:O27"/>
    <mergeCell ref="Q27:R27"/>
    <mergeCell ref="I27:I28"/>
    <mergeCell ref="M27:M28"/>
    <mergeCell ref="H27:H28"/>
    <mergeCell ref="L27:L28"/>
    <mergeCell ref="C2:E2"/>
    <mergeCell ref="F13:G13"/>
    <mergeCell ref="J13:K13"/>
    <mergeCell ref="N13:O13"/>
    <mergeCell ref="Q13:R13"/>
    <mergeCell ref="Q11:R11"/>
    <mergeCell ref="C11:O11"/>
    <mergeCell ref="I13:I14"/>
    <mergeCell ref="M13:M14"/>
    <mergeCell ref="H13:H14"/>
    <mergeCell ref="L13:L14"/>
    <mergeCell ref="D35:G35"/>
    <mergeCell ref="H35:K35"/>
    <mergeCell ref="L35:O35"/>
    <mergeCell ref="G44:H44"/>
    <mergeCell ref="L50:O50"/>
    <mergeCell ref="G48:H48"/>
    <mergeCell ref="G49:H49"/>
    <mergeCell ref="D50:H50"/>
    <mergeCell ref="I50:K50"/>
    <mergeCell ref="I41:I42"/>
    <mergeCell ref="G42:H42"/>
    <mergeCell ref="F41:H41"/>
    <mergeCell ref="G43:H43"/>
    <mergeCell ref="G45:H45"/>
    <mergeCell ref="G46:H46"/>
    <mergeCell ref="G47:H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Руфситемс</dc:creator>
  <cp:lastModifiedBy>Admin</cp:lastModifiedBy>
  <dcterms:created xsi:type="dcterms:W3CDTF">2015-04-06T06:30:09Z</dcterms:created>
  <dcterms:modified xsi:type="dcterms:W3CDTF">2015-04-10T10:45:46Z</dcterms:modified>
</cp:coreProperties>
</file>