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4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5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6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7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8.xml" ContentType="application/vnd.openxmlformats-officedocument.themeOverrid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10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11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12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13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14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15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16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17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18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19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20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evelisespin/Downloads/"/>
    </mc:Choice>
  </mc:AlternateContent>
  <xr:revisionPtr revIDLastSave="0" documentId="13_ncr:1_{EA4A8755-987E-0F44-B5A1-50A39772C246}" xr6:coauthVersionLast="47" xr6:coauthVersionMax="47" xr10:uidLastSave="{00000000-0000-0000-0000-000000000000}"/>
  <bookViews>
    <workbookView xWindow="0" yWindow="0" windowWidth="25600" windowHeight="16000" xr2:uid="{608F9853-8E27-9740-8DBD-2E8F2519377A}"/>
  </bookViews>
  <sheets>
    <sheet name="2026" sheetId="2" r:id="rId1"/>
    <sheet name="2025" sheetId="4" r:id="rId2"/>
    <sheet name="Gráficos" sheetId="1" r:id="rId3"/>
    <sheet name="Impresssão" sheetId="5" r:id="rId4"/>
    <sheet name="Planilha1" sheetId="6" r:id="rId5"/>
  </sheets>
  <definedNames>
    <definedName name="_xlnm.Print_Area" localSheetId="0">'2026'!$A$1:$Q$133</definedName>
    <definedName name="_xlnm.Print_Area" localSheetId="2">Gráficos!$A$1:$G$736</definedName>
    <definedName name="_xlnm.Print_Area" localSheetId="3">Impresssão!$A$1:$N$285</definedName>
    <definedName name="Cons">#REF!</definedName>
    <definedName name="dairyplan">#REF!</definedName>
    <definedName name="dairyplan0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9" i="2" l="1"/>
  <c r="H61" i="2"/>
  <c r="I61" i="2"/>
  <c r="H62" i="2"/>
  <c r="I62" i="2"/>
  <c r="I104" i="2"/>
  <c r="I105" i="2"/>
  <c r="I106" i="2"/>
  <c r="I107" i="2"/>
  <c r="I98" i="2"/>
  <c r="I99" i="2"/>
  <c r="I95" i="2"/>
  <c r="I96" i="2"/>
  <c r="I94" i="2"/>
  <c r="I92" i="2"/>
  <c r="I89" i="2"/>
  <c r="I90" i="2" s="1"/>
  <c r="I82" i="2"/>
  <c r="I83" i="2"/>
  <c r="I84" i="2"/>
  <c r="I85" i="2"/>
  <c r="I86" i="2"/>
  <c r="I87" i="2"/>
  <c r="I88" i="2"/>
  <c r="J43" i="2"/>
  <c r="J44" i="2" s="1"/>
  <c r="J45" i="2"/>
  <c r="J46" i="2"/>
  <c r="J47" i="2"/>
  <c r="J48" i="2"/>
  <c r="J42" i="2"/>
  <c r="J13" i="2"/>
  <c r="J14" i="2" s="1"/>
  <c r="J8" i="2"/>
  <c r="J24" i="2"/>
  <c r="H69" i="2"/>
  <c r="I65" i="2"/>
  <c r="I67" i="2"/>
  <c r="H55" i="2"/>
  <c r="H105" i="2"/>
  <c r="H106" i="2"/>
  <c r="H107" i="2"/>
  <c r="H94" i="2"/>
  <c r="H92" i="2"/>
  <c r="H89" i="2"/>
  <c r="H90" i="2"/>
  <c r="H104" i="2"/>
  <c r="H42" i="2"/>
  <c r="I42" i="2"/>
  <c r="H98" i="2"/>
  <c r="H99" i="2"/>
  <c r="H95" i="2"/>
  <c r="H96" i="2"/>
  <c r="H82" i="2"/>
  <c r="H83" i="2"/>
  <c r="H84" i="2"/>
  <c r="H85" i="2"/>
  <c r="H86" i="2"/>
  <c r="H87" i="2"/>
  <c r="H88" i="2"/>
  <c r="H43" i="2"/>
  <c r="H44" i="2" s="1"/>
  <c r="I43" i="2"/>
  <c r="I44" i="2"/>
  <c r="H45" i="2"/>
  <c r="I45" i="2"/>
  <c r="H46" i="2"/>
  <c r="I46" i="2"/>
  <c r="H47" i="2"/>
  <c r="I47" i="2"/>
  <c r="H48" i="2"/>
  <c r="I48" i="2"/>
  <c r="I13" i="2"/>
  <c r="I14" i="2" s="1"/>
  <c r="I24" i="2"/>
  <c r="G69" i="2"/>
  <c r="H67" i="2"/>
  <c r="G61" i="2"/>
  <c r="G55" i="2"/>
  <c r="G98" i="2" l="1"/>
  <c r="G99" i="2"/>
  <c r="G95" i="2"/>
  <c r="G96" i="2"/>
  <c r="G94" i="2"/>
  <c r="G92" i="2"/>
  <c r="G93" i="2"/>
  <c r="G89" i="2"/>
  <c r="G90" i="2" s="1"/>
  <c r="G42" i="2"/>
  <c r="G43" i="2"/>
  <c r="G44" i="2" s="1"/>
  <c r="G45" i="2"/>
  <c r="G46" i="2"/>
  <c r="G47" i="2"/>
  <c r="G48" i="2"/>
  <c r="G104" i="2"/>
  <c r="G105" i="2"/>
  <c r="G106" i="2"/>
  <c r="G107" i="2"/>
  <c r="G82" i="2"/>
  <c r="G83" i="2"/>
  <c r="G84" i="2"/>
  <c r="G85" i="2"/>
  <c r="G86" i="2"/>
  <c r="G87" i="2"/>
  <c r="G88" i="2"/>
  <c r="H65" i="2"/>
  <c r="H13" i="2" l="1"/>
  <c r="H14" i="2" s="1"/>
  <c r="H8" i="2"/>
  <c r="H7" i="2"/>
  <c r="H24" i="2"/>
  <c r="P48" i="4"/>
  <c r="F61" i="2"/>
  <c r="F55" i="2"/>
  <c r="F42" i="2"/>
  <c r="F92" i="2" l="1"/>
  <c r="F93" i="2"/>
  <c r="F94" i="2"/>
  <c r="F89" i="2"/>
  <c r="F90" i="2" s="1"/>
  <c r="F104" i="2"/>
  <c r="F105" i="2"/>
  <c r="F106" i="2"/>
  <c r="F107" i="2"/>
  <c r="F69" i="2"/>
  <c r="G67" i="2"/>
  <c r="G65" i="2"/>
  <c r="F98" i="2" l="1"/>
  <c r="F99" i="2"/>
  <c r="F96" i="2"/>
  <c r="F95" i="2"/>
  <c r="F82" i="2"/>
  <c r="F83" i="2"/>
  <c r="F84" i="2"/>
  <c r="F85" i="2"/>
  <c r="F86" i="2"/>
  <c r="F87" i="2"/>
  <c r="F88" i="2"/>
  <c r="G13" i="2"/>
  <c r="G14" i="2" s="1"/>
  <c r="G8" i="2"/>
  <c r="G24" i="2"/>
  <c r="E61" i="2"/>
  <c r="E55" i="2"/>
  <c r="E69" i="2"/>
  <c r="E104" i="2"/>
  <c r="E105" i="2"/>
  <c r="E106" i="2"/>
  <c r="E107" i="2"/>
  <c r="E98" i="2"/>
  <c r="E99" i="2"/>
  <c r="E95" i="2"/>
  <c r="E96" i="2"/>
  <c r="E94" i="2"/>
  <c r="E92" i="2"/>
  <c r="E89" i="2"/>
  <c r="E90" i="2" s="1"/>
  <c r="E82" i="2"/>
  <c r="E83" i="2"/>
  <c r="E84" i="2"/>
  <c r="E85" i="2"/>
  <c r="E86" i="2"/>
  <c r="E87" i="2"/>
  <c r="E88" i="2"/>
  <c r="E67" i="2"/>
  <c r="F67" i="2"/>
  <c r="E65" i="2"/>
  <c r="E43" i="2"/>
  <c r="E44" i="2" s="1"/>
  <c r="F43" i="2"/>
  <c r="F44" i="2" s="1"/>
  <c r="E45" i="2"/>
  <c r="F45" i="2"/>
  <c r="E13" i="2"/>
  <c r="E14" i="2" s="1"/>
  <c r="F13" i="2"/>
  <c r="F14" i="2" s="1"/>
  <c r="E24" i="2"/>
  <c r="E48" i="2" s="1"/>
  <c r="F24" i="2"/>
  <c r="F46" i="2" s="1"/>
  <c r="F8" i="2"/>
  <c r="F15" i="2"/>
  <c r="F65" i="2" s="1"/>
  <c r="D55" i="2"/>
  <c r="D92" i="2"/>
  <c r="D89" i="2"/>
  <c r="D90" i="2" s="1"/>
  <c r="F48" i="2" l="1"/>
  <c r="F47" i="2"/>
  <c r="E47" i="2"/>
  <c r="E46" i="2"/>
  <c r="D42" i="2"/>
  <c r="E42" i="2"/>
  <c r="D69" i="2"/>
  <c r="D98" i="2"/>
  <c r="D94" i="2" s="1"/>
  <c r="D99" i="2"/>
  <c r="D95" i="2"/>
  <c r="D96" i="2"/>
  <c r="D24" i="2"/>
  <c r="D13" i="2"/>
  <c r="D14" i="2" s="1"/>
  <c r="D7" i="2"/>
  <c r="N58" i="4"/>
  <c r="N87" i="4"/>
  <c r="N83" i="4" l="1"/>
  <c r="N84" i="4"/>
  <c r="N85" i="4"/>
  <c r="N80" i="4"/>
  <c r="N81" i="4" s="1"/>
  <c r="P39" i="4"/>
  <c r="N39" i="4"/>
  <c r="N8" i="4"/>
  <c r="C8" i="2"/>
  <c r="N21" i="4"/>
  <c r="C13" i="2"/>
  <c r="C7" i="2"/>
  <c r="C24" i="2" s="1"/>
  <c r="N7" i="4"/>
  <c r="N93" i="4" s="1"/>
  <c r="I121" i="4"/>
  <c r="G121" i="4"/>
  <c r="I120" i="4"/>
  <c r="G120" i="4"/>
  <c r="I119" i="4"/>
  <c r="G119" i="4"/>
  <c r="I118" i="4"/>
  <c r="G118" i="4"/>
  <c r="I117" i="4"/>
  <c r="G117" i="4"/>
  <c r="I116" i="4"/>
  <c r="G116" i="4"/>
  <c r="I115" i="4"/>
  <c r="G115" i="4"/>
  <c r="I114" i="4"/>
  <c r="G114" i="4"/>
  <c r="I113" i="4"/>
  <c r="G113" i="4"/>
  <c r="I112" i="4"/>
  <c r="G112" i="4"/>
  <c r="I111" i="4"/>
  <c r="G111" i="4"/>
  <c r="I110" i="4"/>
  <c r="G110" i="4"/>
  <c r="I109" i="4"/>
  <c r="G109" i="4"/>
  <c r="I108" i="4"/>
  <c r="G108" i="4"/>
  <c r="I107" i="4"/>
  <c r="G107" i="4"/>
  <c r="I106" i="4"/>
  <c r="G106" i="4"/>
  <c r="I105" i="4"/>
  <c r="G105" i="4"/>
  <c r="I104" i="4"/>
  <c r="G104" i="4"/>
  <c r="I103" i="4"/>
  <c r="G103" i="4"/>
  <c r="I102" i="4"/>
  <c r="G102" i="4"/>
  <c r="I101" i="4"/>
  <c r="G101" i="4"/>
  <c r="I100" i="4"/>
  <c r="G100" i="4"/>
  <c r="I99" i="4"/>
  <c r="G99" i="4"/>
  <c r="I98" i="4"/>
  <c r="G98" i="4"/>
  <c r="I97" i="4"/>
  <c r="G97" i="4"/>
  <c r="I96" i="4"/>
  <c r="G96" i="4"/>
  <c r="M95" i="4"/>
  <c r="L95" i="4"/>
  <c r="I95" i="4"/>
  <c r="H95" i="4"/>
  <c r="G95" i="4"/>
  <c r="F95" i="4"/>
  <c r="E95" i="4"/>
  <c r="D95" i="4"/>
  <c r="C95" i="4"/>
  <c r="M94" i="4"/>
  <c r="L94" i="4"/>
  <c r="I94" i="4"/>
  <c r="H94" i="4"/>
  <c r="G94" i="4"/>
  <c r="F94" i="4"/>
  <c r="E94" i="4"/>
  <c r="D94" i="4"/>
  <c r="C94" i="4"/>
  <c r="M93" i="4"/>
  <c r="L93" i="4"/>
  <c r="I93" i="4"/>
  <c r="H93" i="4"/>
  <c r="G93" i="4"/>
  <c r="F93" i="4"/>
  <c r="E93" i="4"/>
  <c r="D93" i="4"/>
  <c r="C93" i="4"/>
  <c r="N92" i="4"/>
  <c r="M92" i="4"/>
  <c r="L92" i="4"/>
  <c r="K92" i="4"/>
  <c r="J92" i="4"/>
  <c r="I92" i="4"/>
  <c r="H92" i="4"/>
  <c r="G92" i="4"/>
  <c r="F92" i="4"/>
  <c r="E92" i="4"/>
  <c r="D92" i="4"/>
  <c r="C92" i="4"/>
  <c r="P91" i="4"/>
  <c r="N90" i="4"/>
  <c r="M90" i="4"/>
  <c r="L90" i="4"/>
  <c r="K90" i="4"/>
  <c r="J90" i="4"/>
  <c r="I90" i="4"/>
  <c r="H90" i="4"/>
  <c r="G90" i="4"/>
  <c r="F90" i="4"/>
  <c r="E90" i="4"/>
  <c r="D90" i="4"/>
  <c r="C90" i="4"/>
  <c r="N89" i="4"/>
  <c r="M89" i="4"/>
  <c r="L89" i="4"/>
  <c r="K89" i="4"/>
  <c r="J89" i="4"/>
  <c r="I89" i="4"/>
  <c r="H89" i="4"/>
  <c r="G89" i="4"/>
  <c r="F89" i="4"/>
  <c r="E89" i="4"/>
  <c r="D89" i="4"/>
  <c r="C89" i="4"/>
  <c r="M87" i="4"/>
  <c r="L87" i="4"/>
  <c r="K87" i="4"/>
  <c r="J87" i="4"/>
  <c r="I87" i="4"/>
  <c r="H87" i="4"/>
  <c r="G87" i="4"/>
  <c r="F87" i="4"/>
  <c r="E87" i="4"/>
  <c r="D87" i="4"/>
  <c r="C87" i="4"/>
  <c r="N86" i="4"/>
  <c r="M86" i="4"/>
  <c r="L86" i="4"/>
  <c r="K86" i="4"/>
  <c r="J86" i="4"/>
  <c r="I86" i="4"/>
  <c r="H86" i="4"/>
  <c r="G86" i="4"/>
  <c r="F86" i="4"/>
  <c r="E86" i="4"/>
  <c r="D86" i="4"/>
  <c r="C86" i="4"/>
  <c r="L88" i="4" s="1"/>
  <c r="M85" i="4"/>
  <c r="L85" i="4"/>
  <c r="K85" i="4"/>
  <c r="J85" i="4"/>
  <c r="I85" i="4"/>
  <c r="H85" i="4"/>
  <c r="G85" i="4"/>
  <c r="F85" i="4"/>
  <c r="E85" i="4"/>
  <c r="D85" i="4"/>
  <c r="C85" i="4"/>
  <c r="M84" i="4"/>
  <c r="L84" i="4"/>
  <c r="K84" i="4"/>
  <c r="J84" i="4"/>
  <c r="I84" i="4"/>
  <c r="H84" i="4"/>
  <c r="G84" i="4"/>
  <c r="F84" i="4"/>
  <c r="E84" i="4"/>
  <c r="D84" i="4"/>
  <c r="C84" i="4"/>
  <c r="M83" i="4"/>
  <c r="L83" i="4"/>
  <c r="K83" i="4"/>
  <c r="J83" i="4"/>
  <c r="I83" i="4"/>
  <c r="H83" i="4"/>
  <c r="G83" i="4"/>
  <c r="F83" i="4"/>
  <c r="E83" i="4"/>
  <c r="D83" i="4"/>
  <c r="C83" i="4"/>
  <c r="P82" i="4"/>
  <c r="M80" i="4"/>
  <c r="M81" i="4" s="1"/>
  <c r="L80" i="4"/>
  <c r="L81" i="4" s="1"/>
  <c r="K80" i="4"/>
  <c r="K81" i="4" s="1"/>
  <c r="J80" i="4"/>
  <c r="J81" i="4" s="1"/>
  <c r="I80" i="4"/>
  <c r="I81" i="4" s="1"/>
  <c r="H80" i="4"/>
  <c r="H81" i="4" s="1"/>
  <c r="G80" i="4"/>
  <c r="G81" i="4" s="1"/>
  <c r="F80" i="4"/>
  <c r="F81" i="4" s="1"/>
  <c r="E80" i="4"/>
  <c r="E81" i="4" s="1"/>
  <c r="D80" i="4"/>
  <c r="D81" i="4" s="1"/>
  <c r="C80" i="4"/>
  <c r="C81" i="4" s="1"/>
  <c r="N79" i="4"/>
  <c r="M79" i="4"/>
  <c r="L79" i="4"/>
  <c r="K79" i="4"/>
  <c r="J79" i="4"/>
  <c r="I79" i="4"/>
  <c r="H79" i="4"/>
  <c r="G79" i="4"/>
  <c r="F79" i="4"/>
  <c r="E79" i="4"/>
  <c r="D79" i="4"/>
  <c r="C79" i="4"/>
  <c r="N78" i="4"/>
  <c r="M78" i="4"/>
  <c r="L78" i="4"/>
  <c r="K78" i="4"/>
  <c r="J78" i="4"/>
  <c r="I78" i="4"/>
  <c r="H78" i="4"/>
  <c r="G78" i="4"/>
  <c r="F78" i="4"/>
  <c r="E78" i="4"/>
  <c r="D78" i="4"/>
  <c r="C78" i="4"/>
  <c r="N77" i="4"/>
  <c r="M77" i="4"/>
  <c r="L77" i="4"/>
  <c r="K77" i="4"/>
  <c r="J77" i="4"/>
  <c r="I77" i="4"/>
  <c r="H77" i="4"/>
  <c r="G77" i="4"/>
  <c r="F77" i="4"/>
  <c r="E77" i="4"/>
  <c r="D77" i="4"/>
  <c r="C77" i="4"/>
  <c r="N76" i="4"/>
  <c r="M76" i="4"/>
  <c r="L76" i="4"/>
  <c r="K76" i="4"/>
  <c r="J76" i="4"/>
  <c r="I76" i="4"/>
  <c r="H76" i="4"/>
  <c r="G76" i="4"/>
  <c r="F76" i="4"/>
  <c r="E76" i="4"/>
  <c r="D76" i="4"/>
  <c r="C76" i="4"/>
  <c r="N75" i="4"/>
  <c r="M75" i="4"/>
  <c r="L75" i="4"/>
  <c r="K75" i="4"/>
  <c r="J75" i="4"/>
  <c r="I75" i="4"/>
  <c r="H75" i="4"/>
  <c r="G75" i="4"/>
  <c r="F75" i="4"/>
  <c r="E75" i="4"/>
  <c r="D75" i="4"/>
  <c r="C75" i="4"/>
  <c r="N74" i="4"/>
  <c r="M74" i="4"/>
  <c r="L74" i="4"/>
  <c r="K74" i="4"/>
  <c r="J74" i="4"/>
  <c r="I74" i="4"/>
  <c r="H74" i="4"/>
  <c r="G74" i="4"/>
  <c r="F74" i="4"/>
  <c r="E74" i="4"/>
  <c r="D74" i="4"/>
  <c r="C74" i="4"/>
  <c r="N73" i="4"/>
  <c r="M73" i="4"/>
  <c r="L73" i="4"/>
  <c r="K73" i="4"/>
  <c r="J73" i="4"/>
  <c r="I73" i="4"/>
  <c r="H73" i="4"/>
  <c r="G73" i="4"/>
  <c r="F73" i="4"/>
  <c r="E73" i="4"/>
  <c r="D73" i="4"/>
  <c r="C73" i="4"/>
  <c r="P72" i="4"/>
  <c r="P71" i="4"/>
  <c r="P70" i="4"/>
  <c r="P69" i="4"/>
  <c r="P68" i="4"/>
  <c r="P67" i="4"/>
  <c r="P66" i="4"/>
  <c r="P65" i="4"/>
  <c r="P64" i="4"/>
  <c r="N63" i="4"/>
  <c r="M63" i="4"/>
  <c r="L63" i="4"/>
  <c r="I63" i="4"/>
  <c r="H63" i="4"/>
  <c r="G63" i="4"/>
  <c r="F63" i="4"/>
  <c r="E63" i="4"/>
  <c r="D63" i="4"/>
  <c r="C63" i="4"/>
  <c r="P62" i="4"/>
  <c r="N61" i="4"/>
  <c r="M61" i="4"/>
  <c r="L61" i="4"/>
  <c r="K61" i="4"/>
  <c r="I61" i="4"/>
  <c r="H61" i="4"/>
  <c r="G61" i="4"/>
  <c r="F61" i="4"/>
  <c r="E61" i="4"/>
  <c r="D61" i="4"/>
  <c r="C61" i="4"/>
  <c r="P60" i="4"/>
  <c r="N59" i="4"/>
  <c r="M59" i="4"/>
  <c r="L59" i="4"/>
  <c r="K59" i="4"/>
  <c r="J59" i="4"/>
  <c r="I59" i="4"/>
  <c r="H59" i="4"/>
  <c r="G59" i="4"/>
  <c r="F59" i="4"/>
  <c r="E59" i="4"/>
  <c r="D59" i="4"/>
  <c r="C59" i="4"/>
  <c r="M58" i="4"/>
  <c r="L58" i="4"/>
  <c r="K58" i="4"/>
  <c r="J58" i="4"/>
  <c r="I58" i="4"/>
  <c r="H58" i="4"/>
  <c r="G58" i="4"/>
  <c r="F58" i="4"/>
  <c r="E58" i="4"/>
  <c r="D58" i="4"/>
  <c r="C58" i="4"/>
  <c r="P57" i="4"/>
  <c r="P56" i="4"/>
  <c r="P55" i="4"/>
  <c r="P54" i="4"/>
  <c r="P53" i="4"/>
  <c r="N52" i="4"/>
  <c r="M52" i="4"/>
  <c r="L52" i="4"/>
  <c r="K52" i="4"/>
  <c r="J52" i="4"/>
  <c r="I52" i="4"/>
  <c r="H52" i="4"/>
  <c r="G52" i="4"/>
  <c r="F52" i="4"/>
  <c r="E52" i="4"/>
  <c r="D52" i="4"/>
  <c r="C52" i="4"/>
  <c r="P51" i="4"/>
  <c r="P50" i="4"/>
  <c r="P49" i="4"/>
  <c r="N45" i="4"/>
  <c r="M45" i="4"/>
  <c r="L45" i="4"/>
  <c r="K45" i="4"/>
  <c r="J45" i="4"/>
  <c r="I45" i="4"/>
  <c r="H45" i="4"/>
  <c r="G45" i="4"/>
  <c r="F45" i="4"/>
  <c r="E45" i="4"/>
  <c r="D45" i="4"/>
  <c r="C45" i="4"/>
  <c r="N44" i="4"/>
  <c r="M44" i="4"/>
  <c r="L44" i="4"/>
  <c r="K44" i="4"/>
  <c r="J44" i="4"/>
  <c r="I44" i="4"/>
  <c r="H44" i="4"/>
  <c r="G44" i="4"/>
  <c r="F44" i="4"/>
  <c r="E44" i="4"/>
  <c r="D44" i="4"/>
  <c r="C44" i="4"/>
  <c r="N43" i="4"/>
  <c r="M43" i="4"/>
  <c r="L43" i="4"/>
  <c r="K43" i="4"/>
  <c r="J43" i="4"/>
  <c r="I43" i="4"/>
  <c r="H43" i="4"/>
  <c r="G43" i="4"/>
  <c r="F43" i="4"/>
  <c r="E43" i="4"/>
  <c r="D43" i="4"/>
  <c r="C43" i="4"/>
  <c r="N42" i="4"/>
  <c r="M42" i="4"/>
  <c r="L42" i="4"/>
  <c r="I42" i="4"/>
  <c r="H42" i="4"/>
  <c r="G42" i="4"/>
  <c r="F42" i="4"/>
  <c r="E42" i="4"/>
  <c r="D42" i="4"/>
  <c r="C42" i="4"/>
  <c r="N40" i="4"/>
  <c r="N41" i="4" s="1"/>
  <c r="M40" i="4"/>
  <c r="M41" i="4" s="1"/>
  <c r="L40" i="4"/>
  <c r="L41" i="4" s="1"/>
  <c r="I40" i="4"/>
  <c r="I41" i="4" s="1"/>
  <c r="H40" i="4"/>
  <c r="H41" i="4" s="1"/>
  <c r="G40" i="4"/>
  <c r="G41" i="4" s="1"/>
  <c r="F40" i="4"/>
  <c r="F41" i="4" s="1"/>
  <c r="E40" i="4"/>
  <c r="E41" i="4" s="1"/>
  <c r="D40" i="4"/>
  <c r="D41" i="4" s="1"/>
  <c r="C40" i="4"/>
  <c r="M39" i="4"/>
  <c r="L39" i="4"/>
  <c r="K39" i="4"/>
  <c r="J39" i="4"/>
  <c r="I39" i="4"/>
  <c r="H39" i="4"/>
  <c r="G39" i="4"/>
  <c r="F39" i="4"/>
  <c r="E39" i="4"/>
  <c r="D39" i="4"/>
  <c r="C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J12" i="4"/>
  <c r="J61" i="4" s="1"/>
  <c r="P11" i="4"/>
  <c r="P10" i="4"/>
  <c r="P9" i="4"/>
  <c r="P8" i="4"/>
  <c r="P7" i="4"/>
  <c r="K7" i="4"/>
  <c r="K95" i="4" s="1"/>
  <c r="J7" i="4"/>
  <c r="J95" i="4" s="1"/>
  <c r="P6" i="4"/>
  <c r="P5" i="4"/>
  <c r="P52" i="4" l="1"/>
  <c r="P59" i="4"/>
  <c r="P78" i="4"/>
  <c r="P74" i="4"/>
  <c r="P75" i="4"/>
  <c r="P77" i="4"/>
  <c r="P79" i="4"/>
  <c r="P73" i="4"/>
  <c r="P76" i="4"/>
  <c r="P45" i="4"/>
  <c r="P44" i="4"/>
  <c r="P43" i="4"/>
  <c r="P89" i="4"/>
  <c r="P90" i="4"/>
  <c r="N95" i="4"/>
  <c r="N94" i="4"/>
  <c r="P92" i="4"/>
  <c r="P61" i="4"/>
  <c r="P63" i="4"/>
  <c r="P95" i="4"/>
  <c r="P12" i="4"/>
  <c r="C41" i="4"/>
  <c r="J42" i="4"/>
  <c r="P42" i="4" s="1"/>
  <c r="J63" i="4"/>
  <c r="E88" i="4"/>
  <c r="I88" i="4"/>
  <c r="M88" i="4"/>
  <c r="K42" i="4"/>
  <c r="K63" i="4"/>
  <c r="F88" i="4"/>
  <c r="J88" i="4"/>
  <c r="N88" i="4"/>
  <c r="J93" i="4"/>
  <c r="P93" i="4" s="1"/>
  <c r="J40" i="4"/>
  <c r="J41" i="4" s="1"/>
  <c r="P86" i="4"/>
  <c r="C88" i="4"/>
  <c r="G88" i="4"/>
  <c r="K88" i="4"/>
  <c r="K93" i="4"/>
  <c r="J94" i="4"/>
  <c r="K40" i="4"/>
  <c r="K41" i="4" s="1"/>
  <c r="D88" i="4"/>
  <c r="H88" i="4"/>
  <c r="K94" i="4"/>
  <c r="D82" i="2"/>
  <c r="D83" i="2"/>
  <c r="D84" i="2"/>
  <c r="D85" i="2"/>
  <c r="D86" i="2"/>
  <c r="D87" i="2"/>
  <c r="D88" i="2"/>
  <c r="P41" i="4" l="1"/>
  <c r="P40" i="4"/>
  <c r="C43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D61" i="2"/>
  <c r="P68" i="2" l="1"/>
  <c r="O70" i="2"/>
  <c r="P71" i="2"/>
  <c r="P72" i="2"/>
  <c r="P73" i="2"/>
  <c r="P74" i="2"/>
  <c r="P49" i="2"/>
  <c r="P50" i="2"/>
  <c r="P51" i="2"/>
  <c r="P52" i="2"/>
  <c r="P53" i="2"/>
  <c r="P54" i="2"/>
  <c r="P56" i="2"/>
  <c r="P57" i="2"/>
  <c r="P15" i="2"/>
  <c r="P16" i="2"/>
  <c r="P17" i="2"/>
  <c r="P18" i="2"/>
  <c r="P19" i="2"/>
  <c r="P20" i="2"/>
  <c r="P21" i="2"/>
  <c r="P22" i="2"/>
  <c r="P23" i="2"/>
  <c r="P25" i="2"/>
  <c r="P26" i="2"/>
  <c r="P27" i="2"/>
  <c r="P28" i="2"/>
  <c r="P29" i="2"/>
  <c r="P30" i="2"/>
  <c r="P31" i="2"/>
  <c r="P32" i="2"/>
  <c r="P33" i="2"/>
  <c r="P34" i="2"/>
  <c r="P35" i="2"/>
  <c r="P78" i="2"/>
  <c r="P79" i="2"/>
  <c r="P80" i="2"/>
  <c r="D106" i="2"/>
  <c r="P64" i="2"/>
  <c r="D47" i="2" l="1"/>
  <c r="D48" i="2" l="1"/>
  <c r="D46" i="2"/>
  <c r="C14" i="2"/>
  <c r="P24" i="2"/>
  <c r="P13" i="2" l="1"/>
  <c r="C107" i="2" l="1"/>
  <c r="C105" i="2"/>
  <c r="C104" i="2"/>
  <c r="C82" i="2"/>
  <c r="O77" i="2"/>
  <c r="C67" i="2" l="1"/>
  <c r="C65" i="2"/>
  <c r="C48" i="2"/>
  <c r="C69" i="2"/>
  <c r="P69" i="2" s="1"/>
  <c r="D107" i="2"/>
  <c r="C106" i="2"/>
  <c r="P106" i="2" s="1"/>
  <c r="D105" i="2"/>
  <c r="D104" i="2"/>
  <c r="P100" i="2"/>
  <c r="C99" i="2"/>
  <c r="C98" i="2"/>
  <c r="C94" i="2" s="1"/>
  <c r="P94" i="2" s="1"/>
  <c r="C96" i="2"/>
  <c r="P96" i="2" s="1"/>
  <c r="C95" i="2"/>
  <c r="D97" i="2" s="1"/>
  <c r="M93" i="2"/>
  <c r="L93" i="2"/>
  <c r="K93" i="2"/>
  <c r="J93" i="2"/>
  <c r="I93" i="2"/>
  <c r="H93" i="2"/>
  <c r="E93" i="2"/>
  <c r="D93" i="2"/>
  <c r="C93" i="2"/>
  <c r="C92" i="2"/>
  <c r="P92" i="2" s="1"/>
  <c r="P91" i="2"/>
  <c r="C89" i="2"/>
  <c r="C88" i="2"/>
  <c r="C87" i="2"/>
  <c r="C86" i="2"/>
  <c r="C85" i="2"/>
  <c r="C84" i="2"/>
  <c r="C83" i="2"/>
  <c r="P81" i="2"/>
  <c r="P76" i="2"/>
  <c r="P75" i="2"/>
  <c r="D67" i="2"/>
  <c r="P66" i="2"/>
  <c r="D65" i="2"/>
  <c r="P63" i="2"/>
  <c r="N62" i="2"/>
  <c r="M62" i="2"/>
  <c r="L62" i="2"/>
  <c r="K62" i="2"/>
  <c r="J62" i="2"/>
  <c r="G62" i="2"/>
  <c r="F62" i="2"/>
  <c r="E62" i="2"/>
  <c r="D62" i="2"/>
  <c r="C62" i="2"/>
  <c r="C61" i="2"/>
  <c r="P61" i="2" s="1"/>
  <c r="P60" i="2"/>
  <c r="P59" i="2"/>
  <c r="P58" i="2"/>
  <c r="C55" i="2"/>
  <c r="P55" i="2" s="1"/>
  <c r="C47" i="2"/>
  <c r="C46" i="2"/>
  <c r="D45" i="2"/>
  <c r="C45" i="2"/>
  <c r="D43" i="2"/>
  <c r="D44" i="2" s="1"/>
  <c r="C44" i="2"/>
  <c r="C42" i="2"/>
  <c r="P41" i="2"/>
  <c r="P40" i="2"/>
  <c r="P39" i="2"/>
  <c r="P38" i="2"/>
  <c r="P37" i="2"/>
  <c r="P36" i="2"/>
  <c r="P12" i="2"/>
  <c r="P11" i="2"/>
  <c r="P10" i="2"/>
  <c r="P8" i="2"/>
  <c r="P6" i="2"/>
  <c r="P5" i="2"/>
  <c r="P93" i="2" l="1"/>
  <c r="C90" i="2"/>
  <c r="P90" i="2" s="1"/>
  <c r="P89" i="2"/>
  <c r="P47" i="2"/>
  <c r="G97" i="2"/>
  <c r="C97" i="2"/>
  <c r="P88" i="2"/>
  <c r="P42" i="2"/>
  <c r="N97" i="2"/>
  <c r="P99" i="2"/>
  <c r="P46" i="2"/>
  <c r="P48" i="2"/>
  <c r="P87" i="2"/>
  <c r="P62" i="2"/>
  <c r="P82" i="2"/>
  <c r="P83" i="2"/>
  <c r="P84" i="2"/>
  <c r="P85" i="2"/>
  <c r="P86" i="2"/>
  <c r="P98" i="2"/>
  <c r="L97" i="2"/>
  <c r="P104" i="2"/>
  <c r="P65" i="2"/>
  <c r="P107" i="2"/>
  <c r="E97" i="2"/>
  <c r="I97" i="2"/>
  <c r="M97" i="2"/>
  <c r="F97" i="2"/>
  <c r="J97" i="2"/>
  <c r="P7" i="2"/>
  <c r="P95" i="2"/>
  <c r="K97" i="2"/>
  <c r="H97" i="2"/>
  <c r="P97" i="2" l="1"/>
  <c r="P67" i="2"/>
  <c r="P45" i="2"/>
  <c r="P105" i="2"/>
  <c r="P44" i="2"/>
  <c r="P43" i="2"/>
</calcChain>
</file>

<file path=xl/sharedStrings.xml><?xml version="1.0" encoding="utf-8"?>
<sst xmlns="http://schemas.openxmlformats.org/spreadsheetml/2006/main" count="365" uniqueCount="172">
  <si>
    <t>Dados de Desempenho Geral</t>
  </si>
  <si>
    <t>Média Atual</t>
  </si>
  <si>
    <t>Média Grupo</t>
  </si>
  <si>
    <t>Dados Entrada</t>
  </si>
  <si>
    <t>Preço do Leite (R$/kg)</t>
  </si>
  <si>
    <t>Vacas Adultas (n)</t>
  </si>
  <si>
    <t>Vacas Lactação (n)</t>
  </si>
  <si>
    <t>Vacas Tratamento (n)</t>
  </si>
  <si>
    <t>Animais Jovens Bezerreiro (n)</t>
  </si>
  <si>
    <t>Animais Jovens &lt;12m (n)</t>
  </si>
  <si>
    <t>Animais Jovens &gt;12m (n)</t>
  </si>
  <si>
    <t>Vacas Adultas P+ (Leite+Secas) (n)</t>
  </si>
  <si>
    <t>Vacas a Descartar (n)</t>
  </si>
  <si>
    <t>Vacas não P+ &gt;150DEL (n)</t>
  </si>
  <si>
    <t>Saída Total Adulta (n)</t>
  </si>
  <si>
    <t>Morte de Vacas (n)</t>
  </si>
  <si>
    <t>Saída Total Bezerreiro (n)</t>
  </si>
  <si>
    <t>Saída Total Jovem (n)</t>
  </si>
  <si>
    <t>1 Cria (n)</t>
  </si>
  <si>
    <t>2 Cria (n)</t>
  </si>
  <si>
    <t>3+ Crias (n)</t>
  </si>
  <si>
    <t>Partos (n)</t>
  </si>
  <si>
    <t>Fêmeas Nascidas (n)</t>
  </si>
  <si>
    <t>Partos com Natimorto (n)</t>
  </si>
  <si>
    <t>Parto Gêmeos (n)</t>
  </si>
  <si>
    <t>Partos Auxiliados (n)</t>
  </si>
  <si>
    <t>Casos Retenção de Placenta (n)</t>
  </si>
  <si>
    <t>Casos de Deslocamenrto Abomaso (n)</t>
  </si>
  <si>
    <t>Casos de Metrite Puerperal (n)</t>
  </si>
  <si>
    <t>Casos de Mastite Tratada (n)</t>
  </si>
  <si>
    <t>Casos de Diarréia Tratada Bezerreiro(n)</t>
  </si>
  <si>
    <t>Casos de Pneumonia Tratada Bezerreiro(n)</t>
  </si>
  <si>
    <t>Camas Vacas Leite (n)</t>
  </si>
  <si>
    <t>Camas Pre Parto (n)</t>
  </si>
  <si>
    <t>Linear Cocho Leite (m)</t>
  </si>
  <si>
    <t>Peso Nascimento (kg)</t>
  </si>
  <si>
    <t>Peso Desmame (kg)</t>
  </si>
  <si>
    <t>Dias em Aleitamento (dias)</t>
  </si>
  <si>
    <t>Produção</t>
  </si>
  <si>
    <t>Vacas Leite (%)</t>
  </si>
  <si>
    <t>Vacas Secas (%)</t>
  </si>
  <si>
    <t>Vacas a Descartar (%)</t>
  </si>
  <si>
    <t>1 Cria (%)</t>
  </si>
  <si>
    <t>2 Cria (%)</t>
  </si>
  <si>
    <t>3+ Crias (%)</t>
  </si>
  <si>
    <t>Produção Diária Ano Anterior (L/d)</t>
  </si>
  <si>
    <t>Produtividade Geral Ano Anterior (kg/d)</t>
  </si>
  <si>
    <t>Produtividade Geral (kg/d)</t>
  </si>
  <si>
    <t>Produtividade Primíparas (kg/d)</t>
  </si>
  <si>
    <t>Produtividade Multíparas (kg/d)</t>
  </si>
  <si>
    <t>Produtividade Relativa Adulta (%)</t>
  </si>
  <si>
    <t>Gordura (%)</t>
  </si>
  <si>
    <t>Proteína (%)</t>
  </si>
  <si>
    <t>NUL (mg/dl)</t>
  </si>
  <si>
    <t>CMS (kg/d)</t>
  </si>
  <si>
    <t>Custo/kg MS Dietas Leite (R$)</t>
  </si>
  <si>
    <t>RMCA (R$/vaca/d)</t>
  </si>
  <si>
    <t>Eff alimentar</t>
  </si>
  <si>
    <t>Reprodução</t>
  </si>
  <si>
    <t>DEL (dias)</t>
  </si>
  <si>
    <t>Vacas Adultas Prenhes (%)</t>
  </si>
  <si>
    <t>DEL 1ª IA (dias)</t>
  </si>
  <si>
    <t>Vacas não P+ &gt;150 DEL (%)</t>
  </si>
  <si>
    <t>Concepção Geral (%)</t>
  </si>
  <si>
    <t>Concepção 1ª IA Geral (%)</t>
  </si>
  <si>
    <t>Concepção Primíparas (%)</t>
  </si>
  <si>
    <t>Concepção 1ª Primíparas (%)</t>
  </si>
  <si>
    <t>Concepção Multíparas (%)</t>
  </si>
  <si>
    <t>Concepção 1ª Multíparas (%)</t>
  </si>
  <si>
    <t>Concepção Nulíparas (%)</t>
  </si>
  <si>
    <t>Concepção 1ª Nulíparas (%)</t>
  </si>
  <si>
    <t>Idade Primeiro Parto (meses)</t>
  </si>
  <si>
    <t>Transição</t>
  </si>
  <si>
    <t>Fêmeas Nascidas (%)</t>
  </si>
  <si>
    <t>Natimorto (%)</t>
  </si>
  <si>
    <t>Gemelar (%)</t>
  </si>
  <si>
    <t>Partos Auxiliados (%)</t>
  </si>
  <si>
    <t>Retenção de Placenta (%)</t>
  </si>
  <si>
    <t>Deslocamenrto Abomaso (%)</t>
  </si>
  <si>
    <t>Metrite Puerperal (%)</t>
  </si>
  <si>
    <t>Recria</t>
  </si>
  <si>
    <t>Peso ao Desmame (kg)</t>
  </si>
  <si>
    <t>GPD Bezerreiro (kg/d)</t>
  </si>
  <si>
    <t>Peso ao Parto (kg)</t>
  </si>
  <si>
    <t>GDP Desmame ao Parto (kg/d)</t>
  </si>
  <si>
    <t>Animais Jovens Rebanho Total (%)</t>
  </si>
  <si>
    <t>Taxa de Sobrevivência Nasc - Parto Proj (%)</t>
  </si>
  <si>
    <t>Saída</t>
  </si>
  <si>
    <t>Saída Adulta (morte+descarte) (%)</t>
  </si>
  <si>
    <t>Mortalidade Adulta Proj (%)</t>
  </si>
  <si>
    <t>Saída Jovem (morte+descarte) (%)</t>
  </si>
  <si>
    <t>Saída Bezerreiro (morte+descarte) (%)</t>
  </si>
  <si>
    <t>Saúde</t>
  </si>
  <si>
    <t>CCS (cel/ml)</t>
  </si>
  <si>
    <t>Vacas em Tratamento (%)</t>
  </si>
  <si>
    <t>Mastite Tratada (%)</t>
  </si>
  <si>
    <t>Taxa Ocupação de Camas (%)</t>
  </si>
  <si>
    <t>Espaçamento de Cocho (cm/vaca)</t>
  </si>
  <si>
    <t>Curva de Lactação</t>
  </si>
  <si>
    <t>0-29 Prim</t>
  </si>
  <si>
    <t>30-59 Prim</t>
  </si>
  <si>
    <t>60-89 Prim</t>
  </si>
  <si>
    <t>90-119 Prim</t>
  </si>
  <si>
    <t>120-149 Prim</t>
  </si>
  <si>
    <t>150-179 Prim</t>
  </si>
  <si>
    <t>180-209 Prim</t>
  </si>
  <si>
    <t>210-239 Prim</t>
  </si>
  <si>
    <t>240-269 Prim</t>
  </si>
  <si>
    <t>270-299 Prim</t>
  </si>
  <si>
    <t>300-329 Prim</t>
  </si>
  <si>
    <t>330-359 Prim</t>
  </si>
  <si>
    <t>360+ Prim</t>
  </si>
  <si>
    <t>0-29 Mult</t>
  </si>
  <si>
    <t>30-59 Mult</t>
  </si>
  <si>
    <t>60-89 Mult</t>
  </si>
  <si>
    <t>90-119 Mult</t>
  </si>
  <si>
    <t>120-149 Mult</t>
  </si>
  <si>
    <t>150-179 Mult</t>
  </si>
  <si>
    <t>180-209 Mult</t>
  </si>
  <si>
    <t>210-239 Mult</t>
  </si>
  <si>
    <t>240-269 Mult</t>
  </si>
  <si>
    <t>270-299 Mult</t>
  </si>
  <si>
    <t>300-329 Mult</t>
  </si>
  <si>
    <t>330-359 Mult</t>
  </si>
  <si>
    <t>360+ Mult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</si>
  <si>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</si>
  <si>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</si>
  <si>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</si>
  <si>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</si>
  <si>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</si>
  <si>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</si>
  <si>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</si>
  <si>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</si>
  <si>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</si>
  <si>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</si>
  <si>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</si>
  <si>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</si>
  <si>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Crescimento Comparativo 2025x2026 (%)</t>
  </si>
  <si>
    <t>Dias em Aberto (d)</t>
  </si>
  <si>
    <t>Rebanho Jovem Total(n)</t>
  </si>
  <si>
    <t>Idade 1IA (meses)</t>
  </si>
  <si>
    <t>IEP Proj (meses)</t>
  </si>
  <si>
    <t>Concepção Geral Ano Anterior (%)</t>
  </si>
  <si>
    <t>Concepção Nulíparas Ano Anterior (%)</t>
  </si>
  <si>
    <t>Produção Diária 2026 (L/d)</t>
  </si>
  <si>
    <t>Média Faz. 2025</t>
  </si>
  <si>
    <t>Projeção Anual Adulto (%a.a.)</t>
  </si>
  <si>
    <t>DEL Ano Anterior (dias)</t>
  </si>
  <si>
    <t>Média Faz. 2024</t>
  </si>
  <si>
    <t>Projeção Anual Adulto (%aa)</t>
  </si>
  <si>
    <t>Leite Bom Bezerros (L/d)</t>
  </si>
  <si>
    <t>Rebanho Total (n)</t>
  </si>
  <si>
    <t>Crescimento Comparativo 2025x2024 (%)</t>
  </si>
  <si>
    <t>Produção Diária 2025 (L/d)</t>
  </si>
  <si>
    <t>-</t>
  </si>
  <si>
    <t>CPP (UFC/ml)</t>
  </si>
  <si>
    <t>Rendimento Ordenha (vaca/h)</t>
  </si>
  <si>
    <t>Bimodalidade (%)</t>
  </si>
  <si>
    <t>IA</t>
  </si>
  <si>
    <t>P+</t>
  </si>
  <si>
    <t>CR</t>
  </si>
  <si>
    <t>jan</t>
  </si>
  <si>
    <t>Convencional</t>
  </si>
  <si>
    <t>fev</t>
  </si>
  <si>
    <t>mar</t>
  </si>
  <si>
    <t>Sex</t>
  </si>
  <si>
    <t>Prim</t>
  </si>
  <si>
    <t>Mult</t>
  </si>
  <si>
    <t>Doença</t>
  </si>
  <si>
    <t>Met</t>
  </si>
  <si>
    <t>Ret</t>
  </si>
  <si>
    <t>Saud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</si>
</sst>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Aptos Narrow"/>
      <family val="2"/>
      <scheme val="minor"/>
    </font>
    <font>
      <sz val="45"/>
      <name val="Arial"/>
      <family val="2"/>
    </font>
    <font>
      <sz val="2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4"/>
      <color theme="0"/>
      <name val="Arial"/>
      <family val="2"/>
    </font>
    <font>
      <sz val="14"/>
      <color rgb="FFFF000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14"/>
      <color rgb="FF000000"/>
      <name val="Arial"/>
      <family val="2"/>
    </font>
    <font>
      <sz val="14"/>
      <color rgb="FFFFFFFF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FB9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FFD579"/>
        <bgColor rgb="FF000000"/>
      </patternFill>
    </fill>
    <fill>
      <patternFill patternType="solid">
        <fgColor rgb="FF913E00"/>
        <bgColor rgb="FF000000"/>
      </patternFill>
    </fill>
    <fill>
      <patternFill patternType="solid">
        <fgColor rgb="FF00FB92"/>
        <bgColor rgb="FF000000"/>
      </patternFill>
    </fill>
    <fill>
      <patternFill patternType="solid">
        <fgColor rgb="FFDDF5FD"/>
        <bgColor rgb="FF000000"/>
      </patternFill>
    </fill>
    <fill>
      <patternFill patternType="solid">
        <fgColor rgb="FFFF8AD8"/>
        <bgColor rgb="FF000000"/>
      </patternFill>
    </fill>
    <fill>
      <patternFill patternType="solid">
        <fgColor rgb="FFFAB4A7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9DE1CE"/>
        <bgColor rgb="FF000000"/>
      </patternFill>
    </fill>
    <fill>
      <patternFill patternType="solid">
        <fgColor rgb="FF94A3DE"/>
        <bgColor rgb="FF000000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10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vertical="center"/>
    </xf>
    <xf numFmtId="17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2" fontId="5" fillId="2" borderId="8" xfId="0" applyNumberFormat="1" applyFont="1" applyFill="1" applyBorder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0" fontId="3" fillId="0" borderId="0" xfId="1" applyFont="1" applyAlignment="1">
      <alignment horizontal="right" vertical="center"/>
    </xf>
    <xf numFmtId="2" fontId="3" fillId="4" borderId="0" xfId="1" applyNumberFormat="1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164" fontId="3" fillId="10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2" fontId="3" fillId="10" borderId="0" xfId="0" applyNumberFormat="1" applyFont="1" applyFill="1" applyAlignment="1">
      <alignment horizontal="center" vertical="center"/>
    </xf>
    <xf numFmtId="1" fontId="3" fillId="10" borderId="0" xfId="0" applyNumberFormat="1" applyFont="1" applyFill="1" applyAlignment="1">
      <alignment horizontal="center" vertical="center"/>
    </xf>
    <xf numFmtId="2" fontId="6" fillId="10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3" fillId="10" borderId="2" xfId="0" applyNumberFormat="1" applyFont="1" applyFill="1" applyBorder="1" applyAlignment="1">
      <alignment horizontal="center" vertical="center"/>
    </xf>
    <xf numFmtId="164" fontId="3" fillId="10" borderId="7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  <xf numFmtId="164" fontId="3" fillId="4" borderId="7" xfId="0" applyNumberFormat="1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right" vertical="center"/>
    </xf>
    <xf numFmtId="17" fontId="11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right" vertical="center"/>
    </xf>
    <xf numFmtId="2" fontId="11" fillId="11" borderId="2" xfId="0" applyNumberFormat="1" applyFont="1" applyFill="1" applyBorder="1" applyAlignment="1">
      <alignment horizontal="center" vertical="center"/>
    </xf>
    <xf numFmtId="2" fontId="12" fillId="12" borderId="2" xfId="0" applyNumberFormat="1" applyFont="1" applyFill="1" applyBorder="1" applyAlignment="1">
      <alignment horizontal="center" vertical="center"/>
    </xf>
    <xf numFmtId="2" fontId="12" fillId="12" borderId="3" xfId="0" applyNumberFormat="1" applyFont="1" applyFill="1" applyBorder="1" applyAlignment="1">
      <alignment horizontal="center" vertical="center"/>
    </xf>
    <xf numFmtId="2" fontId="10" fillId="0" borderId="0" xfId="0" applyNumberFormat="1" applyFont="1"/>
    <xf numFmtId="2" fontId="11" fillId="11" borderId="0" xfId="0" applyNumberFormat="1" applyFont="1" applyFill="1" applyAlignment="1">
      <alignment horizontal="center" vertical="center"/>
    </xf>
    <xf numFmtId="2" fontId="12" fillId="12" borderId="0" xfId="0" applyNumberFormat="1" applyFont="1" applyFill="1" applyAlignment="1">
      <alignment horizontal="center" vertical="center"/>
    </xf>
    <xf numFmtId="2" fontId="12" fillId="12" borderId="5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right" vertical="center"/>
    </xf>
    <xf numFmtId="2" fontId="11" fillId="11" borderId="7" xfId="0" applyNumberFormat="1" applyFont="1" applyFill="1" applyBorder="1" applyAlignment="1">
      <alignment horizontal="center" vertical="center"/>
    </xf>
    <xf numFmtId="2" fontId="12" fillId="12" borderId="7" xfId="0" applyNumberFormat="1" applyFont="1" applyFill="1" applyBorder="1" applyAlignment="1">
      <alignment horizontal="center" vertical="center"/>
    </xf>
    <xf numFmtId="2" fontId="12" fillId="12" borderId="8" xfId="0" applyNumberFormat="1" applyFont="1" applyFill="1" applyBorder="1" applyAlignment="1">
      <alignment horizontal="center" vertical="center"/>
    </xf>
    <xf numFmtId="2" fontId="11" fillId="13" borderId="0" xfId="0" applyNumberFormat="1" applyFont="1" applyFill="1" applyAlignment="1">
      <alignment horizontal="center" vertical="center"/>
    </xf>
    <xf numFmtId="2" fontId="11" fillId="14" borderId="2" xfId="0" applyNumberFormat="1" applyFont="1" applyFill="1" applyBorder="1" applyAlignment="1">
      <alignment horizontal="center" vertical="center"/>
    </xf>
    <xf numFmtId="2" fontId="11" fillId="14" borderId="0" xfId="0" applyNumberFormat="1" applyFont="1" applyFill="1" applyAlignment="1">
      <alignment horizontal="center" vertical="center"/>
    </xf>
    <xf numFmtId="0" fontId="11" fillId="0" borderId="0" xfId="1" applyFont="1" applyAlignment="1">
      <alignment horizontal="right" vertical="center"/>
    </xf>
    <xf numFmtId="1" fontId="11" fillId="14" borderId="0" xfId="0" applyNumberFormat="1" applyFont="1" applyFill="1" applyAlignment="1">
      <alignment horizontal="center" vertical="center"/>
    </xf>
    <xf numFmtId="2" fontId="11" fillId="14" borderId="0" xfId="1" applyNumberFormat="1" applyFont="1" applyFill="1" applyAlignment="1">
      <alignment horizontal="center" vertical="center"/>
    </xf>
    <xf numFmtId="2" fontId="11" fillId="14" borderId="7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3" fillId="11" borderId="0" xfId="0" applyNumberFormat="1" applyFont="1" applyFill="1" applyAlignment="1">
      <alignment horizontal="center" vertical="center"/>
    </xf>
    <xf numFmtId="2" fontId="3" fillId="10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0" borderId="0" xfId="0" applyFont="1" applyFill="1"/>
    <xf numFmtId="0" fontId="3" fillId="20" borderId="0" xfId="0" applyFont="1" applyFill="1" applyAlignment="1">
      <alignment horizontal="right" vertical="center"/>
    </xf>
    <xf numFmtId="0" fontId="3" fillId="20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9" fillId="20" borderId="0" xfId="0" applyFont="1" applyFill="1"/>
    <xf numFmtId="2" fontId="9" fillId="20" borderId="0" xfId="0" applyNumberFormat="1" applyFont="1" applyFill="1"/>
    <xf numFmtId="164" fontId="9" fillId="20" borderId="0" xfId="0" applyNumberFormat="1" applyFont="1" applyFill="1"/>
    <xf numFmtId="0" fontId="2" fillId="8" borderId="1" xfId="0" applyFont="1" applyFill="1" applyBorder="1" applyAlignment="1">
      <alignment horizontal="center" vertical="center" textRotation="90"/>
    </xf>
    <xf numFmtId="0" fontId="2" fillId="8" borderId="4" xfId="0" applyFont="1" applyFill="1" applyBorder="1" applyAlignment="1">
      <alignment horizontal="center" vertical="center" textRotation="90"/>
    </xf>
    <xf numFmtId="0" fontId="2" fillId="9" borderId="1" xfId="0" applyFont="1" applyFill="1" applyBorder="1" applyAlignment="1">
      <alignment horizontal="center" vertical="center" textRotation="90"/>
    </xf>
    <xf numFmtId="0" fontId="2" fillId="9" borderId="4" xfId="0" applyFont="1" applyFill="1" applyBorder="1" applyAlignment="1">
      <alignment horizontal="center" vertical="center" textRotation="90"/>
    </xf>
    <xf numFmtId="0" fontId="2" fillId="3" borderId="1" xfId="0" applyFont="1" applyFill="1" applyBorder="1" applyAlignment="1">
      <alignment horizontal="center" vertical="center" textRotation="90"/>
    </xf>
    <xf numFmtId="0" fontId="2" fillId="3" borderId="4" xfId="0" applyFont="1" applyFill="1" applyBorder="1" applyAlignment="1">
      <alignment horizontal="center" vertical="center" textRotation="90"/>
    </xf>
    <xf numFmtId="0" fontId="2" fillId="3" borderId="6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4" xfId="0" applyFont="1" applyFill="1" applyBorder="1" applyAlignment="1">
      <alignment horizontal="center" vertical="center" textRotation="90" wrapText="1"/>
    </xf>
    <xf numFmtId="0" fontId="2" fillId="6" borderId="6" xfId="0" applyFont="1" applyFill="1" applyBorder="1" applyAlignment="1">
      <alignment horizontal="center" vertical="center" textRotation="90" wrapText="1"/>
    </xf>
    <xf numFmtId="0" fontId="2" fillId="7" borderId="4" xfId="0" applyFont="1" applyFill="1" applyBorder="1" applyAlignment="1">
      <alignment horizontal="center" vertical="center" textRotation="90"/>
    </xf>
    <xf numFmtId="0" fontId="2" fillId="10" borderId="1" xfId="0" applyFont="1" applyFill="1" applyBorder="1" applyAlignment="1">
      <alignment horizontal="center" vertical="center" textRotation="90"/>
    </xf>
    <xf numFmtId="0" fontId="2" fillId="10" borderId="4" xfId="0" applyFont="1" applyFill="1" applyBorder="1" applyAlignment="1">
      <alignment horizontal="center" vertical="center" textRotation="90"/>
    </xf>
    <xf numFmtId="0" fontId="2" fillId="10" borderId="6" xfId="0" applyFont="1" applyFill="1" applyBorder="1" applyAlignment="1">
      <alignment horizontal="center" vertical="center" textRotation="90"/>
    </xf>
    <xf numFmtId="0" fontId="2" fillId="5" borderId="1" xfId="0" applyFont="1" applyFill="1" applyBorder="1" applyAlignment="1">
      <alignment horizontal="center" vertical="center" textRotation="90"/>
    </xf>
    <xf numFmtId="0" fontId="2" fillId="5" borderId="4" xfId="0" applyFont="1" applyFill="1" applyBorder="1" applyAlignment="1">
      <alignment horizontal="center" vertical="center" textRotation="90"/>
    </xf>
    <xf numFmtId="0" fontId="2" fillId="5" borderId="6" xfId="0" applyFont="1" applyFill="1" applyBorder="1" applyAlignment="1">
      <alignment horizontal="center" vertical="center" textRotation="90"/>
    </xf>
    <xf numFmtId="0" fontId="2" fillId="18" borderId="1" xfId="0" applyFont="1" applyFill="1" applyBorder="1" applyAlignment="1">
      <alignment horizontal="center" vertical="center" textRotation="90"/>
    </xf>
    <xf numFmtId="0" fontId="2" fillId="18" borderId="4" xfId="0" applyFont="1" applyFill="1" applyBorder="1" applyAlignment="1">
      <alignment horizontal="center" vertical="center" textRotation="90"/>
    </xf>
    <xf numFmtId="0" fontId="2" fillId="19" borderId="1" xfId="0" applyFont="1" applyFill="1" applyBorder="1" applyAlignment="1">
      <alignment horizontal="center" vertical="center" textRotation="90"/>
    </xf>
    <xf numFmtId="0" fontId="2" fillId="19" borderId="4" xfId="0" applyFont="1" applyFill="1" applyBorder="1" applyAlignment="1">
      <alignment horizontal="center" vertical="center" textRotation="90"/>
    </xf>
    <xf numFmtId="0" fontId="2" fillId="19" borderId="6" xfId="0" applyFont="1" applyFill="1" applyBorder="1" applyAlignment="1">
      <alignment horizontal="center" vertical="center" textRotation="90"/>
    </xf>
    <xf numFmtId="0" fontId="2" fillId="13" borderId="1" xfId="0" applyFont="1" applyFill="1" applyBorder="1" applyAlignment="1">
      <alignment horizontal="center" vertical="center" textRotation="90"/>
    </xf>
    <xf numFmtId="0" fontId="2" fillId="13" borderId="4" xfId="0" applyFont="1" applyFill="1" applyBorder="1" applyAlignment="1">
      <alignment horizontal="center" vertical="center" textRotation="90"/>
    </xf>
    <xf numFmtId="0" fontId="2" fillId="13" borderId="6" xfId="0" applyFont="1" applyFill="1" applyBorder="1" applyAlignment="1">
      <alignment horizontal="center" vertical="center" textRotation="90"/>
    </xf>
    <xf numFmtId="0" fontId="2" fillId="11" borderId="1" xfId="0" applyFont="1" applyFill="1" applyBorder="1" applyAlignment="1">
      <alignment horizontal="center" vertical="center" textRotation="90"/>
    </xf>
    <xf numFmtId="0" fontId="2" fillId="11" borderId="4" xfId="0" applyFont="1" applyFill="1" applyBorder="1" applyAlignment="1">
      <alignment horizontal="center" vertical="center" textRotation="90"/>
    </xf>
    <xf numFmtId="0" fontId="2" fillId="11" borderId="6" xfId="0" applyFont="1" applyFill="1" applyBorder="1" applyAlignment="1">
      <alignment horizontal="center" vertical="center" textRotation="90"/>
    </xf>
    <xf numFmtId="0" fontId="2" fillId="15" borderId="1" xfId="0" applyFont="1" applyFill="1" applyBorder="1" applyAlignment="1">
      <alignment horizontal="center" vertical="center" textRotation="90"/>
    </xf>
    <xf numFmtId="0" fontId="2" fillId="15" borderId="4" xfId="0" applyFont="1" applyFill="1" applyBorder="1" applyAlignment="1">
      <alignment horizontal="center" vertical="center" textRotation="90"/>
    </xf>
    <xf numFmtId="0" fontId="2" fillId="16" borderId="1" xfId="0" applyFont="1" applyFill="1" applyBorder="1" applyAlignment="1">
      <alignment horizontal="center" vertical="center" textRotation="90" wrapText="1"/>
    </xf>
    <xf numFmtId="0" fontId="2" fillId="16" borderId="4" xfId="0" applyFont="1" applyFill="1" applyBorder="1" applyAlignment="1">
      <alignment horizontal="center" vertical="center" textRotation="90" wrapText="1"/>
    </xf>
    <xf numFmtId="0" fontId="2" fillId="17" borderId="1" xfId="0" applyFont="1" applyFill="1" applyBorder="1" applyAlignment="1">
      <alignment horizontal="center" vertical="center" textRotation="90"/>
    </xf>
    <xf numFmtId="0" fontId="2" fillId="17" borderId="4" xfId="0" applyFont="1" applyFill="1" applyBorder="1" applyAlignment="1">
      <alignment horizontal="center" vertical="center" textRotation="90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B22E06AF-0A43-C64D-89A5-E384042A5BDC}"/>
  </cellStyles>
  <dxfs count="0"/>
  <tableStyles count="0" defaultTableStyle="TableStyleMedium2" defaultPivotStyle="PivotStyleLight16"/>
  <colors>
    <mruColors>
      <color rgb="FF00FA00"/>
      <color rgb="FFFFFD78"/>
      <color rgb="FFFF8AD8"/>
      <color rgb="FF73FB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>
                <a:solidFill>
                  <a:schemeClr val="tx1"/>
                </a:solidFill>
              </a:rPr>
              <a:t>Vacas</a:t>
            </a:r>
            <a:r>
              <a:rPr lang="pt-BR" sz="2000" baseline="0">
                <a:solidFill>
                  <a:schemeClr val="tx1"/>
                </a:solidFill>
              </a:rPr>
              <a:t> não P+ &gt; 150 DEL</a:t>
            </a:r>
            <a:endParaRPr lang="pt-BR" sz="20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5619257200082279"/>
          <c:y val="3.32357040633852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468836805555554"/>
          <c:y val="0.16429217171717173"/>
          <c:w val="0.8324910531214087"/>
          <c:h val="0.528337483122427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'2026'!$B$67</c:f>
              <c:strCache>
                <c:ptCount val="1"/>
                <c:pt idx="0">
                  <c:v>Vacas não P+ &gt;150 DEL (%)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'2026'!$C$67:$Q$67</c:f>
              <c:numCache>
                <c:formatCode>0.0</c:formatCode>
                <c:ptCount val="15"/>
                <c:pt idx="0">
                  <c:v>14.536015574302402</c:v>
                </c:pt>
                <c:pt idx="1">
                  <c:v>14.508474576271185</c:v>
                </c:pt>
                <c:pt idx="2">
                  <c:v>14.433333333333334</c:v>
                </c:pt>
                <c:pt idx="3">
                  <c:v>14.360655737704919</c:v>
                </c:pt>
                <c:pt idx="4">
                  <c:v>15.141540487162608</c:v>
                </c:pt>
                <c:pt idx="5">
                  <c:v>14.479638009049776</c:v>
                </c:pt>
                <c:pt idx="6">
                  <c:v>14.404079031230083</c:v>
                </c:pt>
                <c:pt idx="13">
                  <c:v>14.551962392722045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0-4491-866D-C7A1241AA5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26838554499385853"/>
          <c:y val="0.90856710774680871"/>
          <c:w val="0.4651964081365344"/>
          <c:h val="5.6266388888888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>
                <a:solidFill>
                  <a:schemeClr val="tx1"/>
                </a:solidFill>
              </a:rPr>
              <a:t>Demografia Lactantes</a:t>
            </a:r>
          </a:p>
        </c:rich>
      </c:tx>
      <c:layout>
        <c:manualLayout>
          <c:xMode val="edge"/>
          <c:yMode val="edge"/>
          <c:x val="0.289591100915087"/>
          <c:y val="3.9580955436105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141692424294407"/>
          <c:y val="0.14868638916168811"/>
          <c:w val="0.82592764714423894"/>
          <c:h val="0.530114155680323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'2026'!$B$46</c:f>
              <c:strCache>
                <c:ptCount val="1"/>
                <c:pt idx="0">
                  <c:v>1 Cria (%)</c:v>
                </c:pt>
              </c:strCache>
            </c:strRef>
          </c:tx>
          <c:spPr>
            <a:solidFill>
              <a:srgbClr val="F14124"/>
            </a:solidFill>
            <a:ln>
              <a:noFill/>
            </a:ln>
            <a:effectLst/>
          </c:spPr>
          <c:invertIfNegative val="0"/>
          <c:dLbls>
            <c:dLbl>
              <c:idx val="10"/>
              <c:layout>
                <c:manualLayout>
                  <c:x val="0"/>
                  <c:y val="1.55826576553916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67-47D7-8E8F-AC8A18A63C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'2026'!$C$46:$Q$46</c:f>
              <c:numCache>
                <c:formatCode>0.0</c:formatCode>
                <c:ptCount val="15"/>
                <c:pt idx="0">
                  <c:v>42.405063291139236</c:v>
                </c:pt>
                <c:pt idx="1">
                  <c:v>42.160737812911727</c:v>
                </c:pt>
                <c:pt idx="2">
                  <c:v>42.149292149292151</c:v>
                </c:pt>
                <c:pt idx="3">
                  <c:v>42.20125786163522</c:v>
                </c:pt>
                <c:pt idx="4">
                  <c:v>41.750629722921914</c:v>
                </c:pt>
                <c:pt idx="5">
                  <c:v>42.017326732673268</c:v>
                </c:pt>
                <c:pt idx="6">
                  <c:v>43.128834355828225</c:v>
                </c:pt>
                <c:pt idx="7">
                  <c:v>43.658536585365852</c:v>
                </c:pt>
                <c:pt idx="13">
                  <c:v>42.433959813970958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67-47D7-8E8F-AC8A18A63C26}"/>
            </c:ext>
          </c:extLst>
        </c:ser>
        <c:ser>
          <c:idx val="1"/>
          <c:order val="1"/>
          <c:tx>
            <c:strRef>
              <c:f>'2026'!$B$47</c:f>
              <c:strCache>
                <c:ptCount val="1"/>
                <c:pt idx="0">
                  <c:v>2 Cria (%)</c:v>
                </c:pt>
              </c:strCache>
            </c:strRef>
          </c:tx>
          <c:spPr>
            <a:solidFill>
              <a:srgbClr val="FF802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'2026'!$C$47:$Q$47</c:f>
              <c:numCache>
                <c:formatCode>0.0</c:formatCode>
                <c:ptCount val="15"/>
                <c:pt idx="0">
                  <c:v>32.848101265822784</c:v>
                </c:pt>
                <c:pt idx="1">
                  <c:v>32.872200263504617</c:v>
                </c:pt>
                <c:pt idx="2">
                  <c:v>32.882882882882889</c:v>
                </c:pt>
                <c:pt idx="3">
                  <c:v>32.955974842767297</c:v>
                </c:pt>
                <c:pt idx="4">
                  <c:v>32.997481108312343</c:v>
                </c:pt>
                <c:pt idx="5">
                  <c:v>32.673267326732677</c:v>
                </c:pt>
                <c:pt idx="6">
                  <c:v>32.331288343558285</c:v>
                </c:pt>
                <c:pt idx="7">
                  <c:v>31.951219512195124</c:v>
                </c:pt>
                <c:pt idx="13">
                  <c:v>32.689051943221997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67-47D7-8E8F-AC8A18A63C26}"/>
            </c:ext>
          </c:extLst>
        </c:ser>
        <c:ser>
          <c:idx val="2"/>
          <c:order val="2"/>
          <c:tx>
            <c:strRef>
              <c:f>'2026'!$B$48</c:f>
              <c:strCache>
                <c:ptCount val="1"/>
                <c:pt idx="0">
                  <c:v>3+ Crias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'2026'!$C$48:$Q$48</c:f>
              <c:numCache>
                <c:formatCode>0.0</c:formatCode>
                <c:ptCount val="15"/>
                <c:pt idx="0">
                  <c:v>24.746835443037973</c:v>
                </c:pt>
                <c:pt idx="1">
                  <c:v>24.967061923583664</c:v>
                </c:pt>
                <c:pt idx="2">
                  <c:v>24.967824967824967</c:v>
                </c:pt>
                <c:pt idx="3">
                  <c:v>24.842767295597483</c:v>
                </c:pt>
                <c:pt idx="4">
                  <c:v>25.251889168765747</c:v>
                </c:pt>
                <c:pt idx="5">
                  <c:v>25.309405940594061</c:v>
                </c:pt>
                <c:pt idx="6">
                  <c:v>24.539877300613497</c:v>
                </c:pt>
                <c:pt idx="7">
                  <c:v>24.390243902439025</c:v>
                </c:pt>
                <c:pt idx="13">
                  <c:v>24.876988242807052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67-47D7-8E8F-AC8A18A63C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1444204134674783"/>
          <c:y val="0.76479560926249612"/>
          <c:w val="0.50780046430556292"/>
          <c:h val="0.163478080805096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0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Produtividade Relativa Adultas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718171875"/>
          <c:y val="0.10611388888888888"/>
          <c:w val="0.78911267361111093"/>
          <c:h val="0.583998484848484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'2026'!$B$55</c:f>
              <c:strCache>
                <c:ptCount val="1"/>
                <c:pt idx="0">
                  <c:v>Produtividade Relativa Adulta (%)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'2026'!$C$55:$Q$55</c:f>
              <c:numCache>
                <c:formatCode>0.00</c:formatCode>
                <c:ptCount val="15"/>
                <c:pt idx="0">
                  <c:v>93.707865168539328</c:v>
                </c:pt>
                <c:pt idx="1">
                  <c:v>93.679458239277665</c:v>
                </c:pt>
                <c:pt idx="2">
                  <c:v>94.796380090497721</c:v>
                </c:pt>
                <c:pt idx="3">
                  <c:v>97.727272727272734</c:v>
                </c:pt>
                <c:pt idx="4">
                  <c:v>94.63519313304721</c:v>
                </c:pt>
                <c:pt idx="5">
                  <c:v>96.112311015118806</c:v>
                </c:pt>
                <c:pt idx="13" formatCode="0.0">
                  <c:v>95.10974672895891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A-4A85-ABE6-F98896D57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100"/>
          <c:min val="7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26948663921195837"/>
          <c:y val="0.91668368082854401"/>
          <c:w val="0.47422118055555545"/>
          <c:h val="4.2500694444444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 baseline="0">
                <a:solidFill>
                  <a:schemeClr val="tx1"/>
                </a:solidFill>
              </a:rPr>
              <a:t>NUL</a:t>
            </a:r>
            <a:endParaRPr lang="pt-BR" sz="20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5359684929964872"/>
          <c:y val="4.3065720978204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168061824412979"/>
          <c:y val="0.14546030557223569"/>
          <c:w val="0.80786447846512444"/>
          <c:h val="0.5539136720551509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'2026'!$B$58</c:f>
              <c:strCache>
                <c:ptCount val="1"/>
                <c:pt idx="0">
                  <c:v>NUL (mg/dl)</c:v>
                </c:pt>
              </c:strCache>
            </c:strRef>
          </c:tx>
          <c:spPr>
            <a:solidFill>
              <a:srgbClr val="F1412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'2026'!$C$58:$Q$58</c:f>
              <c:numCache>
                <c:formatCode>0.00</c:formatCode>
                <c:ptCount val="15"/>
                <c:pt idx="0">
                  <c:v>14.99</c:v>
                </c:pt>
                <c:pt idx="1">
                  <c:v>14.45</c:v>
                </c:pt>
                <c:pt idx="2">
                  <c:v>14.2</c:v>
                </c:pt>
                <c:pt idx="3">
                  <c:v>15.7</c:v>
                </c:pt>
                <c:pt idx="4">
                  <c:v>14.8</c:v>
                </c:pt>
                <c:pt idx="5">
                  <c:v>14.3</c:v>
                </c:pt>
                <c:pt idx="6">
                  <c:v>13.3</c:v>
                </c:pt>
                <c:pt idx="13" formatCode="0.0">
                  <c:v>14.534285714285714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C-49C9-8B9A-F62E4280DA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20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% / mg/dl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32800769858134232"/>
          <c:y val="0.88728907110093447"/>
          <c:w val="0.35275499999999999"/>
          <c:h val="5.6266388888888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 b="1">
                <a:solidFill>
                  <a:schemeClr val="tx1"/>
                </a:solidFill>
              </a:rPr>
              <a:t>RMCA</a:t>
            </a:r>
          </a:p>
        </c:rich>
      </c:tx>
      <c:layout>
        <c:manualLayout>
          <c:xMode val="edge"/>
          <c:yMode val="edge"/>
          <c:x val="0.42702690562429219"/>
          <c:y val="4.1511479079900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209197908710742"/>
          <c:y val="0.14546040412343944"/>
          <c:w val="0.8141923670560034"/>
          <c:h val="0.518251276278631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'2026'!$B$61</c:f>
              <c:strCache>
                <c:ptCount val="1"/>
                <c:pt idx="0">
                  <c:v>RMCA (R$/vaca/d)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'2026'!$C$61:$P$61</c:f>
              <c:numCache>
                <c:formatCode>0.00</c:formatCode>
                <c:ptCount val="14"/>
                <c:pt idx="0">
                  <c:v>62.375999999999998</c:v>
                </c:pt>
                <c:pt idx="1">
                  <c:v>58.084999999999994</c:v>
                </c:pt>
                <c:pt idx="2">
                  <c:v>65.328000000000003</c:v>
                </c:pt>
                <c:pt idx="3">
                  <c:v>64.956999999999994</c:v>
                </c:pt>
                <c:pt idx="4">
                  <c:v>76.942000000000007</c:v>
                </c:pt>
                <c:pt idx="5">
                  <c:v>122.58477000000001</c:v>
                </c:pt>
                <c:pt idx="6">
                  <c:v>123.15399999999998</c:v>
                </c:pt>
                <c:pt idx="13" formatCode="0.0">
                  <c:v>81.918109999999984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E-4956-8440-03B2D3FEA1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8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R$/vaca/d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32362249999999998"/>
          <c:y val="0.88728916666666668"/>
          <c:w val="0.35275499999999999"/>
          <c:h val="5.6266388888888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000" b="1">
                <a:solidFill>
                  <a:schemeClr val="tx1"/>
                </a:solidFill>
              </a:rPr>
              <a:t>Curva de Lactação</a:t>
            </a:r>
          </a:p>
        </c:rich>
      </c:tx>
      <c:layout>
        <c:manualLayout>
          <c:xMode val="edge"/>
          <c:yMode val="edge"/>
          <c:x val="0.29230172460903858"/>
          <c:y val="2.2048653189312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84796875"/>
          <c:y val="0.12086641414141415"/>
          <c:w val="0.78069270833333337"/>
          <c:h val="0.59168383838383842"/>
        </c:manualLayout>
      </c:layout>
      <c:barChart>
        <c:barDir val="col"/>
        <c:grouping val="clustered"/>
        <c:varyColors val="0"/>
        <c:ser>
          <c:idx val="0"/>
          <c:order val="0"/>
          <c:tx>
            <c:v>Prim</c:v>
          </c:tx>
          <c:spPr>
            <a:solidFill>
              <a:srgbClr val="FFFD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'2026'!$B$108:$B$120</c:f>
              <c:strCache>
                <c:ptCount val="13"/>
                <c:pt idx="0">
                  <c:v>0-29 Prim</c:v>
                </c:pt>
                <c:pt idx="1">
                  <c:v>30-59 Prim</c:v>
                </c:pt>
                <c:pt idx="2">
                  <c:v>60-89 Prim</c:v>
                </c:pt>
                <c:pt idx="3">
                  <c:v>90-119 Prim</c:v>
                </c:pt>
                <c:pt idx="4">
                  <c:v>120-149 Prim</c:v>
                </c:pt>
                <c:pt idx="5">
                  <c:v>150-179 Prim</c:v>
                </c:pt>
                <c:pt idx="6">
                  <c:v>180-209 Prim</c:v>
                </c:pt>
                <c:pt idx="7">
                  <c:v>210-239 Prim</c:v>
                </c:pt>
                <c:pt idx="8">
                  <c:v>240-269 Prim</c:v>
                </c:pt>
                <c:pt idx="9">
                  <c:v>270-299 Prim</c:v>
                </c:pt>
                <c:pt idx="10">
                  <c:v>300-329 Prim</c:v>
                </c:pt>
                <c:pt idx="11">
                  <c:v>330-359 Prim</c:v>
                </c:pt>
                <c:pt idx="12">
                  <c:v>360+ Prim</c:v>
                </c:pt>
              </c:strCache>
            </c:strRef>
          </c:cat>
          <c:val>
            <c:numRef>
              <c:f>'2026'!$E$108:$E$120</c:f>
              <c:numCache>
                <c:formatCode>0.0</c:formatCode>
                <c:ptCount val="13"/>
                <c:pt idx="0">
                  <c:v>32.318181818181827</c:v>
                </c:pt>
                <c:pt idx="1">
                  <c:v>42.087037037037042</c:v>
                </c:pt>
                <c:pt idx="2">
                  <c:v>44.627868852459024</c:v>
                </c:pt>
                <c:pt idx="3">
                  <c:v>49.57021276595745</c:v>
                </c:pt>
                <c:pt idx="4">
                  <c:v>45.195238095238096</c:v>
                </c:pt>
                <c:pt idx="5">
                  <c:v>48.601639344262303</c:v>
                </c:pt>
                <c:pt idx="6">
                  <c:v>46.718367346938784</c:v>
                </c:pt>
                <c:pt idx="7">
                  <c:v>41.386792452830186</c:v>
                </c:pt>
                <c:pt idx="8">
                  <c:v>39.43478260869567</c:v>
                </c:pt>
                <c:pt idx="9">
                  <c:v>41.440540540540539</c:v>
                </c:pt>
                <c:pt idx="10">
                  <c:v>39.452631578947354</c:v>
                </c:pt>
                <c:pt idx="11">
                  <c:v>37.010000000000005</c:v>
                </c:pt>
                <c:pt idx="12">
                  <c:v>34.769811320754727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3-425C-9605-458669123F37}"/>
            </c:ext>
          </c:extLst>
        </c:ser>
        <c:ser>
          <c:idx val="1"/>
          <c:order val="1"/>
          <c:tx>
            <c:v>Mult</c:v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'2026'!$B$108:$B$120</c:f>
              <c:strCache>
                <c:ptCount val="13"/>
                <c:pt idx="0">
                  <c:v>0-29 Prim</c:v>
                </c:pt>
                <c:pt idx="1">
                  <c:v>30-59 Prim</c:v>
                </c:pt>
                <c:pt idx="2">
                  <c:v>60-89 Prim</c:v>
                </c:pt>
                <c:pt idx="3">
                  <c:v>90-119 Prim</c:v>
                </c:pt>
                <c:pt idx="4">
                  <c:v>120-149 Prim</c:v>
                </c:pt>
                <c:pt idx="5">
                  <c:v>150-179 Prim</c:v>
                </c:pt>
                <c:pt idx="6">
                  <c:v>180-209 Prim</c:v>
                </c:pt>
                <c:pt idx="7">
                  <c:v>210-239 Prim</c:v>
                </c:pt>
                <c:pt idx="8">
                  <c:v>240-269 Prim</c:v>
                </c:pt>
                <c:pt idx="9">
                  <c:v>270-299 Prim</c:v>
                </c:pt>
                <c:pt idx="10">
                  <c:v>300-329 Prim</c:v>
                </c:pt>
                <c:pt idx="11">
                  <c:v>330-359 Prim</c:v>
                </c:pt>
                <c:pt idx="12">
                  <c:v>360+ Prim</c:v>
                </c:pt>
              </c:strCache>
            </c:strRef>
          </c:cat>
          <c:val>
            <c:numRef>
              <c:f>'2026'!$E$121:$E$133</c:f>
              <c:numCache>
                <c:formatCode>0.0</c:formatCode>
                <c:ptCount val="13"/>
                <c:pt idx="0">
                  <c:v>39.495412844036707</c:v>
                </c:pt>
                <c:pt idx="1">
                  <c:v>49.217346938775492</c:v>
                </c:pt>
                <c:pt idx="2">
                  <c:v>54.878823529411804</c:v>
                </c:pt>
                <c:pt idx="3">
                  <c:v>53.929268292682934</c:v>
                </c:pt>
                <c:pt idx="4">
                  <c:v>52.406849315068506</c:v>
                </c:pt>
                <c:pt idx="5">
                  <c:v>46.359322033898309</c:v>
                </c:pt>
                <c:pt idx="6">
                  <c:v>45.659016393442627</c:v>
                </c:pt>
                <c:pt idx="7">
                  <c:v>43.267948717948734</c:v>
                </c:pt>
                <c:pt idx="8">
                  <c:v>38.90428571428572</c:v>
                </c:pt>
                <c:pt idx="9">
                  <c:v>34.845652173913038</c:v>
                </c:pt>
                <c:pt idx="10">
                  <c:v>34.792500000000004</c:v>
                </c:pt>
                <c:pt idx="11">
                  <c:v>34.53793103448276</c:v>
                </c:pt>
                <c:pt idx="12">
                  <c:v>29.371874999999999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83-425C-9605-458669123F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2702479"/>
        <c:axId val="1362704191"/>
      </c:barChart>
      <c:catAx>
        <c:axId val="136270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200"/>
                  <a:t>DEL</a:t>
                </a:r>
              </a:p>
            </c:rich>
          </c:tx>
          <c:layout>
            <c:manualLayout>
              <c:xMode val="edge"/>
              <c:yMode val="edge"/>
              <c:x val="0.4724410851388659"/>
              <c:y val="0.92630527189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62704191"/>
        <c:crosses val="autoZero"/>
        <c:auto val="1"/>
        <c:lblAlgn val="ctr"/>
        <c:lblOffset val="100"/>
        <c:noMultiLvlLbl val="0"/>
      </c:catAx>
      <c:valAx>
        <c:axId val="1362704191"/>
        <c:scaling>
          <c:orientation val="minMax"/>
          <c:min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200"/>
                  <a:t>kg/vaca/d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62702479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63765474042928938"/>
          <c:y val="0.93251622705383719"/>
          <c:w val="0.14083819385280816"/>
          <c:h val="4.9036786486541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>
                <a:solidFill>
                  <a:schemeClr val="tx1"/>
                </a:solidFill>
              </a:rPr>
              <a:t>Fêmeas N</a:t>
            </a:r>
            <a:r>
              <a:rPr lang="pt-BR" sz="2000" baseline="0">
                <a:solidFill>
                  <a:schemeClr val="tx1"/>
                </a:solidFill>
              </a:rPr>
              <a:t>ascidas</a:t>
            </a:r>
            <a:endParaRPr lang="pt-BR" sz="20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758351879250534"/>
          <c:y val="2.5574600416126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405364583333334"/>
          <c:y val="0.12118838383838382"/>
          <c:w val="0.71094323084382882"/>
          <c:h val="0.539765037210273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'2026'!$B$26</c:f>
              <c:strCache>
                <c:ptCount val="1"/>
                <c:pt idx="0">
                  <c:v>Fêmeas Nascidas (n)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4090182493380942E-3"/>
                  <c:y val="-6.701685465099609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71-4405-B3F9-4BB5848FAB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'2026'!$C$26:$Q$26</c:f>
              <c:numCache>
                <c:formatCode>0.0</c:formatCode>
                <c:ptCount val="15"/>
                <c:pt idx="0">
                  <c:v>98</c:v>
                </c:pt>
                <c:pt idx="1">
                  <c:v>90</c:v>
                </c:pt>
                <c:pt idx="2">
                  <c:v>126</c:v>
                </c:pt>
                <c:pt idx="3">
                  <c:v>90</c:v>
                </c:pt>
                <c:pt idx="4">
                  <c:v>99</c:v>
                </c:pt>
                <c:pt idx="5">
                  <c:v>101</c:v>
                </c:pt>
                <c:pt idx="6">
                  <c:v>103</c:v>
                </c:pt>
                <c:pt idx="13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C-443C-8728-871263ECA0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76331824"/>
        <c:axId val="1479076128"/>
      </c:barChart>
      <c:lineChart>
        <c:grouping val="standard"/>
        <c:varyColors val="0"/>
        <c:ser>
          <c:idx val="1"/>
          <c:order val="1"/>
          <c:tx>
            <c:strRef>
              <c:f>'2026'!$B$82</c:f>
              <c:strCache>
                <c:ptCount val="1"/>
                <c:pt idx="0">
                  <c:v>Fêmeas Nascidas (%)</c:v>
                </c:pt>
              </c:strCache>
            </c:strRef>
          </c:tx>
          <c:spPr>
            <a:ln w="508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'2026'!$C$82:$Q$82</c:f>
              <c:numCache>
                <c:formatCode>0.0</c:formatCode>
                <c:ptCount val="15"/>
                <c:pt idx="0">
                  <c:v>63.636363636363633</c:v>
                </c:pt>
                <c:pt idx="1">
                  <c:v>50.561797752808992</c:v>
                </c:pt>
                <c:pt idx="2">
                  <c:v>62.376237623762378</c:v>
                </c:pt>
                <c:pt idx="3">
                  <c:v>52.325581395348841</c:v>
                </c:pt>
                <c:pt idx="4">
                  <c:v>58.928571428571431</c:v>
                </c:pt>
                <c:pt idx="5">
                  <c:v>60.843373493975903</c:v>
                </c:pt>
                <c:pt idx="6">
                  <c:v>63.190184049079754</c:v>
                </c:pt>
                <c:pt idx="13">
                  <c:v>58.837444197130132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CC-443C-8728-871263ECA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89280"/>
        <c:axId val="42587360"/>
      </c:line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in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valAx>
        <c:axId val="42587360"/>
        <c:scaling>
          <c:orientation val="minMax"/>
          <c:min val="3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%</a:t>
                </a:r>
              </a:p>
            </c:rich>
          </c:tx>
          <c:layout>
            <c:manualLayout>
              <c:xMode val="edge"/>
              <c:yMode val="edge"/>
              <c:x val="0.93674236301923386"/>
              <c:y val="0.34232989231706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42589280"/>
        <c:crosses val="max"/>
        <c:crossBetween val="between"/>
      </c:valAx>
      <c:catAx>
        <c:axId val="4258928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2587360"/>
        <c:crosses val="max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12967864988399475"/>
          <c:y val="0.90731872636719801"/>
          <c:w val="0.74093166813790701"/>
          <c:h val="4.4499419698867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>
                <a:solidFill>
                  <a:schemeClr val="tx1"/>
                </a:solidFill>
              </a:rPr>
              <a:t>Partos</a:t>
            </a:r>
            <a:r>
              <a:rPr lang="pt-BR" sz="2000" baseline="0">
                <a:solidFill>
                  <a:schemeClr val="tx1"/>
                </a:solidFill>
              </a:rPr>
              <a:t> Com Natimortos</a:t>
            </a:r>
            <a:endParaRPr lang="pt-BR" sz="20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4430377867019207"/>
          <c:y val="3.6743903943418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150277777777778"/>
          <c:y val="0.14450050505050505"/>
          <c:w val="0.76135963330888168"/>
          <c:h val="0.504140538262264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'2026'!$B$27</c:f>
              <c:strCache>
                <c:ptCount val="1"/>
                <c:pt idx="0">
                  <c:v>Partos com Natimorto (n)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'2026'!$C$27:$Q$27</c:f>
              <c:numCache>
                <c:formatCode>0.0</c:formatCode>
                <c:ptCount val="15"/>
                <c:pt idx="0">
                  <c:v>10</c:v>
                </c:pt>
                <c:pt idx="1">
                  <c:v>4</c:v>
                </c:pt>
                <c:pt idx="2">
                  <c:v>6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  <c:pt idx="6">
                  <c:v>5</c:v>
                </c:pt>
                <c:pt idx="13">
                  <c:v>7.7142857142857144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2-4879-9794-F491BBD5C0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76331824"/>
        <c:axId val="1479076128"/>
      </c:barChart>
      <c:lineChart>
        <c:grouping val="standard"/>
        <c:varyColors val="0"/>
        <c:ser>
          <c:idx val="1"/>
          <c:order val="1"/>
          <c:tx>
            <c:strRef>
              <c:f>'2026'!$B$83</c:f>
              <c:strCache>
                <c:ptCount val="1"/>
                <c:pt idx="0">
                  <c:v>Natimorto (%)</c:v>
                </c:pt>
              </c:strCache>
            </c:strRef>
          </c:tx>
          <c:spPr>
            <a:ln w="508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'2026'!$C$83:$Q$83</c:f>
              <c:numCache>
                <c:formatCode>0.0</c:formatCode>
                <c:ptCount val="15"/>
                <c:pt idx="0">
                  <c:v>6.4935064935064926</c:v>
                </c:pt>
                <c:pt idx="1">
                  <c:v>2.2471910112359552</c:v>
                </c:pt>
                <c:pt idx="2">
                  <c:v>2.9702970297029703</c:v>
                </c:pt>
                <c:pt idx="3">
                  <c:v>6.395348837209303</c:v>
                </c:pt>
                <c:pt idx="4">
                  <c:v>5.9523809523809517</c:v>
                </c:pt>
                <c:pt idx="5">
                  <c:v>4.8192771084337354</c:v>
                </c:pt>
                <c:pt idx="6">
                  <c:v>3.0674846625766872</c:v>
                </c:pt>
                <c:pt idx="13">
                  <c:v>4.5636408707208718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A2-4879-9794-F491BBD5C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89280"/>
        <c:axId val="42587360"/>
      </c:line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valAx>
        <c:axId val="425873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%</a:t>
                </a:r>
              </a:p>
            </c:rich>
          </c:tx>
          <c:layout>
            <c:manualLayout>
              <c:xMode val="edge"/>
              <c:yMode val="edge"/>
              <c:x val="0.95331315730943988"/>
              <c:y val="0.341337277437394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42589280"/>
        <c:crosses val="max"/>
        <c:crossBetween val="between"/>
      </c:valAx>
      <c:catAx>
        <c:axId val="4258928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2587360"/>
        <c:crosses val="max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16475725039232633"/>
          <c:y val="0.89606049780685715"/>
          <c:w val="0.67194109927867773"/>
          <c:h val="4.4499419698867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>
                <a:solidFill>
                  <a:schemeClr val="tx1"/>
                </a:solidFill>
              </a:rPr>
              <a:t>Parto</a:t>
            </a:r>
            <a:r>
              <a:rPr lang="pt-BR" sz="2000" baseline="0">
                <a:solidFill>
                  <a:schemeClr val="tx1"/>
                </a:solidFill>
              </a:rPr>
              <a:t> Gemelar</a:t>
            </a:r>
            <a:endParaRPr lang="pt-BR" sz="20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4178070506258645"/>
          <c:y val="3.6800939182871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355141775026297"/>
          <c:y val="0.14129338500645988"/>
          <c:w val="0.72602274305555548"/>
          <c:h val="0.5206305555555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'2026'!$B$28</c:f>
              <c:strCache>
                <c:ptCount val="1"/>
                <c:pt idx="0">
                  <c:v>Parto Gêmeos (n)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'2026'!$C$28:$Q$28</c:f>
              <c:numCache>
                <c:formatCode>0.0</c:formatCode>
                <c:ptCount val="15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0-4344-9ACD-F799CE7AA4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76331824"/>
        <c:axId val="1479076128"/>
      </c:barChart>
      <c:lineChart>
        <c:grouping val="standard"/>
        <c:varyColors val="0"/>
        <c:ser>
          <c:idx val="1"/>
          <c:order val="1"/>
          <c:tx>
            <c:strRef>
              <c:f>'2026'!$B$84</c:f>
              <c:strCache>
                <c:ptCount val="1"/>
                <c:pt idx="0">
                  <c:v>Gemelar (%)</c:v>
                </c:pt>
              </c:strCache>
            </c:strRef>
          </c:tx>
          <c:spPr>
            <a:ln w="508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'2026'!$C$84:$Q$84</c:f>
              <c:numCache>
                <c:formatCode>0.0</c:formatCode>
                <c:ptCount val="15"/>
                <c:pt idx="0">
                  <c:v>1.948051948051948</c:v>
                </c:pt>
                <c:pt idx="1">
                  <c:v>2.2471910112359552</c:v>
                </c:pt>
                <c:pt idx="2">
                  <c:v>1.4851485148514851</c:v>
                </c:pt>
                <c:pt idx="3">
                  <c:v>3.4883720930232558</c:v>
                </c:pt>
                <c:pt idx="4">
                  <c:v>1.1904761904761905</c:v>
                </c:pt>
                <c:pt idx="5">
                  <c:v>1.2048192771084338</c:v>
                </c:pt>
                <c:pt idx="6">
                  <c:v>0.61349693251533743</c:v>
                </c:pt>
                <c:pt idx="13">
                  <c:v>1.7396508524660863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20-4344-9ACD-F799CE7AA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89280"/>
        <c:axId val="42587360"/>
      </c:line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1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valAx>
        <c:axId val="425873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%</a:t>
                </a:r>
              </a:p>
            </c:rich>
          </c:tx>
          <c:layout>
            <c:manualLayout>
              <c:xMode val="edge"/>
              <c:yMode val="edge"/>
              <c:x val="0.94417696189556544"/>
              <c:y val="0.359499075054959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42589280"/>
        <c:crosses val="max"/>
        <c:crossBetween val="between"/>
      </c:valAx>
      <c:catAx>
        <c:axId val="4258928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2587360"/>
        <c:crosses val="max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1910028445274761"/>
          <c:y val="0.91192285989748501"/>
          <c:w val="0.60406334487556934"/>
          <c:h val="4.4499419698867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1500" b="1">
                <a:solidFill>
                  <a:schemeClr val="tx1"/>
                </a:solidFill>
              </a:rPr>
              <a:t>Concepção</a:t>
            </a:r>
            <a:r>
              <a:rPr lang="pt-BR" sz="1500" b="1" baseline="0">
                <a:solidFill>
                  <a:schemeClr val="tx1"/>
                </a:solidFill>
              </a:rPr>
              <a:t> Primíparas X Concepção Multíparas</a:t>
            </a:r>
            <a:endParaRPr lang="pt-BR" sz="15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2296443655006244"/>
          <c:y val="5.6862284988004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785492616646747"/>
          <c:y val="0.16095592232990755"/>
          <c:w val="0.83700630269655074"/>
          <c:h val="0.543731643251695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'2026'!$B$73</c:f>
              <c:strCache>
                <c:ptCount val="1"/>
                <c:pt idx="0">
                  <c:v>Concepção Primíparas (%)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'2026'!$C$73:$P$73</c:f>
              <c:numCache>
                <c:formatCode>0.0</c:formatCode>
                <c:ptCount val="14"/>
                <c:pt idx="0">
                  <c:v>21.6</c:v>
                </c:pt>
                <c:pt idx="1">
                  <c:v>36.11</c:v>
                </c:pt>
                <c:pt idx="2">
                  <c:v>35.4</c:v>
                </c:pt>
                <c:pt idx="3">
                  <c:v>26.4</c:v>
                </c:pt>
                <c:pt idx="4">
                  <c:v>33.5</c:v>
                </c:pt>
                <c:pt idx="5">
                  <c:v>43.9</c:v>
                </c:pt>
                <c:pt idx="6">
                  <c:v>33</c:v>
                </c:pt>
                <c:pt idx="13">
                  <c:v>32.844285714285711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6-4847-B9AE-E6C939C84E77}"/>
            </c:ext>
          </c:extLst>
        </c:ser>
        <c:ser>
          <c:idx val="1"/>
          <c:order val="1"/>
          <c:tx>
            <c:strRef>
              <c:f>'2026'!$B$75</c:f>
              <c:strCache>
                <c:ptCount val="1"/>
                <c:pt idx="0">
                  <c:v>Concepção Multíparas (%)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'2026'!$C$75:$P$75</c:f>
              <c:numCache>
                <c:formatCode>0.0</c:formatCode>
                <c:ptCount val="14"/>
                <c:pt idx="0">
                  <c:v>31.7</c:v>
                </c:pt>
                <c:pt idx="1">
                  <c:v>33.700000000000003</c:v>
                </c:pt>
                <c:pt idx="2">
                  <c:v>37.08</c:v>
                </c:pt>
                <c:pt idx="3">
                  <c:v>30.1</c:v>
                </c:pt>
                <c:pt idx="4">
                  <c:v>33.700000000000003</c:v>
                </c:pt>
                <c:pt idx="5">
                  <c:v>31.1</c:v>
                </c:pt>
                <c:pt idx="6">
                  <c:v>33.700000000000003</c:v>
                </c:pt>
                <c:pt idx="13">
                  <c:v>33.011428571428574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06-4847-B9AE-E6C939C84E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13458720721495002"/>
          <c:y val="0.92636606123856347"/>
          <c:w val="0.71522024231630754"/>
          <c:h val="5.21917230774304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1400" b="1">
                <a:solidFill>
                  <a:schemeClr val="tx1"/>
                </a:solidFill>
              </a:rPr>
              <a:t>1ª</a:t>
            </a:r>
            <a:r>
              <a:rPr lang="pt-BR" sz="1400" b="1" baseline="0">
                <a:solidFill>
                  <a:schemeClr val="tx1"/>
                </a:solidFill>
              </a:rPr>
              <a:t> C</a:t>
            </a:r>
            <a:r>
              <a:rPr lang="pt-BR" sz="1400" b="1">
                <a:solidFill>
                  <a:schemeClr val="tx1"/>
                </a:solidFill>
              </a:rPr>
              <a:t>oncepção</a:t>
            </a:r>
            <a:r>
              <a:rPr lang="pt-BR" sz="1400" b="1" baseline="0">
                <a:solidFill>
                  <a:schemeClr val="tx1"/>
                </a:solidFill>
              </a:rPr>
              <a:t> Primíparas X 1ª Concepção Multíparas</a:t>
            </a:r>
            <a:endParaRPr lang="pt-BR" sz="14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102480321504439"/>
          <c:y val="5.4634915950648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571284722222226"/>
          <c:y val="0.15508156565656567"/>
          <c:w val="0.81706145833333332"/>
          <c:h val="0.505107070707070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'2026'!$B$74</c:f>
              <c:strCache>
                <c:ptCount val="1"/>
                <c:pt idx="0">
                  <c:v>Concepção 1ª Primíparas (%)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'2026'!$C$74:$P$74</c:f>
              <c:numCache>
                <c:formatCode>0.0</c:formatCode>
                <c:ptCount val="14"/>
                <c:pt idx="0">
                  <c:v>27.7</c:v>
                </c:pt>
                <c:pt idx="1">
                  <c:v>35.090000000000003</c:v>
                </c:pt>
                <c:pt idx="2">
                  <c:v>42.8</c:v>
                </c:pt>
                <c:pt idx="3">
                  <c:v>37.799999999999997</c:v>
                </c:pt>
                <c:pt idx="4">
                  <c:v>40</c:v>
                </c:pt>
                <c:pt idx="5">
                  <c:v>50.8</c:v>
                </c:pt>
                <c:pt idx="6">
                  <c:v>27.6</c:v>
                </c:pt>
                <c:pt idx="13">
                  <c:v>37.398571428571429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C-491F-8F31-24B4358DF7D5}"/>
            </c:ext>
          </c:extLst>
        </c:ser>
        <c:ser>
          <c:idx val="1"/>
          <c:order val="1"/>
          <c:tx>
            <c:strRef>
              <c:f>'2026'!$B$76</c:f>
              <c:strCache>
                <c:ptCount val="1"/>
                <c:pt idx="0">
                  <c:v>Concepção 1ª Multíparas (%)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'2026'!$C$76:$P$76</c:f>
              <c:numCache>
                <c:formatCode>0.0</c:formatCode>
                <c:ptCount val="14"/>
                <c:pt idx="0">
                  <c:v>36.36</c:v>
                </c:pt>
                <c:pt idx="1">
                  <c:v>34.43</c:v>
                </c:pt>
                <c:pt idx="2">
                  <c:v>34.92</c:v>
                </c:pt>
                <c:pt idx="3">
                  <c:v>36.840000000000003</c:v>
                </c:pt>
                <c:pt idx="4">
                  <c:v>37.200000000000003</c:v>
                </c:pt>
                <c:pt idx="5">
                  <c:v>34.299999999999997</c:v>
                </c:pt>
                <c:pt idx="6">
                  <c:v>37.200000000000003</c:v>
                </c:pt>
                <c:pt idx="13">
                  <c:v>35.892857142857146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4C-491F-8F31-24B4358DF7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70"/>
          <c:min val="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5.5180201890309664E-2"/>
          <c:y val="0.92038222061233665"/>
          <c:w val="0.88285717808958175"/>
          <c:h val="5.21917230774304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 b="1">
                <a:solidFill>
                  <a:schemeClr val="tx1"/>
                </a:solidFill>
              </a:rPr>
              <a:t>Concepção</a:t>
            </a:r>
            <a:r>
              <a:rPr lang="pt-BR" sz="2000" b="1" baseline="0">
                <a:solidFill>
                  <a:schemeClr val="tx1"/>
                </a:solidFill>
              </a:rPr>
              <a:t> 1ª Nulíparas</a:t>
            </a:r>
            <a:endParaRPr lang="pt-BR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3756672652643274"/>
          <c:y val="3.84138752601744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027881944444445"/>
          <c:y val="0.14225328282828284"/>
          <c:w val="0.83249548611111113"/>
          <c:h val="0.556420202020202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'2026'!$B$79</c:f>
              <c:strCache>
                <c:ptCount val="1"/>
                <c:pt idx="0">
                  <c:v>Concepção 1ª Nulíparas (%)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'2026'!$C$79:$P$79</c:f>
              <c:numCache>
                <c:formatCode>0.0</c:formatCode>
                <c:ptCount val="14"/>
                <c:pt idx="0">
                  <c:v>55.56</c:v>
                </c:pt>
                <c:pt idx="1">
                  <c:v>55.66</c:v>
                </c:pt>
                <c:pt idx="2">
                  <c:v>48.7</c:v>
                </c:pt>
                <c:pt idx="3">
                  <c:v>62.1</c:v>
                </c:pt>
                <c:pt idx="4">
                  <c:v>60</c:v>
                </c:pt>
                <c:pt idx="5">
                  <c:v>54.3</c:v>
                </c:pt>
                <c:pt idx="6">
                  <c:v>53</c:v>
                </c:pt>
                <c:pt idx="13">
                  <c:v>55.617142857142859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7-4A61-A92C-AFCB2268AF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26914188863577571"/>
          <c:y val="0.86627126716515579"/>
          <c:w val="0.45498793034251883"/>
          <c:h val="5.21917230774304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>
                <a:solidFill>
                  <a:schemeClr val="tx1"/>
                </a:solidFill>
              </a:rPr>
              <a:t>Saídas Anual Projetada</a:t>
            </a:r>
          </a:p>
        </c:rich>
      </c:tx>
      <c:layout>
        <c:manualLayout>
          <c:xMode val="edge"/>
          <c:yMode val="edge"/>
          <c:x val="0.27133520532958522"/>
          <c:y val="3.6609806069019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355141775026297"/>
          <c:y val="0.14129338500645988"/>
          <c:w val="0.82969498435187961"/>
          <c:h val="0.560143329604017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'2026'!$B$97</c:f>
              <c:strCache>
                <c:ptCount val="1"/>
                <c:pt idx="0">
                  <c:v>Projeção Anual Adulto (%a.a.)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'2026'!$C$97:$Q$97</c:f>
              <c:numCache>
                <c:formatCode>0.00</c:formatCode>
                <c:ptCount val="15"/>
                <c:pt idx="0">
                  <c:v>26.446280991735538</c:v>
                </c:pt>
                <c:pt idx="1">
                  <c:v>29.137361714829396</c:v>
                </c:pt>
                <c:pt idx="2">
                  <c:v>30.139193524171979</c:v>
                </c:pt>
                <c:pt idx="3">
                  <c:v>29.723600441142228</c:v>
                </c:pt>
                <c:pt idx="4">
                  <c:v>30.787144815723703</c:v>
                </c:pt>
                <c:pt idx="5">
                  <c:v>33.524806472119479</c:v>
                </c:pt>
                <c:pt idx="6">
                  <c:v>33.23203552411178</c:v>
                </c:pt>
                <c:pt idx="7">
                  <c:v>33.23203552411178</c:v>
                </c:pt>
                <c:pt idx="8">
                  <c:v>33.23203552411178</c:v>
                </c:pt>
                <c:pt idx="9">
                  <c:v>33.23203552411178</c:v>
                </c:pt>
                <c:pt idx="10">
                  <c:v>33.23203552411178</c:v>
                </c:pt>
                <c:pt idx="11">
                  <c:v>33.23203552411178</c:v>
                </c:pt>
                <c:pt idx="13" formatCode="0.0">
                  <c:v>31.595883425366083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7-D64C-8F66-C7CA83A038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4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%a.a.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28975749172843029"/>
          <c:y val="0.92774094707310861"/>
          <c:w val="0.42186780214517972"/>
          <c:h val="4.4499419698867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 baseline="0">
                <a:solidFill>
                  <a:schemeClr val="tx1"/>
                </a:solidFill>
              </a:rPr>
              <a:t>Saúde na Transição</a:t>
            </a:r>
            <a:endParaRPr lang="pt-BR" sz="20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770669125189914"/>
          <c:y val="4.67262815801550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951943921691681"/>
          <c:y val="0.14129339977719244"/>
          <c:w val="0.80714633840187333"/>
          <c:h val="0.4785292161876129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'2026'!$B$86</c:f>
              <c:strCache>
                <c:ptCount val="1"/>
                <c:pt idx="0">
                  <c:v>Retenção de Placenta (%)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'2026'!$C$86:$Q$86</c:f>
              <c:numCache>
                <c:formatCode>0.0</c:formatCode>
                <c:ptCount val="15"/>
                <c:pt idx="0">
                  <c:v>0.64935064935064934</c:v>
                </c:pt>
                <c:pt idx="1">
                  <c:v>5.6179775280898872</c:v>
                </c:pt>
                <c:pt idx="2">
                  <c:v>2.9702970297029703</c:v>
                </c:pt>
                <c:pt idx="3">
                  <c:v>4.6511627906976747</c:v>
                </c:pt>
                <c:pt idx="4">
                  <c:v>5.9523809523809517</c:v>
                </c:pt>
                <c:pt idx="5">
                  <c:v>6.024096385542169</c:v>
                </c:pt>
                <c:pt idx="6">
                  <c:v>5.5214723926380369</c:v>
                </c:pt>
                <c:pt idx="13">
                  <c:v>4.483819675486048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74-494F-9277-DADFAFD50738}"/>
            </c:ext>
          </c:extLst>
        </c:ser>
        <c:ser>
          <c:idx val="2"/>
          <c:order val="2"/>
          <c:tx>
            <c:strRef>
              <c:f>'2026'!$B$87</c:f>
              <c:strCache>
                <c:ptCount val="1"/>
                <c:pt idx="0">
                  <c:v>Deslocamenrto Abomaso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'2026'!$C$87:$Q$87</c:f>
              <c:numCache>
                <c:formatCode>0.0</c:formatCode>
                <c:ptCount val="15"/>
                <c:pt idx="0">
                  <c:v>1.948051948051948</c:v>
                </c:pt>
                <c:pt idx="1">
                  <c:v>2.2471910112359552</c:v>
                </c:pt>
                <c:pt idx="2">
                  <c:v>3.4653465346534658</c:v>
                </c:pt>
                <c:pt idx="3">
                  <c:v>0.58139534883720934</c:v>
                </c:pt>
                <c:pt idx="4">
                  <c:v>1.7857142857142856</c:v>
                </c:pt>
                <c:pt idx="5">
                  <c:v>1.8072289156626504</c:v>
                </c:pt>
                <c:pt idx="6">
                  <c:v>2.4539877300613497</c:v>
                </c:pt>
                <c:pt idx="13">
                  <c:v>2.0412736820309805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74-494F-9277-DADFAFD50738}"/>
            </c:ext>
          </c:extLst>
        </c:ser>
        <c:ser>
          <c:idx val="3"/>
          <c:order val="3"/>
          <c:tx>
            <c:strRef>
              <c:f>'2026'!$B$88</c:f>
              <c:strCache>
                <c:ptCount val="1"/>
                <c:pt idx="0">
                  <c:v>Metrite Puerperal (%)</c:v>
                </c:pt>
              </c:strCache>
            </c:strRef>
          </c:tx>
          <c:spPr>
            <a:solidFill>
              <a:srgbClr val="FF8AD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'2026'!$C$88:$Q$88</c:f>
              <c:numCache>
                <c:formatCode>0.0</c:formatCode>
                <c:ptCount val="15"/>
                <c:pt idx="0">
                  <c:v>12.337662337662337</c:v>
                </c:pt>
                <c:pt idx="1">
                  <c:v>32.022471910112358</c:v>
                </c:pt>
                <c:pt idx="2">
                  <c:v>37.128712871287128</c:v>
                </c:pt>
                <c:pt idx="3">
                  <c:v>39.534883720930232</c:v>
                </c:pt>
                <c:pt idx="4">
                  <c:v>20.833333333333336</c:v>
                </c:pt>
                <c:pt idx="5">
                  <c:v>24.096385542168676</c:v>
                </c:pt>
                <c:pt idx="6">
                  <c:v>22.699386503067483</c:v>
                </c:pt>
                <c:pt idx="13">
                  <c:v>26.95040517408022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74-494F-9277-DADFAFD507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76331824"/>
        <c:axId val="1479076128"/>
      </c:barChart>
      <c:lineChart>
        <c:grouping val="standard"/>
        <c:varyColors val="0"/>
        <c:ser>
          <c:idx val="0"/>
          <c:order val="0"/>
          <c:tx>
            <c:strRef>
              <c:f>'2026'!$B$85</c:f>
              <c:strCache>
                <c:ptCount val="1"/>
                <c:pt idx="0">
                  <c:v>Partos Auxiliados (%)</c:v>
                </c:pt>
              </c:strCache>
            </c:strRef>
          </c:tx>
          <c:spPr>
            <a:ln w="508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'2026'!$C$85:$Q$85</c:f>
              <c:numCache>
                <c:formatCode>0.0</c:formatCode>
                <c:ptCount val="15"/>
                <c:pt idx="0">
                  <c:v>0</c:v>
                </c:pt>
                <c:pt idx="1">
                  <c:v>1.6853932584269662</c:v>
                </c:pt>
                <c:pt idx="2">
                  <c:v>2.4752475247524752</c:v>
                </c:pt>
                <c:pt idx="3">
                  <c:v>2.3255813953488373</c:v>
                </c:pt>
                <c:pt idx="4">
                  <c:v>5.3571428571428568</c:v>
                </c:pt>
                <c:pt idx="5">
                  <c:v>4.2168674698795181</c:v>
                </c:pt>
                <c:pt idx="6">
                  <c:v>4.9079754601226995</c:v>
                </c:pt>
                <c:pt idx="13">
                  <c:v>2.9954582808104786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74-494F-9277-DADFAFD507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2185375"/>
        <c:axId val="179081679"/>
      </c:line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valAx>
        <c:axId val="179081679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212185375"/>
        <c:crosses val="max"/>
        <c:crossBetween val="between"/>
      </c:valAx>
      <c:catAx>
        <c:axId val="2121853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081679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1.0576015665754661E-2"/>
          <c:y val="0.84328343790071847"/>
          <c:w val="0.97179237460645584"/>
          <c:h val="0.108197344372401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0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Leite Produzido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831142245524513"/>
          <c:y val="0.11710661394753161"/>
          <c:w val="0.78792314679369946"/>
          <c:h val="0.528473923340414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'2026'!$B$49</c:f>
              <c:strCache>
                <c:ptCount val="1"/>
                <c:pt idx="0">
                  <c:v>Produção Diária Ano Anterior (L/d)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'2026'!$C$49:$Q$49</c:f>
              <c:numCache>
                <c:formatCode>0</c:formatCode>
                <c:ptCount val="15"/>
                <c:pt idx="0">
                  <c:v>58365</c:v>
                </c:pt>
                <c:pt idx="1">
                  <c:v>57332</c:v>
                </c:pt>
                <c:pt idx="2">
                  <c:v>57137</c:v>
                </c:pt>
                <c:pt idx="3">
                  <c:v>58242</c:v>
                </c:pt>
                <c:pt idx="4">
                  <c:v>59101</c:v>
                </c:pt>
                <c:pt idx="5">
                  <c:v>59907</c:v>
                </c:pt>
                <c:pt idx="6">
                  <c:v>60047</c:v>
                </c:pt>
                <c:pt idx="7">
                  <c:v>62858</c:v>
                </c:pt>
                <c:pt idx="8">
                  <c:v>63029</c:v>
                </c:pt>
                <c:pt idx="9">
                  <c:v>64417</c:v>
                </c:pt>
                <c:pt idx="10">
                  <c:v>63876</c:v>
                </c:pt>
                <c:pt idx="11">
                  <c:v>62761</c:v>
                </c:pt>
                <c:pt idx="13" formatCode="0.0">
                  <c:v>60589.333333333336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B-3E4D-B341-DB3F8BECC2EF}"/>
            </c:ext>
          </c:extLst>
        </c:ser>
        <c:ser>
          <c:idx val="1"/>
          <c:order val="1"/>
          <c:tx>
            <c:strRef>
              <c:f>'2026'!$B$50</c:f>
              <c:strCache>
                <c:ptCount val="1"/>
                <c:pt idx="0">
                  <c:v>Produção Diária 2026 (L/d)</c:v>
                </c:pt>
              </c:strCache>
            </c:strRef>
          </c:tx>
          <c:spPr>
            <a:solidFill>
              <a:srgbClr val="FFFD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'2026'!$C$50:$Q$50</c:f>
              <c:numCache>
                <c:formatCode>0</c:formatCode>
                <c:ptCount val="15"/>
                <c:pt idx="0">
                  <c:v>63010</c:v>
                </c:pt>
                <c:pt idx="1">
                  <c:v>61473</c:v>
                </c:pt>
                <c:pt idx="2">
                  <c:v>60668</c:v>
                </c:pt>
                <c:pt idx="3">
                  <c:v>61657</c:v>
                </c:pt>
                <c:pt idx="4">
                  <c:v>64327</c:v>
                </c:pt>
                <c:pt idx="5">
                  <c:v>68538</c:v>
                </c:pt>
                <c:pt idx="6">
                  <c:v>69901</c:v>
                </c:pt>
                <c:pt idx="7">
                  <c:v>68467</c:v>
                </c:pt>
                <c:pt idx="13" formatCode="0.0">
                  <c:v>64755.125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EB-3E4D-B341-DB3F8BECC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8.0808600639114922E-2"/>
          <c:y val="0.89906691196649824"/>
          <c:w val="0.84498447957809131"/>
          <c:h val="6.22068853358812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0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Produtividade Média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962604166666668"/>
          <c:y val="0.11556035353535352"/>
          <c:w val="0.82234184027777779"/>
          <c:h val="0.554212121212121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'2026'!$B$51</c:f>
              <c:strCache>
                <c:ptCount val="1"/>
                <c:pt idx="0">
                  <c:v>Produtividade Geral Ano Anterior (kg/d)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'2026'!$C$51:$Q$51</c:f>
              <c:numCache>
                <c:formatCode>0.0</c:formatCode>
                <c:ptCount val="15"/>
                <c:pt idx="0">
                  <c:v>44.52</c:v>
                </c:pt>
                <c:pt idx="1">
                  <c:v>44.7</c:v>
                </c:pt>
                <c:pt idx="2">
                  <c:v>43.2</c:v>
                </c:pt>
                <c:pt idx="3">
                  <c:v>44.7</c:v>
                </c:pt>
                <c:pt idx="4">
                  <c:v>43.9</c:v>
                </c:pt>
                <c:pt idx="5">
                  <c:v>44.2</c:v>
                </c:pt>
                <c:pt idx="6">
                  <c:v>44</c:v>
                </c:pt>
                <c:pt idx="7">
                  <c:v>44.9</c:v>
                </c:pt>
                <c:pt idx="8">
                  <c:v>44.2</c:v>
                </c:pt>
                <c:pt idx="9">
                  <c:v>45</c:v>
                </c:pt>
                <c:pt idx="10">
                  <c:v>43.3</c:v>
                </c:pt>
                <c:pt idx="11">
                  <c:v>42</c:v>
                </c:pt>
                <c:pt idx="13">
                  <c:v>44.051666666666669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F-6846-AD28-2C56CD33C89C}"/>
            </c:ext>
          </c:extLst>
        </c:ser>
        <c:ser>
          <c:idx val="1"/>
          <c:order val="1"/>
          <c:tx>
            <c:strRef>
              <c:f>'2026'!$B$52</c:f>
              <c:strCache>
                <c:ptCount val="1"/>
                <c:pt idx="0">
                  <c:v>Produtividade Geral (kg/d)</c:v>
                </c:pt>
              </c:strCache>
            </c:strRef>
          </c:tx>
          <c:spPr>
            <a:solidFill>
              <a:srgbClr val="FFFD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'2026'!$C$52:$Q$52</c:f>
              <c:numCache>
                <c:formatCode>0.0</c:formatCode>
                <c:ptCount val="15"/>
                <c:pt idx="0">
                  <c:v>43.5</c:v>
                </c:pt>
                <c:pt idx="1">
                  <c:v>41.5</c:v>
                </c:pt>
                <c:pt idx="2">
                  <c:v>41</c:v>
                </c:pt>
                <c:pt idx="3">
                  <c:v>41.2</c:v>
                </c:pt>
                <c:pt idx="4">
                  <c:v>43</c:v>
                </c:pt>
                <c:pt idx="5">
                  <c:v>44.1</c:v>
                </c:pt>
                <c:pt idx="6">
                  <c:v>44.3</c:v>
                </c:pt>
                <c:pt idx="7">
                  <c:v>43.2</c:v>
                </c:pt>
                <c:pt idx="13">
                  <c:v>42.724999999999994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F-6846-AD28-2C56CD33C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200">
                    <a:latin typeface="Arial" panose="020B0604020202020204" pitchFamily="34" charset="0"/>
                    <a:cs typeface="Arial" panose="020B0604020202020204" pitchFamily="34" charset="0"/>
                  </a:rPr>
                  <a:t>kg/d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4.4477454246124017E-2"/>
          <c:y val="0.90115937575786031"/>
          <c:w val="0.92480986617257999"/>
          <c:h val="4.2500694444444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 b="1">
                <a:solidFill>
                  <a:schemeClr val="tx1"/>
                </a:solidFill>
              </a:rPr>
              <a:t>Vacas Adultas e Lactantes</a:t>
            </a:r>
          </a:p>
        </c:rich>
      </c:tx>
      <c:layout>
        <c:manualLayout>
          <c:xMode val="edge"/>
          <c:yMode val="edge"/>
          <c:x val="0.23404111111111112"/>
          <c:y val="4.46385802469135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833126836769852"/>
          <c:y val="0.14546034991059639"/>
          <c:w val="0.82566318153719265"/>
          <c:h val="0.592217114633964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'2026'!$B$6</c:f>
              <c:strCache>
                <c:ptCount val="1"/>
                <c:pt idx="0">
                  <c:v>Vacas Adultas (n)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0"/>
              <c:layout>
                <c:manualLayout>
                  <c:x val="0"/>
                  <c:y val="1.55826576553916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6E-824E-BBB9-7F1F2C6301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'2026'!$C$6:$P$6</c:f>
              <c:numCache>
                <c:formatCode>0.0</c:formatCode>
                <c:ptCount val="14"/>
                <c:pt idx="0">
                  <c:v>1815</c:v>
                </c:pt>
                <c:pt idx="1">
                  <c:v>1772</c:v>
                </c:pt>
                <c:pt idx="2">
                  <c:v>1792</c:v>
                </c:pt>
                <c:pt idx="3">
                  <c:v>1812</c:v>
                </c:pt>
                <c:pt idx="4">
                  <c:v>1815</c:v>
                </c:pt>
                <c:pt idx="5">
                  <c:v>1830</c:v>
                </c:pt>
                <c:pt idx="6">
                  <c:v>1830</c:v>
                </c:pt>
                <c:pt idx="7">
                  <c:v>1835</c:v>
                </c:pt>
                <c:pt idx="13">
                  <c:v>1812.625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6E-824E-BBB9-7F1F2C6301C4}"/>
            </c:ext>
          </c:extLst>
        </c:ser>
        <c:ser>
          <c:idx val="1"/>
          <c:order val="1"/>
          <c:tx>
            <c:strRef>
              <c:f>'2026'!$B$7</c:f>
              <c:strCache>
                <c:ptCount val="1"/>
                <c:pt idx="0">
                  <c:v>Vacas Lactação (n)</c:v>
                </c:pt>
              </c:strCache>
            </c:strRef>
          </c:tx>
          <c:spPr>
            <a:solidFill>
              <a:srgbClr val="FFFD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'2026'!$C$7:$P$7</c:f>
              <c:numCache>
                <c:formatCode>0.0</c:formatCode>
                <c:ptCount val="14"/>
                <c:pt idx="0">
                  <c:v>1580</c:v>
                </c:pt>
                <c:pt idx="1">
                  <c:v>1518</c:v>
                </c:pt>
                <c:pt idx="2">
                  <c:v>1554</c:v>
                </c:pt>
                <c:pt idx="3">
                  <c:v>1590</c:v>
                </c:pt>
                <c:pt idx="4">
                  <c:v>1588</c:v>
                </c:pt>
                <c:pt idx="5">
                  <c:v>1616</c:v>
                </c:pt>
                <c:pt idx="6">
                  <c:v>1630</c:v>
                </c:pt>
                <c:pt idx="7">
                  <c:v>1640</c:v>
                </c:pt>
                <c:pt idx="13">
                  <c:v>1589.5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6E-824E-BBB9-7F1F2C6301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2000"/>
          <c:min val="1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>
                    <a:solidFill>
                      <a:schemeClr val="tx1"/>
                    </a:solidFill>
                  </a:rPr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ot="-2700000"/>
    <a:lstStyle/>
    <a:p>
      <a:pPr>
        <a:defRPr sz="1200"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 b="1">
                <a:solidFill>
                  <a:schemeClr val="tx1"/>
                </a:solidFill>
              </a:rPr>
              <a:t>Animais Jovens</a:t>
            </a:r>
          </a:p>
        </c:rich>
      </c:tx>
      <c:layout>
        <c:manualLayout>
          <c:xMode val="edge"/>
          <c:yMode val="edge"/>
          <c:x val="0.32211187527580021"/>
          <c:y val="4.55535794403684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970937500000003"/>
          <c:y val="0.14976186868686869"/>
          <c:w val="0.82587881944444441"/>
          <c:h val="0.561949999999999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'2026'!$B$10</c:f>
              <c:strCache>
                <c:ptCount val="1"/>
                <c:pt idx="0">
                  <c:v>Animais Jovens Bezerreiro (n)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'2026'!$C$10:$Q$10</c:f>
              <c:numCache>
                <c:formatCode>0.0</c:formatCode>
                <c:ptCount val="15"/>
                <c:pt idx="0">
                  <c:v>270</c:v>
                </c:pt>
                <c:pt idx="1">
                  <c:v>262</c:v>
                </c:pt>
                <c:pt idx="2">
                  <c:v>275</c:v>
                </c:pt>
                <c:pt idx="3">
                  <c:v>288</c:v>
                </c:pt>
                <c:pt idx="4">
                  <c:v>278</c:v>
                </c:pt>
                <c:pt idx="5">
                  <c:v>298</c:v>
                </c:pt>
                <c:pt idx="6">
                  <c:v>283</c:v>
                </c:pt>
                <c:pt idx="7">
                  <c:v>284</c:v>
                </c:pt>
                <c:pt idx="13">
                  <c:v>279.75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4-8446-9AB3-E964DF54177D}"/>
            </c:ext>
          </c:extLst>
        </c:ser>
        <c:ser>
          <c:idx val="1"/>
          <c:order val="1"/>
          <c:tx>
            <c:strRef>
              <c:f>'2026'!$B$11</c:f>
              <c:strCache>
                <c:ptCount val="1"/>
                <c:pt idx="0">
                  <c:v>Animais Jovens &lt;12m (n)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'2026'!$C$11:$Q$11</c:f>
              <c:numCache>
                <c:formatCode>0.0</c:formatCode>
                <c:ptCount val="15"/>
                <c:pt idx="0">
                  <c:v>1009</c:v>
                </c:pt>
                <c:pt idx="1">
                  <c:v>1119</c:v>
                </c:pt>
                <c:pt idx="2">
                  <c:v>1127.5</c:v>
                </c:pt>
                <c:pt idx="3">
                  <c:v>1136</c:v>
                </c:pt>
                <c:pt idx="4">
                  <c:v>1052</c:v>
                </c:pt>
                <c:pt idx="5">
                  <c:v>1058</c:v>
                </c:pt>
                <c:pt idx="6">
                  <c:v>1074</c:v>
                </c:pt>
                <c:pt idx="7">
                  <c:v>1077</c:v>
                </c:pt>
                <c:pt idx="13">
                  <c:v>1081.5625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04-8446-9AB3-E964DF54177D}"/>
            </c:ext>
          </c:extLst>
        </c:ser>
        <c:ser>
          <c:idx val="2"/>
          <c:order val="2"/>
          <c:tx>
            <c:strRef>
              <c:f>'2026'!$B$12</c:f>
              <c:strCache>
                <c:ptCount val="1"/>
                <c:pt idx="0">
                  <c:v>Animais Jovens &gt;12m (n)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'2026'!$C$12:$Q$12</c:f>
              <c:numCache>
                <c:formatCode>0.0</c:formatCode>
                <c:ptCount val="15"/>
                <c:pt idx="0">
                  <c:v>661</c:v>
                </c:pt>
                <c:pt idx="1">
                  <c:v>655</c:v>
                </c:pt>
                <c:pt idx="2">
                  <c:v>648</c:v>
                </c:pt>
                <c:pt idx="3">
                  <c:v>641</c:v>
                </c:pt>
                <c:pt idx="4">
                  <c:v>736</c:v>
                </c:pt>
                <c:pt idx="5">
                  <c:v>760</c:v>
                </c:pt>
                <c:pt idx="6">
                  <c:v>776</c:v>
                </c:pt>
                <c:pt idx="7">
                  <c:v>796</c:v>
                </c:pt>
                <c:pt idx="13">
                  <c:v>709.125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04-8446-9AB3-E964DF5417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1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n</a:t>
                </a:r>
              </a:p>
            </c:rich>
          </c:tx>
          <c:layout>
            <c:manualLayout>
              <c:xMode val="edge"/>
              <c:yMode val="edge"/>
              <c:x val="2.8105381944444438E-2"/>
              <c:y val="0.45166691919191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28989909941514819"/>
          <c:y val="0.82641252992208902"/>
          <c:w val="0.41848640145187455"/>
          <c:h val="0.157599558837733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>
                <a:solidFill>
                  <a:schemeClr val="tx1"/>
                </a:solidFill>
              </a:rPr>
              <a:t>Gordura</a:t>
            </a:r>
            <a:r>
              <a:rPr lang="pt-BR" sz="2000" baseline="0">
                <a:solidFill>
                  <a:schemeClr val="tx1"/>
                </a:solidFill>
              </a:rPr>
              <a:t> e Proteína</a:t>
            </a:r>
            <a:endParaRPr lang="pt-BR" sz="20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636188856945744"/>
          <c:y val="3.51710707992441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601369803981885"/>
          <c:y val="0.14546033970605768"/>
          <c:w val="0.84123545121934551"/>
          <c:h val="0.54414706103120059"/>
        </c:manualLayout>
      </c:layout>
      <c:lineChart>
        <c:grouping val="standard"/>
        <c:varyColors val="0"/>
        <c:ser>
          <c:idx val="0"/>
          <c:order val="0"/>
          <c:tx>
            <c:strRef>
              <c:f>'2026'!$B$56</c:f>
              <c:strCache>
                <c:ptCount val="1"/>
                <c:pt idx="0">
                  <c:v>Gordura (%)</c:v>
                </c:pt>
              </c:strCache>
            </c:strRef>
          </c:tx>
          <c:spPr>
            <a:ln w="508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'2026'!$C$56:$Q$56</c:f>
              <c:numCache>
                <c:formatCode>0.00</c:formatCode>
                <c:ptCount val="15"/>
                <c:pt idx="0">
                  <c:v>3.47</c:v>
                </c:pt>
                <c:pt idx="1">
                  <c:v>3.5</c:v>
                </c:pt>
                <c:pt idx="2">
                  <c:v>3.61</c:v>
                </c:pt>
                <c:pt idx="3">
                  <c:v>3.86</c:v>
                </c:pt>
                <c:pt idx="4">
                  <c:v>3.7</c:v>
                </c:pt>
                <c:pt idx="5">
                  <c:v>3.63</c:v>
                </c:pt>
                <c:pt idx="6">
                  <c:v>3.57</c:v>
                </c:pt>
                <c:pt idx="13" formatCode="0.0">
                  <c:v>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35-2F4D-BD34-DB7C33050FD5}"/>
            </c:ext>
          </c:extLst>
        </c:ser>
        <c:ser>
          <c:idx val="1"/>
          <c:order val="1"/>
          <c:tx>
            <c:strRef>
              <c:f>'2026'!$B$57</c:f>
              <c:strCache>
                <c:ptCount val="1"/>
                <c:pt idx="0">
                  <c:v>Proteína (%)</c:v>
                </c:pt>
              </c:strCache>
            </c:strRef>
          </c:tx>
          <c:spPr>
            <a:ln w="508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'2026'!$C$57:$Q$57</c:f>
              <c:numCache>
                <c:formatCode>0.00</c:formatCode>
                <c:ptCount val="15"/>
                <c:pt idx="0">
                  <c:v>3.45</c:v>
                </c:pt>
                <c:pt idx="1">
                  <c:v>3.4</c:v>
                </c:pt>
                <c:pt idx="2">
                  <c:v>3.4</c:v>
                </c:pt>
                <c:pt idx="3">
                  <c:v>3.42</c:v>
                </c:pt>
                <c:pt idx="4">
                  <c:v>3.4</c:v>
                </c:pt>
                <c:pt idx="5">
                  <c:v>3.42</c:v>
                </c:pt>
                <c:pt idx="6">
                  <c:v>3.42</c:v>
                </c:pt>
                <c:pt idx="13" formatCode="0.0">
                  <c:v>3.4157142857142864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35-2F4D-BD34-DB7C33050F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76331824"/>
        <c:axId val="1479076128"/>
      </c:line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24907445069572443"/>
          <c:y val="0.92828183336590075"/>
          <c:w val="0.51667490758318546"/>
          <c:h val="5.55800676864078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 b="1" baseline="0">
                <a:solidFill>
                  <a:schemeClr val="tx1"/>
                </a:solidFill>
              </a:rPr>
              <a:t>Eficiência Alimentar</a:t>
            </a:r>
            <a:endParaRPr lang="pt-BR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7340664922311703"/>
          <c:y val="3.83843258729222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145937499999999"/>
          <c:y val="0.14546030557223569"/>
          <c:w val="0.81485659722222237"/>
          <c:h val="0.54679898989898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'2026'!$B$62</c:f>
              <c:strCache>
                <c:ptCount val="1"/>
                <c:pt idx="0">
                  <c:v>Eff alimentar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'2026'!$C$62:$P$62</c:f>
              <c:numCache>
                <c:formatCode>0.00</c:formatCode>
                <c:ptCount val="14"/>
                <c:pt idx="0">
                  <c:v>1.5934065934065933</c:v>
                </c:pt>
                <c:pt idx="1">
                  <c:v>1.5660377358490567</c:v>
                </c:pt>
                <c:pt idx="2">
                  <c:v>1.626984126984127</c:v>
                </c:pt>
                <c:pt idx="3">
                  <c:v>1.6414342629482073</c:v>
                </c:pt>
                <c:pt idx="4">
                  <c:v>1.6731517509727627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 formatCode="0.0">
                  <c:v>1.6202028940321493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8-C74C-83E4-C31442C9A3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2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R$/vaca/d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32362249999999998"/>
          <c:y val="0.88728916666666668"/>
          <c:w val="0.35275499999999999"/>
          <c:h val="5.6266388888888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>
                <a:solidFill>
                  <a:schemeClr val="tx1"/>
                </a:solidFill>
              </a:rPr>
              <a:t>Saúde de Úbere e Descarte</a:t>
            </a:r>
            <a:r>
              <a:rPr lang="pt-BR" sz="2000" baseline="0">
                <a:solidFill>
                  <a:schemeClr val="tx1"/>
                </a:solidFill>
              </a:rPr>
              <a:t> de Leite</a:t>
            </a:r>
            <a:endParaRPr lang="pt-BR" sz="20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179448809338343"/>
          <c:y val="2.69486882821716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35513888888889"/>
          <c:y val="0.15732878787878787"/>
          <c:w val="0.71499843749999992"/>
          <c:h val="0.488238383838383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'2026'!$B$104</c:f>
              <c:strCache>
                <c:ptCount val="1"/>
                <c:pt idx="0">
                  <c:v>Vacas em Tratamento (%)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'2026'!$C$104:$Q$104</c:f>
              <c:numCache>
                <c:formatCode>0.0</c:formatCode>
                <c:ptCount val="15"/>
                <c:pt idx="0">
                  <c:v>3.4000000000000004</c:v>
                </c:pt>
                <c:pt idx="1">
                  <c:v>3.2167042889390518</c:v>
                </c:pt>
                <c:pt idx="2">
                  <c:v>2.874575892857143</c:v>
                </c:pt>
                <c:pt idx="3">
                  <c:v>2.54</c:v>
                </c:pt>
                <c:pt idx="4">
                  <c:v>2.15</c:v>
                </c:pt>
                <c:pt idx="5">
                  <c:v>2.46</c:v>
                </c:pt>
                <c:pt idx="6">
                  <c:v>2.7868852459016393</c:v>
                </c:pt>
                <c:pt idx="13">
                  <c:v>2.7754522039568337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B-C84B-B7E7-2EFFD1CBAE2A}"/>
            </c:ext>
          </c:extLst>
        </c:ser>
        <c:ser>
          <c:idx val="2"/>
          <c:order val="2"/>
          <c:tx>
            <c:strRef>
              <c:f>'2026'!$B$105</c:f>
              <c:strCache>
                <c:ptCount val="1"/>
                <c:pt idx="0">
                  <c:v>Mastite Tratada (%)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'2026'!$C$105:$Q$105</c:f>
              <c:numCache>
                <c:formatCode>0.0</c:formatCode>
                <c:ptCount val="15"/>
                <c:pt idx="0">
                  <c:v>4.7468354430379751</c:v>
                </c:pt>
                <c:pt idx="1">
                  <c:v>3.293807641633729</c:v>
                </c:pt>
                <c:pt idx="2">
                  <c:v>2.5096525096525095</c:v>
                </c:pt>
                <c:pt idx="3">
                  <c:v>4.0251572327044025</c:v>
                </c:pt>
                <c:pt idx="4">
                  <c:v>7.1788413098236772</c:v>
                </c:pt>
                <c:pt idx="5">
                  <c:v>6.3737623762376234</c:v>
                </c:pt>
                <c:pt idx="6">
                  <c:v>7.6687116564417179</c:v>
                </c:pt>
                <c:pt idx="13">
                  <c:v>5.1138240242188049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9B-C84B-B7E7-2EFFD1CBAE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76331824"/>
        <c:axId val="1479076128"/>
      </c:barChart>
      <c:lineChart>
        <c:grouping val="standard"/>
        <c:varyColors val="0"/>
        <c:ser>
          <c:idx val="1"/>
          <c:order val="1"/>
          <c:tx>
            <c:strRef>
              <c:f>'2026'!$B$100</c:f>
              <c:strCache>
                <c:ptCount val="1"/>
                <c:pt idx="0">
                  <c:v>CCS (cel/ml)</c:v>
                </c:pt>
              </c:strCache>
            </c:strRef>
          </c:tx>
          <c:spPr>
            <a:ln w="50800" cap="rnd">
              <a:solidFill>
                <a:srgbClr val="00FA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'2026'!$C$100:$Q$100</c:f>
              <c:numCache>
                <c:formatCode>0.0</c:formatCode>
                <c:ptCount val="15"/>
                <c:pt idx="0">
                  <c:v>201.63</c:v>
                </c:pt>
                <c:pt idx="1">
                  <c:v>233</c:v>
                </c:pt>
                <c:pt idx="2">
                  <c:v>253</c:v>
                </c:pt>
                <c:pt idx="3">
                  <c:v>246</c:v>
                </c:pt>
                <c:pt idx="4">
                  <c:v>245</c:v>
                </c:pt>
                <c:pt idx="5">
                  <c:v>248</c:v>
                </c:pt>
                <c:pt idx="6">
                  <c:v>250.5</c:v>
                </c:pt>
                <c:pt idx="13">
                  <c:v>239.59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9B-C84B-B7E7-2EFFD1CBAE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22884784"/>
        <c:axId val="322886704"/>
      </c:line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valAx>
        <c:axId val="322886704"/>
        <c:scaling>
          <c:orientation val="minMax"/>
          <c:max val="500"/>
          <c:min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cel/ml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322884784"/>
        <c:crosses val="max"/>
        <c:crossBetween val="between"/>
      </c:valAx>
      <c:catAx>
        <c:axId val="322884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2886704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4.4445210710973668E-2"/>
          <c:y val="0.89076783752883804"/>
          <c:w val="0.9"/>
          <c:h val="5.86358992906561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>
                <a:solidFill>
                  <a:schemeClr val="tx1"/>
                </a:solidFill>
              </a:rPr>
              <a:t>CCS x CPP</a:t>
            </a:r>
          </a:p>
        </c:rich>
      </c:tx>
      <c:layout>
        <c:manualLayout>
          <c:xMode val="edge"/>
          <c:yMode val="edge"/>
          <c:x val="0.39221242667855599"/>
          <c:y val="2.69486505511170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35513888888889"/>
          <c:y val="0.15732878787878787"/>
          <c:w val="0.76144702743371462"/>
          <c:h val="0.48823838383838386"/>
        </c:manualLayout>
      </c:layout>
      <c:lineChart>
        <c:grouping val="standard"/>
        <c:varyColors val="0"/>
        <c:ser>
          <c:idx val="1"/>
          <c:order val="0"/>
          <c:tx>
            <c:strRef>
              <c:f>'2026'!$B$100</c:f>
              <c:strCache>
                <c:ptCount val="1"/>
                <c:pt idx="0">
                  <c:v>CCS (cel/ml)</c:v>
                </c:pt>
              </c:strCache>
            </c:strRef>
          </c:tx>
          <c:spPr>
            <a:ln w="50800" cap="rnd">
              <a:solidFill>
                <a:srgbClr val="00FA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'2026'!$C$100:$Q$100</c:f>
              <c:numCache>
                <c:formatCode>0.0</c:formatCode>
                <c:ptCount val="15"/>
                <c:pt idx="0">
                  <c:v>201.63</c:v>
                </c:pt>
                <c:pt idx="1">
                  <c:v>233</c:v>
                </c:pt>
                <c:pt idx="2">
                  <c:v>253</c:v>
                </c:pt>
                <c:pt idx="3">
                  <c:v>246</c:v>
                </c:pt>
                <c:pt idx="4">
                  <c:v>245</c:v>
                </c:pt>
                <c:pt idx="5">
                  <c:v>248</c:v>
                </c:pt>
                <c:pt idx="6">
                  <c:v>250.5</c:v>
                </c:pt>
                <c:pt idx="13">
                  <c:v>239.59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A7-CE48-9E42-64DCFFC4D3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76331824"/>
        <c:axId val="1479076128"/>
      </c:lineChart>
      <c:lineChart>
        <c:grouping val="standard"/>
        <c:varyColors val="0"/>
        <c:ser>
          <c:idx val="0"/>
          <c:order val="1"/>
          <c:tx>
            <c:strRef>
              <c:f>'2026'!$B$101</c:f>
              <c:strCache>
                <c:ptCount val="1"/>
                <c:pt idx="0">
                  <c:v>CPP (UFC/ml)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'2026'!$C$101:$Q$101</c:f>
              <c:numCache>
                <c:formatCode>0.0</c:formatCode>
                <c:ptCount val="15"/>
                <c:pt idx="0">
                  <c:v>13.1</c:v>
                </c:pt>
                <c:pt idx="1">
                  <c:v>11.3</c:v>
                </c:pt>
                <c:pt idx="2">
                  <c:v>8.5</c:v>
                </c:pt>
                <c:pt idx="3">
                  <c:v>7</c:v>
                </c:pt>
                <c:pt idx="4">
                  <c:v>7.4</c:v>
                </c:pt>
                <c:pt idx="5">
                  <c:v>8.8000000000000007</c:v>
                </c:pt>
                <c:pt idx="6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A7-CE48-9E42-64DCFFC4D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3474975"/>
        <c:axId val="132173232"/>
      </c:line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CCS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valAx>
        <c:axId val="132173232"/>
        <c:scaling>
          <c:orientation val="minMax"/>
          <c:max val="20"/>
          <c:min val="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/>
                  <a:t>CPP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2013474975"/>
        <c:crosses val="max"/>
        <c:crossBetween val="between"/>
      </c:valAx>
      <c:catAx>
        <c:axId val="2013474975"/>
        <c:scaling>
          <c:orientation val="minMax"/>
        </c:scaling>
        <c:delete val="1"/>
        <c:axPos val="b"/>
        <c:majorTickMark val="out"/>
        <c:minorTickMark val="none"/>
        <c:tickLblPos val="nextTo"/>
        <c:crossAx val="132173232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4.4445210710973668E-2"/>
          <c:y val="0.89076783752883804"/>
          <c:w val="0.51133417162442696"/>
          <c:h val="6.29780030793888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>
                <a:solidFill>
                  <a:schemeClr val="tx1"/>
                </a:solidFill>
              </a:rPr>
              <a:t>Rendimento Sala Ordenha</a:t>
            </a:r>
          </a:p>
        </c:rich>
      </c:tx>
      <c:layout>
        <c:manualLayout>
          <c:xMode val="edge"/>
          <c:yMode val="edge"/>
          <c:x val="0.22632483663773284"/>
          <c:y val="3.3082234701356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35513888888889"/>
          <c:y val="0.15732878787878787"/>
          <c:w val="0.76144702743371462"/>
          <c:h val="0.4882383838383838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'2026'!$B$102</c:f>
              <c:strCache>
                <c:ptCount val="1"/>
                <c:pt idx="0">
                  <c:v>Rendimento Ordenha (vaca/h)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'2026'!$C$102:$Q$102</c:f>
              <c:numCache>
                <c:formatCode>0.0</c:formatCode>
                <c:ptCount val="15"/>
                <c:pt idx="0">
                  <c:v>291</c:v>
                </c:pt>
                <c:pt idx="1">
                  <c:v>292</c:v>
                </c:pt>
                <c:pt idx="2">
                  <c:v>293</c:v>
                </c:pt>
                <c:pt idx="3">
                  <c:v>292</c:v>
                </c:pt>
                <c:pt idx="4">
                  <c:v>288</c:v>
                </c:pt>
                <c:pt idx="5">
                  <c:v>303</c:v>
                </c:pt>
                <c:pt idx="6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4-E849-AF91-ACE641C357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350"/>
          <c:min val="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Vaca/h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22802742674822007"/>
          <c:y val="0.87543390881968353"/>
          <c:w val="0.46051718612848841"/>
          <c:h val="6.29780030793888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>
                <a:solidFill>
                  <a:schemeClr val="tx1"/>
                </a:solidFill>
              </a:rPr>
              <a:t>Bimodalidade</a:t>
            </a:r>
          </a:p>
        </c:rich>
      </c:tx>
      <c:layout>
        <c:manualLayout>
          <c:xMode val="edge"/>
          <c:yMode val="edge"/>
          <c:x val="0.39221242667855599"/>
          <c:y val="3.3082234701356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35513888888889"/>
          <c:y val="0.15732878787878787"/>
          <c:w val="0.76144702743371462"/>
          <c:h val="0.4882383838383838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'2026'!$B$103</c:f>
              <c:strCache>
                <c:ptCount val="1"/>
                <c:pt idx="0">
                  <c:v>Bimodalidade (%)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'2026'!$C$103:$Q$103</c:f>
              <c:numCache>
                <c:formatCode>0.0</c:formatCode>
                <c:ptCount val="15"/>
                <c:pt idx="0">
                  <c:v>10</c:v>
                </c:pt>
                <c:pt idx="1">
                  <c:v>9.6</c:v>
                </c:pt>
                <c:pt idx="2">
                  <c:v>6.5</c:v>
                </c:pt>
                <c:pt idx="3">
                  <c:v>5.6</c:v>
                </c:pt>
                <c:pt idx="4">
                  <c:v>5</c:v>
                </c:pt>
                <c:pt idx="5">
                  <c:v>7.1</c:v>
                </c:pt>
                <c:pt idx="6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8-F141-ACF0-A273A27964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22802742674822007"/>
          <c:y val="0.87543390881968353"/>
          <c:w val="0.46051718612848841"/>
          <c:h val="5.91151942643743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>
                <a:solidFill>
                  <a:schemeClr val="tx1"/>
                </a:solidFill>
              </a:rPr>
              <a:t>Rendimento Sala Ordenha</a:t>
            </a:r>
          </a:p>
        </c:rich>
      </c:tx>
      <c:layout>
        <c:manualLayout>
          <c:xMode val="edge"/>
          <c:yMode val="edge"/>
          <c:x val="0.22632483663773284"/>
          <c:y val="3.3082234701356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35513888888889"/>
          <c:y val="0.15732878787878787"/>
          <c:w val="0.76144702743371462"/>
          <c:h val="0.4882383838383838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'2026'!$B$102</c:f>
              <c:strCache>
                <c:ptCount val="1"/>
                <c:pt idx="0">
                  <c:v>Rendimento Ordenha (vaca/h)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'2026'!$C$102:$Q$102</c:f>
              <c:numCache>
                <c:formatCode>0.0</c:formatCode>
                <c:ptCount val="15"/>
                <c:pt idx="0">
                  <c:v>291</c:v>
                </c:pt>
                <c:pt idx="1">
                  <c:v>292</c:v>
                </c:pt>
                <c:pt idx="2">
                  <c:v>293</c:v>
                </c:pt>
                <c:pt idx="3">
                  <c:v>292</c:v>
                </c:pt>
                <c:pt idx="4">
                  <c:v>288</c:v>
                </c:pt>
                <c:pt idx="5">
                  <c:v>303</c:v>
                </c:pt>
                <c:pt idx="6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7-F64D-9AA7-C4DFF0A8221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350"/>
          <c:min val="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Vaca/h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22802742674822007"/>
          <c:y val="0.87543390881968353"/>
          <c:w val="0.46051718612848841"/>
          <c:h val="5.91151942643743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>
                <a:solidFill>
                  <a:schemeClr val="tx1"/>
                </a:solidFill>
              </a:rPr>
              <a:t>Bimodalidade</a:t>
            </a:r>
          </a:p>
        </c:rich>
      </c:tx>
      <c:layout>
        <c:manualLayout>
          <c:xMode val="edge"/>
          <c:yMode val="edge"/>
          <c:x val="0.39221242667855599"/>
          <c:y val="3.3082234701356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35513888888889"/>
          <c:y val="0.15732878787878787"/>
          <c:w val="0.76144702743371462"/>
          <c:h val="0.4882383838383838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'2026'!$B$103</c:f>
              <c:strCache>
                <c:ptCount val="1"/>
                <c:pt idx="0">
                  <c:v>Bimodalidade (%)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'2026'!$C$103:$Q$103</c:f>
              <c:numCache>
                <c:formatCode>0.0</c:formatCode>
                <c:ptCount val="15"/>
                <c:pt idx="0">
                  <c:v>10</c:v>
                </c:pt>
                <c:pt idx="1">
                  <c:v>9.6</c:v>
                </c:pt>
                <c:pt idx="2">
                  <c:v>6.5</c:v>
                </c:pt>
                <c:pt idx="3">
                  <c:v>5.6</c:v>
                </c:pt>
                <c:pt idx="4">
                  <c:v>5</c:v>
                </c:pt>
                <c:pt idx="5">
                  <c:v>7.1</c:v>
                </c:pt>
                <c:pt idx="6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C-884B-B795-BC78EF422D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22802742674822007"/>
          <c:y val="0.87543390881968353"/>
          <c:w val="0.46051718612848841"/>
          <c:h val="5.91151942643743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0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DEL x Vacas</a:t>
            </a:r>
            <a:r>
              <a:rPr lang="pt-BR" sz="20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Adultas P+</a:t>
            </a:r>
            <a:endParaRPr lang="pt-BR" sz="20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2554982246163019"/>
          <c:y val="3.74827357208683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528727458368585"/>
          <c:y val="0.1420842278209577"/>
          <c:w val="0.72510640888266009"/>
          <c:h val="0.5454812647046963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'2026'!$B$65</c:f>
              <c:strCache>
                <c:ptCount val="1"/>
                <c:pt idx="0">
                  <c:v>Vacas Adultas Prenhes (%)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'2026'!$C$65:$Q$65</c:f>
              <c:numCache>
                <c:formatCode>0.0</c:formatCode>
                <c:ptCount val="15"/>
                <c:pt idx="0">
                  <c:v>52.533783783783782</c:v>
                </c:pt>
                <c:pt idx="1">
                  <c:v>50.838635049161361</c:v>
                </c:pt>
                <c:pt idx="2">
                  <c:v>49.712313003452245</c:v>
                </c:pt>
                <c:pt idx="3">
                  <c:v>48.597595878649116</c:v>
                </c:pt>
                <c:pt idx="4">
                  <c:v>46.334478808705612</c:v>
                </c:pt>
                <c:pt idx="5">
                  <c:v>45.769449176604205</c:v>
                </c:pt>
                <c:pt idx="6">
                  <c:v>49.858677218767667</c:v>
                </c:pt>
                <c:pt idx="13">
                  <c:v>49.092133274160574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D-3B47-A630-F637903CF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0465136"/>
        <c:axId val="1692150192"/>
      </c:barChart>
      <c:lineChart>
        <c:grouping val="standard"/>
        <c:varyColors val="0"/>
        <c:ser>
          <c:idx val="0"/>
          <c:order val="0"/>
          <c:tx>
            <c:strRef>
              <c:f>'2026'!$B$63</c:f>
              <c:strCache>
                <c:ptCount val="1"/>
                <c:pt idx="0">
                  <c:v>DEL (dias)</c:v>
                </c:pt>
              </c:strCache>
            </c:strRef>
          </c:tx>
          <c:spPr>
            <a:ln w="50800" cap="rnd">
              <a:solidFill>
                <a:srgbClr val="FFFD7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'2026'!$C$63:$Q$63</c:f>
              <c:numCache>
                <c:formatCode>0.0</c:formatCode>
                <c:ptCount val="15"/>
                <c:pt idx="0">
                  <c:v>192</c:v>
                </c:pt>
                <c:pt idx="1">
                  <c:v>178</c:v>
                </c:pt>
                <c:pt idx="2">
                  <c:v>179</c:v>
                </c:pt>
                <c:pt idx="3">
                  <c:v>170</c:v>
                </c:pt>
                <c:pt idx="4">
                  <c:v>172</c:v>
                </c:pt>
                <c:pt idx="5">
                  <c:v>176</c:v>
                </c:pt>
                <c:pt idx="6">
                  <c:v>176</c:v>
                </c:pt>
                <c:pt idx="7">
                  <c:v>179</c:v>
                </c:pt>
                <c:pt idx="13">
                  <c:v>177.75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7D-3B47-A630-F637903CF74E}"/>
            </c:ext>
          </c:extLst>
        </c:ser>
        <c:ser>
          <c:idx val="2"/>
          <c:order val="2"/>
          <c:tx>
            <c:strRef>
              <c:f>'2026'!$B$64</c:f>
              <c:strCache>
                <c:ptCount val="1"/>
                <c:pt idx="0">
                  <c:v>DEL Ano Anterior (dias)</c:v>
                </c:pt>
              </c:strCache>
            </c:strRef>
          </c:tx>
          <c:spPr>
            <a:ln w="50800" cap="rnd">
              <a:solidFill>
                <a:srgbClr val="00FA00"/>
              </a:solidFill>
              <a:round/>
            </a:ln>
            <a:effectLst/>
          </c:spPr>
          <c:marker>
            <c:symbol val="none"/>
          </c:marker>
          <c:val>
            <c:numRef>
              <c:f>'2026'!$C$64:$N$64</c:f>
              <c:numCache>
                <c:formatCode>0.0</c:formatCode>
                <c:ptCount val="12"/>
                <c:pt idx="0">
                  <c:v>176</c:v>
                </c:pt>
                <c:pt idx="1">
                  <c:v>173</c:v>
                </c:pt>
                <c:pt idx="2">
                  <c:v>174</c:v>
                </c:pt>
                <c:pt idx="3">
                  <c:v>170</c:v>
                </c:pt>
                <c:pt idx="4">
                  <c:v>173</c:v>
                </c:pt>
                <c:pt idx="5">
                  <c:v>174</c:v>
                </c:pt>
                <c:pt idx="6">
                  <c:v>177</c:v>
                </c:pt>
                <c:pt idx="7">
                  <c:v>176</c:v>
                </c:pt>
                <c:pt idx="8">
                  <c:v>184</c:v>
                </c:pt>
                <c:pt idx="9">
                  <c:v>185</c:v>
                </c:pt>
                <c:pt idx="10">
                  <c:v>187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17D-3B47-A630-F637903CF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331824"/>
        <c:axId val="1479076128"/>
      </c:line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220"/>
          <c:min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valAx>
        <c:axId val="1692150192"/>
        <c:scaling>
          <c:orientation val="minMax"/>
          <c:max val="70"/>
          <c:min val="3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70465136"/>
        <c:crosses val="max"/>
        <c:crossBetween val="between"/>
      </c:valAx>
      <c:catAx>
        <c:axId val="1670465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2150192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5.1640112221169647E-2"/>
          <c:y val="0.90922625612335195"/>
          <c:w val="0.89999991332934071"/>
          <c:h val="5.90136729649715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 b="1">
                <a:solidFill>
                  <a:schemeClr val="tx1"/>
                </a:solidFill>
              </a:rPr>
              <a:t>Concepção</a:t>
            </a:r>
            <a:r>
              <a:rPr lang="pt-BR" sz="2000" b="1" baseline="0">
                <a:solidFill>
                  <a:schemeClr val="tx1"/>
                </a:solidFill>
              </a:rPr>
              <a:t> Geral</a:t>
            </a:r>
            <a:endParaRPr lang="pt-BR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730540467957274"/>
          <c:y val="4.36943697153602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530722892084611"/>
          <c:y val="0.15864636360899101"/>
          <c:w val="0.81275567667271098"/>
          <c:h val="0.514306394588123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'2026'!$B$70</c:f>
              <c:strCache>
                <c:ptCount val="1"/>
                <c:pt idx="0">
                  <c:v>Concepção Geral Ano Anterior (%)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'2026'!$C$70:$O$70</c:f>
              <c:numCache>
                <c:formatCode>0.0</c:formatCode>
                <c:ptCount val="13"/>
                <c:pt idx="0">
                  <c:v>35.200000000000003</c:v>
                </c:pt>
                <c:pt idx="1">
                  <c:v>27.5</c:v>
                </c:pt>
                <c:pt idx="2">
                  <c:v>34.96</c:v>
                </c:pt>
                <c:pt idx="3">
                  <c:v>31.7</c:v>
                </c:pt>
                <c:pt idx="4">
                  <c:v>34.700000000000003</c:v>
                </c:pt>
                <c:pt idx="5">
                  <c:v>40.299999999999997</c:v>
                </c:pt>
                <c:pt idx="6">
                  <c:v>35.49</c:v>
                </c:pt>
                <c:pt idx="7">
                  <c:v>35</c:v>
                </c:pt>
                <c:pt idx="8">
                  <c:v>35.799999999999997</c:v>
                </c:pt>
                <c:pt idx="9">
                  <c:v>37.299999999999997</c:v>
                </c:pt>
                <c:pt idx="10">
                  <c:v>32.92</c:v>
                </c:pt>
                <c:pt idx="11">
                  <c:v>30.46</c:v>
                </c:pt>
                <c:pt idx="12">
                  <c:v>34.277500000000003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A-0D4D-9237-EDCEABB3FEF4}"/>
            </c:ext>
          </c:extLst>
        </c:ser>
        <c:ser>
          <c:idx val="1"/>
          <c:order val="1"/>
          <c:tx>
            <c:strRef>
              <c:f>'2026'!$B$71</c:f>
              <c:strCache>
                <c:ptCount val="1"/>
                <c:pt idx="0">
                  <c:v>Concepção Geral (%)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'2026'!$C$71:$P$71</c:f>
              <c:numCache>
                <c:formatCode>0.0</c:formatCode>
                <c:ptCount val="14"/>
                <c:pt idx="0">
                  <c:v>27.7</c:v>
                </c:pt>
                <c:pt idx="1">
                  <c:v>34.85</c:v>
                </c:pt>
                <c:pt idx="2">
                  <c:v>36.700000000000003</c:v>
                </c:pt>
                <c:pt idx="3">
                  <c:v>28.4</c:v>
                </c:pt>
                <c:pt idx="4">
                  <c:v>33.6</c:v>
                </c:pt>
                <c:pt idx="5">
                  <c:v>38</c:v>
                </c:pt>
                <c:pt idx="6">
                  <c:v>33</c:v>
                </c:pt>
                <c:pt idx="13">
                  <c:v>33.178571428571431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4A-0D4D-9237-EDCEABB3FE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55"/>
          <c:min val="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14087277216489053"/>
          <c:y val="0.91146379302054259"/>
          <c:w val="0.72266085554142212"/>
          <c:h val="5.21917230774304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 b="1">
                <a:solidFill>
                  <a:schemeClr val="tx1"/>
                </a:solidFill>
              </a:rPr>
              <a:t>Concepção 1ª IA Geral (%)</a:t>
            </a:r>
          </a:p>
        </c:rich>
      </c:tx>
      <c:layout>
        <c:manualLayout>
          <c:xMode val="edge"/>
          <c:yMode val="edge"/>
          <c:x val="0.22094454726448948"/>
          <c:y val="4.32119342329365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272222222222223"/>
          <c:y val="0.14325353535353538"/>
          <c:w val="0.80162743055555552"/>
          <c:h val="0.585283838383838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'2026'!$B$72</c:f>
              <c:strCache>
                <c:ptCount val="1"/>
                <c:pt idx="0">
                  <c:v>Concepção 1ª IA Geral (%)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'2026'!$C$72:$P$72</c:f>
              <c:numCache>
                <c:formatCode>0.0</c:formatCode>
                <c:ptCount val="14"/>
                <c:pt idx="0">
                  <c:v>32.5</c:v>
                </c:pt>
                <c:pt idx="1">
                  <c:v>34.75</c:v>
                </c:pt>
                <c:pt idx="2">
                  <c:v>38.1</c:v>
                </c:pt>
                <c:pt idx="3">
                  <c:v>37.25</c:v>
                </c:pt>
                <c:pt idx="4">
                  <c:v>38.299999999999997</c:v>
                </c:pt>
                <c:pt idx="5">
                  <c:v>42.4</c:v>
                </c:pt>
                <c:pt idx="6">
                  <c:v>30</c:v>
                </c:pt>
                <c:pt idx="13">
                  <c:v>36.185714285714283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0-0A4C-BCD9-DB620C4622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>
                    <a:solidFill>
                      <a:schemeClr val="tx1"/>
                    </a:solidFill>
                  </a:rPr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26205353951932958"/>
          <c:y val="0.90503696290396018"/>
          <c:w val="0.48470589419088728"/>
          <c:h val="5.21917230774304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>
                <a:solidFill>
                  <a:schemeClr val="tx1"/>
                </a:solidFill>
              </a:rPr>
              <a:t>DEL 1ª IA</a:t>
            </a:r>
          </a:p>
        </c:rich>
      </c:tx>
      <c:layout>
        <c:manualLayout>
          <c:xMode val="edge"/>
          <c:yMode val="edge"/>
          <c:x val="0.37637802049292213"/>
          <c:y val="4.53509152231000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6673715277777776"/>
          <c:y val="0.1454603535353535"/>
          <c:w val="0.78619340277777783"/>
          <c:h val="0.550006060606060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'2026'!$B$66</c:f>
              <c:strCache>
                <c:ptCount val="1"/>
                <c:pt idx="0">
                  <c:v>DEL 1ª IA (dias)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'2026'!$C$66:$Q$66</c:f>
              <c:numCache>
                <c:formatCode>0.0</c:formatCode>
                <c:ptCount val="15"/>
                <c:pt idx="0">
                  <c:v>65.400000000000006</c:v>
                </c:pt>
                <c:pt idx="1">
                  <c:v>67.400000000000006</c:v>
                </c:pt>
                <c:pt idx="2">
                  <c:v>67.7</c:v>
                </c:pt>
                <c:pt idx="3">
                  <c:v>68</c:v>
                </c:pt>
                <c:pt idx="4">
                  <c:v>67</c:v>
                </c:pt>
                <c:pt idx="5">
                  <c:v>67.900000000000006</c:v>
                </c:pt>
                <c:pt idx="6">
                  <c:v>67.2</c:v>
                </c:pt>
                <c:pt idx="13">
                  <c:v>67.228571428571428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0-1C4D-9815-CD4C51F37C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80"/>
          <c:min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Dias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33070473368210929"/>
          <c:y val="0.88728929074469554"/>
          <c:w val="0.35275499999999999"/>
          <c:h val="5.6266388888888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>
                <a:solidFill>
                  <a:schemeClr val="tx1"/>
                </a:solidFill>
              </a:rPr>
              <a:t>Saídas Adultas</a:t>
            </a:r>
          </a:p>
        </c:rich>
      </c:tx>
      <c:layout>
        <c:manualLayout>
          <c:xMode val="edge"/>
          <c:yMode val="edge"/>
          <c:x val="0.32695246575834952"/>
          <c:y val="2.79456476303896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255521103027417"/>
          <c:y val="0.12608838383838383"/>
          <c:w val="0.75469828912022041"/>
          <c:h val="0.549340263263744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'2026'!$B$18</c:f>
              <c:strCache>
                <c:ptCount val="1"/>
                <c:pt idx="0">
                  <c:v>Saída Total Adulta (n)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'2026'!$C$18:$Q$18</c:f>
              <c:numCache>
                <c:formatCode>0.0</c:formatCode>
                <c:ptCount val="15"/>
                <c:pt idx="0">
                  <c:v>40</c:v>
                </c:pt>
                <c:pt idx="1">
                  <c:v>47</c:v>
                </c:pt>
                <c:pt idx="2">
                  <c:v>48</c:v>
                </c:pt>
                <c:pt idx="3">
                  <c:v>43</c:v>
                </c:pt>
                <c:pt idx="4">
                  <c:v>53</c:v>
                </c:pt>
                <c:pt idx="5">
                  <c:v>72</c:v>
                </c:pt>
                <c:pt idx="6">
                  <c:v>48</c:v>
                </c:pt>
                <c:pt idx="13">
                  <c:v>50.142857142857146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4-1445-A531-7400CB85AF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76331824"/>
        <c:axId val="1479076128"/>
      </c:barChart>
      <c:lineChart>
        <c:grouping val="standard"/>
        <c:varyColors val="0"/>
        <c:ser>
          <c:idx val="1"/>
          <c:order val="1"/>
          <c:tx>
            <c:strRef>
              <c:f>'2026'!$B$96</c:f>
              <c:strCache>
                <c:ptCount val="1"/>
                <c:pt idx="0">
                  <c:v>Mortalidade Adulta Proj (%)</c:v>
                </c:pt>
              </c:strCache>
            </c:strRef>
          </c:tx>
          <c:spPr>
            <a:ln w="28575" cap="rnd">
              <a:solidFill>
                <a:srgbClr val="00FA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'2026'!$C$96:$Q$96</c:f>
              <c:numCache>
                <c:formatCode>0.00</c:formatCode>
                <c:ptCount val="15"/>
                <c:pt idx="0">
                  <c:v>9.2561983471074392</c:v>
                </c:pt>
                <c:pt idx="1">
                  <c:v>18.284424379232505</c:v>
                </c:pt>
                <c:pt idx="2">
                  <c:v>14.0625</c:v>
                </c:pt>
                <c:pt idx="3">
                  <c:v>9.2715231788079482</c:v>
                </c:pt>
                <c:pt idx="4">
                  <c:v>11.239669421487603</c:v>
                </c:pt>
                <c:pt idx="5">
                  <c:v>16.393442622950818</c:v>
                </c:pt>
                <c:pt idx="6">
                  <c:v>10.491803278688524</c:v>
                </c:pt>
                <c:pt idx="13" formatCode="0.0">
                  <c:v>12.714223032610692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34-1445-A531-7400CB85A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89280"/>
        <c:axId val="42587360"/>
      </c:line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valAx>
        <c:axId val="42587360"/>
        <c:scaling>
          <c:orientation val="minMax"/>
          <c:min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%</a:t>
                </a:r>
              </a:p>
            </c:rich>
          </c:tx>
          <c:layout>
            <c:manualLayout>
              <c:xMode val="edge"/>
              <c:yMode val="edge"/>
              <c:x val="0.94417700459612131"/>
              <c:y val="0.344331163786644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42589280"/>
        <c:crosses val="max"/>
        <c:crossBetween val="between"/>
      </c:valAx>
      <c:catAx>
        <c:axId val="4258928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2587360"/>
        <c:crosses val="max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8.3872338301974936E-2"/>
          <c:y val="0.91930354075837328"/>
          <c:w val="0.83230922310562183"/>
          <c:h val="4.4499419698867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>
                <a:solidFill>
                  <a:schemeClr val="tx1"/>
                </a:solidFill>
              </a:rPr>
              <a:t>Vacas a Descartar</a:t>
            </a:r>
          </a:p>
        </c:rich>
      </c:tx>
      <c:layout>
        <c:manualLayout>
          <c:xMode val="edge"/>
          <c:yMode val="edge"/>
          <c:x val="0.30746589054727741"/>
          <c:y val="3.3575308817311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021939642072076"/>
          <c:y val="0.15514189443298132"/>
          <c:w val="0.81272393887757377"/>
          <c:h val="0.53007989185123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'2026'!$B$16</c:f>
              <c:strCache>
                <c:ptCount val="1"/>
                <c:pt idx="0">
                  <c:v>Vacas a Descartar (n)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0"/>
              <c:layout>
                <c:manualLayout>
                  <c:x val="0"/>
                  <c:y val="1.55826576553916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A0-F841-B207-A89B094644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'2026'!$C$16:$Q$16</c:f>
              <c:numCache>
                <c:formatCode>0.0</c:formatCode>
                <c:ptCount val="15"/>
                <c:pt idx="0">
                  <c:v>39</c:v>
                </c:pt>
                <c:pt idx="1">
                  <c:v>43</c:v>
                </c:pt>
                <c:pt idx="2">
                  <c:v>54</c:v>
                </c:pt>
                <c:pt idx="3">
                  <c:v>65</c:v>
                </c:pt>
                <c:pt idx="4">
                  <c:v>69</c:v>
                </c:pt>
                <c:pt idx="5">
                  <c:v>69</c:v>
                </c:pt>
                <c:pt idx="6">
                  <c:v>61</c:v>
                </c:pt>
                <c:pt idx="7">
                  <c:v>64</c:v>
                </c:pt>
                <c:pt idx="1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A0-F841-B207-A89B094644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lineChart>
        <c:grouping val="standard"/>
        <c:varyColors val="0"/>
        <c:ser>
          <c:idx val="1"/>
          <c:order val="1"/>
          <c:tx>
            <c:strRef>
              <c:f>'2026'!$B$45</c:f>
              <c:strCache>
                <c:ptCount val="1"/>
                <c:pt idx="0">
                  <c:v>Vacas a Descartar (%)</c:v>
                </c:pt>
              </c:strCache>
            </c:strRef>
          </c:tx>
          <c:spPr>
            <a:ln w="50800" cap="rnd">
              <a:solidFill>
                <a:srgbClr val="00FA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'2026'!$C$45:$Q$45</c:f>
              <c:numCache>
                <c:formatCode>0.0</c:formatCode>
                <c:ptCount val="15"/>
                <c:pt idx="0">
                  <c:v>2.4683544303797467</c:v>
                </c:pt>
                <c:pt idx="1">
                  <c:v>2.8326745718050064</c:v>
                </c:pt>
                <c:pt idx="2">
                  <c:v>3.4749034749034751</c:v>
                </c:pt>
                <c:pt idx="3">
                  <c:v>4.0880503144654083</c:v>
                </c:pt>
                <c:pt idx="4">
                  <c:v>4.3450881612090679</c:v>
                </c:pt>
                <c:pt idx="5">
                  <c:v>4.2698019801980198</c:v>
                </c:pt>
                <c:pt idx="6">
                  <c:v>3.742331288343558</c:v>
                </c:pt>
                <c:pt idx="7">
                  <c:v>3.9024390243902438</c:v>
                </c:pt>
                <c:pt idx="13">
                  <c:v>3.6404554057118159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A0-F841-B207-A89B09464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500559"/>
        <c:axId val="799560911"/>
      </c:line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n /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valAx>
        <c:axId val="799560911"/>
        <c:scaling>
          <c:orientation val="minMax"/>
          <c:min val="2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237500559"/>
        <c:crosses val="max"/>
        <c:crossBetween val="between"/>
      </c:valAx>
      <c:catAx>
        <c:axId val="2375005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9560911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20699087537179078"/>
          <c:y val="0.92431862304139278"/>
          <c:w val="0.60148533312523866"/>
          <c:h val="5.6266388888888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>
                <a:solidFill>
                  <a:schemeClr val="tx1"/>
                </a:solidFill>
              </a:rPr>
              <a:t>Saídas Jovens</a:t>
            </a:r>
          </a:p>
        </c:rich>
      </c:tx>
      <c:layout>
        <c:manualLayout>
          <c:xMode val="edge"/>
          <c:yMode val="edge"/>
          <c:x val="0.34461718749999998"/>
          <c:y val="4.9856565656565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708234791055635"/>
          <c:y val="0.14129338500645988"/>
          <c:w val="0.7502867908103974"/>
          <c:h val="0.517349998938988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'2026'!$B$21</c:f>
              <c:strCache>
                <c:ptCount val="1"/>
                <c:pt idx="0">
                  <c:v>Saída Total Jovem (n)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'2026'!$C$21:$Q$21</c:f>
              <c:numCache>
                <c:formatCode>0.0</c:formatCode>
                <c:ptCount val="15"/>
                <c:pt idx="0">
                  <c:v>19</c:v>
                </c:pt>
                <c:pt idx="1">
                  <c:v>13</c:v>
                </c:pt>
                <c:pt idx="2">
                  <c:v>21</c:v>
                </c:pt>
                <c:pt idx="3">
                  <c:v>11</c:v>
                </c:pt>
                <c:pt idx="4">
                  <c:v>15</c:v>
                </c:pt>
                <c:pt idx="5">
                  <c:v>11</c:v>
                </c:pt>
                <c:pt idx="6">
                  <c:v>8</c:v>
                </c:pt>
                <c:pt idx="1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3-B742-BDFE-F9618F63D7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76331824"/>
        <c:axId val="1479076128"/>
      </c:barChart>
      <c:lineChart>
        <c:grouping val="standard"/>
        <c:varyColors val="0"/>
        <c:ser>
          <c:idx val="1"/>
          <c:order val="1"/>
          <c:tx>
            <c:strRef>
              <c:f>'2026'!$B$98</c:f>
              <c:strCache>
                <c:ptCount val="1"/>
                <c:pt idx="0">
                  <c:v>Saída Jovem (morte+descarte) (%)</c:v>
                </c:pt>
              </c:strCache>
            </c:strRef>
          </c:tx>
          <c:spPr>
            <a:ln w="28575" cap="rnd">
              <a:solidFill>
                <a:srgbClr val="00FA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'2026'!$C$98:$Q$98</c:f>
              <c:numCache>
                <c:formatCode>0.00</c:formatCode>
                <c:ptCount val="15"/>
                <c:pt idx="0">
                  <c:v>1.1377245508982037</c:v>
                </c:pt>
                <c:pt idx="1">
                  <c:v>0.73280721533258175</c:v>
                </c:pt>
                <c:pt idx="2">
                  <c:v>1.1827654181920586</c:v>
                </c:pt>
                <c:pt idx="3">
                  <c:v>0.61902082160945415</c:v>
                </c:pt>
                <c:pt idx="4">
                  <c:v>0.83892617449664431</c:v>
                </c:pt>
                <c:pt idx="5">
                  <c:v>0.60506050605060502</c:v>
                </c:pt>
                <c:pt idx="6">
                  <c:v>0.43243243243243246</c:v>
                </c:pt>
                <c:pt idx="13" formatCode="0.0">
                  <c:v>0.79267673128742566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D3-B742-BDFE-F9618F63D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89280"/>
        <c:axId val="42587360"/>
      </c:line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valAx>
        <c:axId val="425873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%</a:t>
                </a:r>
              </a:p>
            </c:rich>
          </c:tx>
          <c:layout>
            <c:manualLayout>
              <c:xMode val="edge"/>
              <c:yMode val="edge"/>
              <c:x val="0.94672125808984542"/>
              <c:y val="0.338976514149199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42589280"/>
        <c:crosses val="max"/>
        <c:crossBetween val="between"/>
      </c:valAx>
      <c:catAx>
        <c:axId val="4258928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2587360"/>
        <c:crosses val="max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7.1830325024847833E-2"/>
          <c:y val="0.9031021737572581"/>
          <c:w val="0.85663669216832494"/>
          <c:h val="4.4499419698867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>
                <a:solidFill>
                  <a:schemeClr val="tx1"/>
                </a:solidFill>
              </a:rPr>
              <a:t>Saídas Aleitamento</a:t>
            </a:r>
          </a:p>
        </c:rich>
      </c:tx>
      <c:layout>
        <c:manualLayout>
          <c:xMode val="edge"/>
          <c:yMode val="edge"/>
          <c:x val="0.28724898096994261"/>
          <c:y val="4.98564180561388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460155399369989"/>
          <c:y val="0.15723222177204646"/>
          <c:w val="0.75027706467239152"/>
          <c:h val="0.481420215173050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'2026'!$B$20</c:f>
              <c:strCache>
                <c:ptCount val="1"/>
                <c:pt idx="0">
                  <c:v>Saída Total Bezerreiro (n)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'2026'!$C$20:$Q$20</c:f>
              <c:numCache>
                <c:formatCode>0.0</c:formatCode>
                <c:ptCount val="15"/>
                <c:pt idx="0">
                  <c:v>15</c:v>
                </c:pt>
                <c:pt idx="1">
                  <c:v>7</c:v>
                </c:pt>
                <c:pt idx="2">
                  <c:v>15</c:v>
                </c:pt>
                <c:pt idx="3">
                  <c:v>9</c:v>
                </c:pt>
                <c:pt idx="4">
                  <c:v>5</c:v>
                </c:pt>
                <c:pt idx="5">
                  <c:v>9</c:v>
                </c:pt>
                <c:pt idx="6">
                  <c:v>6</c:v>
                </c:pt>
                <c:pt idx="13">
                  <c:v>9.4285714285714288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6-C246-A180-E10B63438B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76331824"/>
        <c:axId val="1479076128"/>
      </c:barChart>
      <c:lineChart>
        <c:grouping val="standard"/>
        <c:varyColors val="0"/>
        <c:ser>
          <c:idx val="1"/>
          <c:order val="1"/>
          <c:tx>
            <c:strRef>
              <c:f>'2026'!$B$99</c:f>
              <c:strCache>
                <c:ptCount val="1"/>
                <c:pt idx="0">
                  <c:v>Saída Bezerreiro (morte+descarte) (%)</c:v>
                </c:pt>
              </c:strCache>
            </c:strRef>
          </c:tx>
          <c:spPr>
            <a:ln w="28575" cap="rnd">
              <a:solidFill>
                <a:srgbClr val="00FA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'2026'!$C$4:$Q$4</c:f>
              <c:strCache>
                <c:ptCount val="1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  <c:pt idx="14">
                  <c:v>Média Grupo</c:v>
                </c:pt>
              </c:strCache>
            </c:strRef>
          </c:cat>
          <c:val>
            <c:numRef>
              <c:f>'2026'!$C$99:$Q$99</c:f>
              <c:numCache>
                <c:formatCode>0.00</c:formatCode>
                <c:ptCount val="15"/>
                <c:pt idx="0">
                  <c:v>5.5555555555555554</c:v>
                </c:pt>
                <c:pt idx="1">
                  <c:v>2.6717557251908395</c:v>
                </c:pt>
                <c:pt idx="2">
                  <c:v>5.4545454545454541</c:v>
                </c:pt>
                <c:pt idx="3">
                  <c:v>3.125</c:v>
                </c:pt>
                <c:pt idx="4">
                  <c:v>1.7985611510791366</c:v>
                </c:pt>
                <c:pt idx="5">
                  <c:v>3.0201342281879198</c:v>
                </c:pt>
                <c:pt idx="6">
                  <c:v>2.1201413427561837</c:v>
                </c:pt>
                <c:pt idx="13" formatCode="0.0">
                  <c:v>3.3922419224735845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36-C246-A180-E10B63438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89280"/>
        <c:axId val="42587360"/>
      </c:line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valAx>
        <c:axId val="425873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%</a:t>
                </a:r>
              </a:p>
            </c:rich>
          </c:tx>
          <c:layout>
            <c:manualLayout>
              <c:xMode val="edge"/>
              <c:yMode val="edge"/>
              <c:x val="0.95333850555458"/>
              <c:y val="0.338976514149199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42589280"/>
        <c:crosses val="max"/>
        <c:crossBetween val="between"/>
      </c:valAx>
      <c:catAx>
        <c:axId val="4258928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2587360"/>
        <c:crosses val="max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6.581642271666821E-2"/>
          <c:y val="0.87213061723790852"/>
          <c:w val="0.87490604315178633"/>
          <c:h val="4.4499419698867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 b="1">
                <a:solidFill>
                  <a:schemeClr val="tx1"/>
                </a:solidFill>
              </a:rPr>
              <a:t>Idade</a:t>
            </a:r>
            <a:r>
              <a:rPr lang="pt-BR" sz="2000" b="1" baseline="0">
                <a:solidFill>
                  <a:schemeClr val="tx1"/>
                </a:solidFill>
              </a:rPr>
              <a:t> 1ª IA</a:t>
            </a:r>
            <a:r>
              <a:rPr lang="pt-BR" sz="2000" b="1">
                <a:solidFill>
                  <a:schemeClr val="tx1"/>
                </a:solidFill>
              </a:rPr>
              <a:t> X</a:t>
            </a:r>
            <a:r>
              <a:rPr lang="pt-BR" sz="2000" b="1" baseline="0">
                <a:solidFill>
                  <a:schemeClr val="tx1"/>
                </a:solidFill>
              </a:rPr>
              <a:t> Idade 1º parto</a:t>
            </a:r>
            <a:endParaRPr lang="pt-BR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0292756109791829"/>
          <c:y val="4.5994375284146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559476084201246"/>
          <c:y val="0.16070594268543251"/>
          <c:w val="0.77752262770705904"/>
          <c:h val="0.563576280732957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'2026'!$B$80</c:f>
              <c:strCache>
                <c:ptCount val="1"/>
                <c:pt idx="0">
                  <c:v>Idade 1IA (meses)</c:v>
                </c:pt>
              </c:strCache>
            </c:strRef>
          </c:tx>
          <c:spPr>
            <a:solidFill>
              <a:srgbClr val="FFFD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'2026'!$C$80:$P$80</c:f>
              <c:numCache>
                <c:formatCode>0.0</c:formatCode>
                <c:ptCount val="14"/>
                <c:pt idx="0">
                  <c:v>12.4</c:v>
                </c:pt>
                <c:pt idx="1">
                  <c:v>12.3</c:v>
                </c:pt>
                <c:pt idx="2">
                  <c:v>13.08</c:v>
                </c:pt>
                <c:pt idx="3">
                  <c:v>14</c:v>
                </c:pt>
                <c:pt idx="4">
                  <c:v>13.8</c:v>
                </c:pt>
                <c:pt idx="5">
                  <c:v>13.7</c:v>
                </c:pt>
                <c:pt idx="6">
                  <c:v>13.3</c:v>
                </c:pt>
                <c:pt idx="13">
                  <c:v>13.225714285714286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8-164C-A649-45D14A07D4B2}"/>
            </c:ext>
          </c:extLst>
        </c:ser>
        <c:ser>
          <c:idx val="1"/>
          <c:order val="1"/>
          <c:tx>
            <c:strRef>
              <c:f>'2026'!$B$81</c:f>
              <c:strCache>
                <c:ptCount val="1"/>
                <c:pt idx="0">
                  <c:v>Idade Primeiro Parto (meses)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'2026'!$C$81:$P$81</c:f>
              <c:numCache>
                <c:formatCode>0.0</c:formatCode>
                <c:ptCount val="14"/>
                <c:pt idx="0">
                  <c:v>22</c:v>
                </c:pt>
                <c:pt idx="1">
                  <c:v>22</c:v>
                </c:pt>
                <c:pt idx="2">
                  <c:v>21.93</c:v>
                </c:pt>
                <c:pt idx="3">
                  <c:v>22.7</c:v>
                </c:pt>
                <c:pt idx="4">
                  <c:v>23.3</c:v>
                </c:pt>
                <c:pt idx="5">
                  <c:v>22.5</c:v>
                </c:pt>
                <c:pt idx="6">
                  <c:v>22.8</c:v>
                </c:pt>
                <c:pt idx="13">
                  <c:v>22.461428571428574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B8-164C-A649-45D14A07D4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lineChart>
        <c:grouping val="standard"/>
        <c:varyColors val="0"/>
        <c:ser>
          <c:idx val="2"/>
          <c:order val="2"/>
          <c:tx>
            <c:strRef>
              <c:f>'2026'!$B$91</c:f>
              <c:strCache>
                <c:ptCount val="1"/>
                <c:pt idx="0">
                  <c:v>Peso ao Parto (kg)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'2026'!$C$91:$Q$91</c:f>
              <c:numCache>
                <c:formatCode>0.00</c:formatCode>
                <c:ptCount val="15"/>
                <c:pt idx="0">
                  <c:v>624</c:v>
                </c:pt>
                <c:pt idx="1">
                  <c:v>650</c:v>
                </c:pt>
                <c:pt idx="2">
                  <c:v>668</c:v>
                </c:pt>
                <c:pt idx="3">
                  <c:v>645</c:v>
                </c:pt>
                <c:pt idx="4">
                  <c:v>654</c:v>
                </c:pt>
                <c:pt idx="5">
                  <c:v>644</c:v>
                </c:pt>
                <c:pt idx="6">
                  <c:v>648</c:v>
                </c:pt>
                <c:pt idx="13" formatCode="0.0">
                  <c:v>647.57142857142856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7B8-164C-A649-45D14A07D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472000"/>
        <c:axId val="427225952"/>
      </c:line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Meses</a:t>
                </a:r>
              </a:p>
            </c:rich>
          </c:tx>
          <c:layout>
            <c:manualLayout>
              <c:xMode val="edge"/>
              <c:yMode val="edge"/>
              <c:x val="1.9398960323479476E-2"/>
              <c:y val="0.42095470081142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valAx>
        <c:axId val="4272259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/>
                  <a:t>kg/d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624472000"/>
        <c:crosses val="max"/>
        <c:crossBetween val="between"/>
      </c:valAx>
      <c:catAx>
        <c:axId val="624472000"/>
        <c:scaling>
          <c:orientation val="minMax"/>
        </c:scaling>
        <c:delete val="1"/>
        <c:axPos val="b"/>
        <c:majorTickMark val="out"/>
        <c:minorTickMark val="none"/>
        <c:tickLblPos val="nextTo"/>
        <c:crossAx val="427225952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20235063612218601"/>
          <c:y val="0.93971291963652437"/>
          <c:w val="0.79764936387781404"/>
          <c:h val="5.7048047105235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 b="1">
                <a:solidFill>
                  <a:schemeClr val="tx1"/>
                </a:solidFill>
              </a:rPr>
              <a:t>Concepção Nulíparas </a:t>
            </a:r>
          </a:p>
        </c:rich>
      </c:tx>
      <c:layout>
        <c:manualLayout>
          <c:xMode val="edge"/>
          <c:yMode val="edge"/>
          <c:x val="0.26396058204921591"/>
          <c:y val="5.29646385361864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867877675603541"/>
          <c:y val="0.15212964061887871"/>
          <c:w val="0.82613732421523733"/>
          <c:h val="0.5397630418365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'2026'!$B$77</c:f>
              <c:strCache>
                <c:ptCount val="1"/>
                <c:pt idx="0">
                  <c:v>Concepção Nulíparas Ano Anterior (%)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'2026'!$C$77:$O$77</c:f>
              <c:numCache>
                <c:formatCode>0.0</c:formatCode>
                <c:ptCount val="13"/>
                <c:pt idx="0">
                  <c:v>50.94</c:v>
                </c:pt>
                <c:pt idx="1">
                  <c:v>48.25</c:v>
                </c:pt>
                <c:pt idx="2">
                  <c:v>52.89</c:v>
                </c:pt>
                <c:pt idx="3">
                  <c:v>47.6</c:v>
                </c:pt>
                <c:pt idx="4">
                  <c:v>50</c:v>
                </c:pt>
                <c:pt idx="5">
                  <c:v>44.8</c:v>
                </c:pt>
                <c:pt idx="6">
                  <c:v>45</c:v>
                </c:pt>
                <c:pt idx="7">
                  <c:v>43.37</c:v>
                </c:pt>
                <c:pt idx="8">
                  <c:v>44.8</c:v>
                </c:pt>
                <c:pt idx="9">
                  <c:v>51.47</c:v>
                </c:pt>
                <c:pt idx="10">
                  <c:v>46.89</c:v>
                </c:pt>
                <c:pt idx="11">
                  <c:v>45.45</c:v>
                </c:pt>
                <c:pt idx="12">
                  <c:v>47.62166666666667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C-E84C-ADDF-FF01EA6FC5BB}"/>
            </c:ext>
          </c:extLst>
        </c:ser>
        <c:ser>
          <c:idx val="1"/>
          <c:order val="1"/>
          <c:tx>
            <c:strRef>
              <c:f>'2026'!$B$78</c:f>
              <c:strCache>
                <c:ptCount val="1"/>
                <c:pt idx="0">
                  <c:v>Concepção Nulíparas (%)</c:v>
                </c:pt>
              </c:strCache>
            </c:strRef>
          </c:tx>
          <c:spPr>
            <a:solidFill>
              <a:srgbClr val="FFFD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'2026'!$C$78:$P$78</c:f>
              <c:numCache>
                <c:formatCode>0.0</c:formatCode>
                <c:ptCount val="14"/>
                <c:pt idx="0">
                  <c:v>42.3</c:v>
                </c:pt>
                <c:pt idx="1">
                  <c:v>42.06</c:v>
                </c:pt>
                <c:pt idx="2">
                  <c:v>41.3</c:v>
                </c:pt>
                <c:pt idx="3">
                  <c:v>53.6</c:v>
                </c:pt>
                <c:pt idx="4">
                  <c:v>54.8</c:v>
                </c:pt>
                <c:pt idx="5">
                  <c:v>53.7</c:v>
                </c:pt>
                <c:pt idx="6">
                  <c:v>51.2</c:v>
                </c:pt>
                <c:pt idx="13">
                  <c:v>48.42285714285714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2C-E84C-ADDF-FF01EA6FC5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  <c:max val="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%</a:t>
                </a:r>
              </a:p>
            </c:rich>
          </c:tx>
          <c:layout>
            <c:manualLayout>
              <c:xMode val="edge"/>
              <c:yMode val="edge"/>
              <c:x val="1.7206069412584565E-2"/>
              <c:y val="0.4258479282036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2.3462640234844429E-2"/>
          <c:y val="0.91436278116427361"/>
          <c:w val="0.95603012852910441"/>
          <c:h val="5.21917230774304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1600" b="1">
                <a:solidFill>
                  <a:schemeClr val="tx1"/>
                </a:solidFill>
              </a:rPr>
              <a:t>Peso Desmame, Dias em Aleitamento</a:t>
            </a:r>
            <a:r>
              <a:rPr lang="pt-BR" sz="1600" b="1" baseline="0">
                <a:solidFill>
                  <a:schemeClr val="tx1"/>
                </a:solidFill>
              </a:rPr>
              <a:t> e GPD</a:t>
            </a:r>
            <a:endParaRPr lang="pt-BR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4577561385942397"/>
          <c:y val="4.9233305525255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98803652391094"/>
          <c:y val="0.16070594268543251"/>
          <c:w val="0.76433371382679782"/>
          <c:h val="0.563576280732957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'2026'!$B$89</c:f>
              <c:strCache>
                <c:ptCount val="1"/>
                <c:pt idx="0">
                  <c:v>Peso ao Desmame (kg)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'2026'!$C$89:$Q$89</c:f>
              <c:numCache>
                <c:formatCode>0.00</c:formatCode>
                <c:ptCount val="15"/>
                <c:pt idx="0">
                  <c:v>108</c:v>
                </c:pt>
                <c:pt idx="1">
                  <c:v>117.1</c:v>
                </c:pt>
                <c:pt idx="2">
                  <c:v>113.2</c:v>
                </c:pt>
                <c:pt idx="3">
                  <c:v>110</c:v>
                </c:pt>
                <c:pt idx="4">
                  <c:v>110.8</c:v>
                </c:pt>
                <c:pt idx="5">
                  <c:v>110.17</c:v>
                </c:pt>
                <c:pt idx="6">
                  <c:v>113.8</c:v>
                </c:pt>
                <c:pt idx="13" formatCode="0.0">
                  <c:v>111.86714285714285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9-2A46-B650-F33E4D64FBAD}"/>
            </c:ext>
          </c:extLst>
        </c:ser>
        <c:ser>
          <c:idx val="1"/>
          <c:order val="1"/>
          <c:tx>
            <c:strRef>
              <c:f>'2026'!$B$41</c:f>
              <c:strCache>
                <c:ptCount val="1"/>
                <c:pt idx="0">
                  <c:v>Dias em Aleitamento (dias)</c:v>
                </c:pt>
              </c:strCache>
            </c:strRef>
          </c:tx>
          <c:spPr>
            <a:solidFill>
              <a:srgbClr val="FFFD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'2026'!$C$41:$Q$41</c:f>
              <c:numCache>
                <c:formatCode>0.0</c:formatCode>
                <c:ptCount val="15"/>
                <c:pt idx="0">
                  <c:v>93</c:v>
                </c:pt>
                <c:pt idx="1">
                  <c:v>94</c:v>
                </c:pt>
                <c:pt idx="2">
                  <c:v>92.3</c:v>
                </c:pt>
                <c:pt idx="3">
                  <c:v>89</c:v>
                </c:pt>
                <c:pt idx="4">
                  <c:v>90.5</c:v>
                </c:pt>
                <c:pt idx="5">
                  <c:v>91.1</c:v>
                </c:pt>
                <c:pt idx="6">
                  <c:v>93</c:v>
                </c:pt>
                <c:pt idx="13">
                  <c:v>91.842857142857142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F9-2A46-B650-F33E4D64FB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lineChart>
        <c:grouping val="standard"/>
        <c:varyColors val="0"/>
        <c:ser>
          <c:idx val="2"/>
          <c:order val="2"/>
          <c:tx>
            <c:strRef>
              <c:f>'2026'!$B$90</c:f>
              <c:strCache>
                <c:ptCount val="1"/>
                <c:pt idx="0">
                  <c:v>GPD Bezerreiro (kg/d)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'2026'!$C$90:$Q$90</c:f>
              <c:numCache>
                <c:formatCode>0.00</c:formatCode>
                <c:ptCount val="15"/>
                <c:pt idx="0">
                  <c:v>0.72279569892473117</c:v>
                </c:pt>
                <c:pt idx="1">
                  <c:v>0.80925531914893611</c:v>
                </c:pt>
                <c:pt idx="2">
                  <c:v>0.77995666305525468</c:v>
                </c:pt>
                <c:pt idx="3">
                  <c:v>0.76629213483146075</c:v>
                </c:pt>
                <c:pt idx="4">
                  <c:v>0.76906077348066293</c:v>
                </c:pt>
                <c:pt idx="5">
                  <c:v>0.76893523600439095</c:v>
                </c:pt>
                <c:pt idx="6">
                  <c:v>0.79032258064516125</c:v>
                </c:pt>
                <c:pt idx="13" formatCode="0.0">
                  <c:v>0.77237405801294245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BF9-2A46-B650-F33E4D64F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472000"/>
        <c:axId val="427225952"/>
      </c:line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valAx>
        <c:axId val="4272259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/>
                  <a:t>kg/d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624472000"/>
        <c:crosses val="max"/>
        <c:crossBetween val="between"/>
      </c:valAx>
      <c:catAx>
        <c:axId val="624472000"/>
        <c:scaling>
          <c:orientation val="minMax"/>
        </c:scaling>
        <c:delete val="1"/>
        <c:axPos val="b"/>
        <c:majorTickMark val="out"/>
        <c:minorTickMark val="none"/>
        <c:tickLblPos val="nextTo"/>
        <c:crossAx val="427225952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20235063612218601"/>
          <c:y val="0.93971291963652437"/>
          <c:w val="0.79764936387781404"/>
          <c:h val="5.7048047105235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pt-BR" sz="2000" b="1">
                <a:solidFill>
                  <a:schemeClr val="tx1"/>
                </a:solidFill>
              </a:rPr>
              <a:t>Casos</a:t>
            </a:r>
            <a:r>
              <a:rPr lang="pt-BR" sz="2000" b="1" baseline="0">
                <a:solidFill>
                  <a:schemeClr val="tx1"/>
                </a:solidFill>
              </a:rPr>
              <a:t> de Diarreia e Pneumonia</a:t>
            </a:r>
            <a:endParaRPr lang="pt-BR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2421970112222153"/>
          <c:y val="4.6492113243126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867877675603541"/>
          <c:y val="0.15212964061887871"/>
          <c:w val="0.82613732421523733"/>
          <c:h val="0.5397630418365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'2026'!$B$34</c:f>
              <c:strCache>
                <c:ptCount val="1"/>
                <c:pt idx="0">
                  <c:v>Casos de Diarréia Tratada Bezerreiro(n)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'2026'!$C$34:$Q$34</c:f>
              <c:numCache>
                <c:formatCode>0.0</c:formatCode>
                <c:ptCount val="15"/>
                <c:pt idx="0">
                  <c:v>85</c:v>
                </c:pt>
                <c:pt idx="1">
                  <c:v>69</c:v>
                </c:pt>
                <c:pt idx="2">
                  <c:v>103</c:v>
                </c:pt>
                <c:pt idx="3">
                  <c:v>55</c:v>
                </c:pt>
                <c:pt idx="4">
                  <c:v>59</c:v>
                </c:pt>
                <c:pt idx="5">
                  <c:v>60</c:v>
                </c:pt>
                <c:pt idx="6">
                  <c:v>73</c:v>
                </c:pt>
                <c:pt idx="1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B-614C-80FA-DFD1E2A58BFB}"/>
            </c:ext>
          </c:extLst>
        </c:ser>
        <c:ser>
          <c:idx val="1"/>
          <c:order val="1"/>
          <c:tx>
            <c:strRef>
              <c:f>'2026'!$B$35</c:f>
              <c:strCache>
                <c:ptCount val="1"/>
                <c:pt idx="0">
                  <c:v>Casos de Pneumonia Tratada Bezerreiro(n)</c:v>
                </c:pt>
              </c:strCache>
            </c:strRef>
          </c:tx>
          <c:spPr>
            <a:solidFill>
              <a:srgbClr val="00FA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'2026'!$C$4:$P$4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 Faz. 2025</c:v>
                </c:pt>
                <c:pt idx="13">
                  <c:v>Média Atual</c:v>
                </c:pt>
              </c:strCache>
            </c:strRef>
          </c:cat>
          <c:val>
            <c:numRef>
              <c:f>'2026'!$C$35:$Q$35</c:f>
              <c:numCache>
                <c:formatCode>0.0</c:formatCode>
                <c:ptCount val="15"/>
                <c:pt idx="0">
                  <c:v>12</c:v>
                </c:pt>
                <c:pt idx="1">
                  <c:v>8</c:v>
                </c:pt>
                <c:pt idx="2">
                  <c:v>10</c:v>
                </c:pt>
                <c:pt idx="3">
                  <c:v>25</c:v>
                </c:pt>
                <c:pt idx="4">
                  <c:v>22</c:v>
                </c:pt>
                <c:pt idx="5">
                  <c:v>32</c:v>
                </c:pt>
                <c:pt idx="6">
                  <c:v>18</c:v>
                </c:pt>
                <c:pt idx="13">
                  <c:v>18.142857142857142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3B-614C-80FA-DFD1E2A58B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331824"/>
        <c:axId val="1479076128"/>
      </c:barChart>
      <c:catAx>
        <c:axId val="13763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479076128"/>
        <c:crosses val="autoZero"/>
        <c:auto val="1"/>
        <c:lblAlgn val="ctr"/>
        <c:lblOffset val="100"/>
        <c:noMultiLvlLbl val="0"/>
      </c:catAx>
      <c:valAx>
        <c:axId val="1479076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r>
                  <a:rPr lang="pt-BR" sz="1200">
                    <a:solidFill>
                      <a:schemeClr val="tx1"/>
                    </a:solidFill>
                  </a:rPr>
                  <a:t>n</a:t>
                </a:r>
              </a:p>
            </c:rich>
          </c:tx>
          <c:layout>
            <c:manualLayout>
              <c:xMode val="edge"/>
              <c:yMode val="edge"/>
              <c:x val="1.7206069412584565E-2"/>
              <c:y val="0.4258479282036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endParaRPr lang="pt-BR"/>
          </a:p>
        </c:txPr>
        <c:crossAx val="1376331824"/>
        <c:crosses val="autoZero"/>
        <c:crossBetween val="between"/>
      </c:valAx>
      <c:spPr>
        <a:solidFill>
          <a:schemeClr val="bg1">
            <a:lumMod val="85000"/>
          </a:schemeClr>
        </a:solidFill>
        <a:ln w="254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15240955236480466"/>
          <c:y val="0.86067375073261487"/>
          <c:w val="0.54063270187618728"/>
          <c:h val="0.12776486559869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Cambria" panose="02040503050406030204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iff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18" Type="http://schemas.openxmlformats.org/officeDocument/2006/relationships/chart" Target="../charts/chart32.xml"/><Relationship Id="rId3" Type="http://schemas.openxmlformats.org/officeDocument/2006/relationships/chart" Target="../charts/chart17.xml"/><Relationship Id="rId21" Type="http://schemas.openxmlformats.org/officeDocument/2006/relationships/chart" Target="../charts/chart35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17" Type="http://schemas.openxmlformats.org/officeDocument/2006/relationships/chart" Target="../charts/chart31.xml"/><Relationship Id="rId2" Type="http://schemas.openxmlformats.org/officeDocument/2006/relationships/chart" Target="../charts/chart16.xml"/><Relationship Id="rId16" Type="http://schemas.openxmlformats.org/officeDocument/2006/relationships/chart" Target="../charts/chart30.xml"/><Relationship Id="rId20" Type="http://schemas.openxmlformats.org/officeDocument/2006/relationships/chart" Target="../charts/chart34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24" Type="http://schemas.openxmlformats.org/officeDocument/2006/relationships/chart" Target="../charts/chart38.xml"/><Relationship Id="rId5" Type="http://schemas.openxmlformats.org/officeDocument/2006/relationships/chart" Target="../charts/chart19.xml"/><Relationship Id="rId15" Type="http://schemas.openxmlformats.org/officeDocument/2006/relationships/chart" Target="../charts/chart29.xml"/><Relationship Id="rId23" Type="http://schemas.openxmlformats.org/officeDocument/2006/relationships/chart" Target="../charts/chart37.xml"/><Relationship Id="rId10" Type="http://schemas.openxmlformats.org/officeDocument/2006/relationships/chart" Target="../charts/chart24.xml"/><Relationship Id="rId19" Type="http://schemas.openxmlformats.org/officeDocument/2006/relationships/chart" Target="../charts/chart33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Relationship Id="rId22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578556</xdr:colOff>
      <xdr:row>0</xdr:row>
      <xdr:rowOff>42334</xdr:rowOff>
    </xdr:from>
    <xdr:ext cx="1213312" cy="1086556"/>
    <xdr:pic>
      <xdr:nvPicPr>
        <xdr:cNvPr id="13" name="Imagem 12">
          <a:extLst>
            <a:ext uri="{FF2B5EF4-FFF2-40B4-BE49-F238E27FC236}">
              <a16:creationId xmlns:a16="http://schemas.microsoft.com/office/drawing/2014/main" id="{0EEF7D2C-E4C1-0444-9DA0-BFB03EDAF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556" y="42334"/>
          <a:ext cx="1213312" cy="1086556"/>
        </a:xfrm>
        <a:prstGeom prst="rect">
          <a:avLst/>
        </a:prstGeom>
      </xdr:spPr>
    </xdr:pic>
    <xdr:clientData/>
  </xdr:oneCellAnchor>
  <xdr:twoCellAnchor editAs="oneCell">
    <xdr:from>
      <xdr:col>1</xdr:col>
      <xdr:colOff>841186</xdr:colOff>
      <xdr:row>0</xdr:row>
      <xdr:rowOff>30712</xdr:rowOff>
    </xdr:from>
    <xdr:to>
      <xdr:col>1</xdr:col>
      <xdr:colOff>2612484</xdr:colOff>
      <xdr:row>3</xdr:row>
      <xdr:rowOff>230463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4F83B92-17B2-D34D-B731-330AFF143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7742" y="30712"/>
          <a:ext cx="1771298" cy="11734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829749</xdr:colOff>
      <xdr:row>0</xdr:row>
      <xdr:rowOff>33868</xdr:rowOff>
    </xdr:from>
    <xdr:to>
      <xdr:col>1</xdr:col>
      <xdr:colOff>2601047</xdr:colOff>
      <xdr:row>3</xdr:row>
      <xdr:rowOff>237067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95F5F9BD-8D62-AA42-8F38-18B771A61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3482" y="33868"/>
          <a:ext cx="1771298" cy="1168399"/>
        </a:xfrm>
        <a:prstGeom prst="rect">
          <a:avLst/>
        </a:prstGeom>
      </xdr:spPr>
    </xdr:pic>
    <xdr:clientData/>
  </xdr:twoCellAnchor>
  <xdr:twoCellAnchor editAs="oneCell">
    <xdr:from>
      <xdr:col>0</xdr:col>
      <xdr:colOff>231520</xdr:colOff>
      <xdr:row>0</xdr:row>
      <xdr:rowOff>42642</xdr:rowOff>
    </xdr:from>
    <xdr:to>
      <xdr:col>1</xdr:col>
      <xdr:colOff>491068</xdr:colOff>
      <xdr:row>3</xdr:row>
      <xdr:rowOff>237067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FBEF527F-80D5-914A-9481-85302F428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520" y="42642"/>
          <a:ext cx="1343281" cy="1159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62867</xdr:colOff>
      <xdr:row>345</xdr:row>
      <xdr:rowOff>137593</xdr:rowOff>
    </xdr:from>
    <xdr:to>
      <xdr:col>6</xdr:col>
      <xdr:colOff>785918</xdr:colOff>
      <xdr:row>366</xdr:row>
      <xdr:rowOff>29288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79EB189-EFD1-4EDB-B9AD-8435AE53431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39839</xdr:colOff>
      <xdr:row>47</xdr:row>
      <xdr:rowOff>172428</xdr:rowOff>
    </xdr:from>
    <xdr:to>
      <xdr:col>6</xdr:col>
      <xdr:colOff>789428</xdr:colOff>
      <xdr:row>67</xdr:row>
      <xdr:rowOff>165853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3BE9E69-F33D-49CC-AD9F-309A68FE95A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57052</xdr:colOff>
      <xdr:row>161</xdr:row>
      <xdr:rowOff>166713</xdr:rowOff>
    </xdr:from>
    <xdr:to>
      <xdr:col>6</xdr:col>
      <xdr:colOff>806641</xdr:colOff>
      <xdr:row>181</xdr:row>
      <xdr:rowOff>160138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A6F73EC-099B-4BCF-BF73-B85361B182E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26282</xdr:colOff>
      <xdr:row>207</xdr:row>
      <xdr:rowOff>160114</xdr:rowOff>
    </xdr:from>
    <xdr:to>
      <xdr:col>6</xdr:col>
      <xdr:colOff>775871</xdr:colOff>
      <xdr:row>227</xdr:row>
      <xdr:rowOff>153539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C8283CD0-C87A-4196-840F-7A99A73C583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24583</xdr:colOff>
      <xdr:row>231</xdr:row>
      <xdr:rowOff>139209</xdr:rowOff>
    </xdr:from>
    <xdr:to>
      <xdr:col>6</xdr:col>
      <xdr:colOff>770131</xdr:colOff>
      <xdr:row>251</xdr:row>
      <xdr:rowOff>166306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4288E520-EF92-4753-A59D-9243FCBEBED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46850</xdr:colOff>
      <xdr:row>277</xdr:row>
      <xdr:rowOff>98973</xdr:rowOff>
    </xdr:from>
    <xdr:to>
      <xdr:col>6</xdr:col>
      <xdr:colOff>786615</xdr:colOff>
      <xdr:row>297</xdr:row>
      <xdr:rowOff>174267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35B281C5-271A-4C3C-9D83-DA68BC58814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14654</xdr:colOff>
      <xdr:row>529</xdr:row>
      <xdr:rowOff>124784</xdr:rowOff>
    </xdr:from>
    <xdr:to>
      <xdr:col>6</xdr:col>
      <xdr:colOff>763039</xdr:colOff>
      <xdr:row>548</xdr:row>
      <xdr:rowOff>186861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D2AD4D41-C170-4D0C-BBFD-426A0D8FD60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29308</xdr:colOff>
      <xdr:row>554</xdr:row>
      <xdr:rowOff>152222</xdr:rowOff>
    </xdr:from>
    <xdr:to>
      <xdr:col>6</xdr:col>
      <xdr:colOff>777693</xdr:colOff>
      <xdr:row>574</xdr:row>
      <xdr:rowOff>9145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9085D884-C41D-4F88-9C88-AE04F276BC8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33618</xdr:colOff>
      <xdr:row>575</xdr:row>
      <xdr:rowOff>165684</xdr:rowOff>
    </xdr:from>
    <xdr:to>
      <xdr:col>6</xdr:col>
      <xdr:colOff>782003</xdr:colOff>
      <xdr:row>595</xdr:row>
      <xdr:rowOff>22608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14856076-D885-4114-A47B-9CB85451AAF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78829</xdr:colOff>
      <xdr:row>415</xdr:row>
      <xdr:rowOff>169070</xdr:rowOff>
    </xdr:from>
    <xdr:to>
      <xdr:col>6</xdr:col>
      <xdr:colOff>793863</xdr:colOff>
      <xdr:row>435</xdr:row>
      <xdr:rowOff>187691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F8B3CD45-20E2-4466-AAE2-D2171E8CB51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69504</xdr:colOff>
      <xdr:row>437</xdr:row>
      <xdr:rowOff>126936</xdr:rowOff>
    </xdr:from>
    <xdr:to>
      <xdr:col>6</xdr:col>
      <xdr:colOff>784538</xdr:colOff>
      <xdr:row>457</xdr:row>
      <xdr:rowOff>145557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AB45A751-134A-4F20-95CD-DAC2D87ADAD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52800</xdr:colOff>
      <xdr:row>483</xdr:row>
      <xdr:rowOff>139059</xdr:rowOff>
    </xdr:from>
    <xdr:to>
      <xdr:col>6</xdr:col>
      <xdr:colOff>775851</xdr:colOff>
      <xdr:row>504</xdr:row>
      <xdr:rowOff>30754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41ACBA9E-B443-4018-AD14-35E7A0DCFD5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57727</xdr:colOff>
      <xdr:row>713</xdr:row>
      <xdr:rowOff>139798</xdr:rowOff>
    </xdr:from>
    <xdr:to>
      <xdr:col>6</xdr:col>
      <xdr:colOff>760818</xdr:colOff>
      <xdr:row>733</xdr:row>
      <xdr:rowOff>174344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C5E0481A-7B69-7A41-BA32-20E3BFC9DDA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49162</xdr:colOff>
      <xdr:row>599</xdr:row>
      <xdr:rowOff>188093</xdr:rowOff>
    </xdr:from>
    <xdr:to>
      <xdr:col>6</xdr:col>
      <xdr:colOff>782340</xdr:colOff>
      <xdr:row>620</xdr:row>
      <xdr:rowOff>9644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F3D1D7EE-B8E9-B94B-B145-6A8407DFE31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823395</xdr:colOff>
      <xdr:row>20</xdr:row>
      <xdr:rowOff>51937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1E476A-DDEB-EE40-8070-C4FDB51AABA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7</xdr:col>
      <xdr:colOff>0</xdr:colOff>
      <xdr:row>0</xdr:row>
      <xdr:rowOff>0</xdr:rowOff>
    </xdr:from>
    <xdr:to>
      <xdr:col>13</xdr:col>
      <xdr:colOff>823395</xdr:colOff>
      <xdr:row>20</xdr:row>
      <xdr:rowOff>51938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D5AFBB-8950-594C-83DB-40943477B98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0</xdr:colOff>
      <xdr:row>24</xdr:row>
      <xdr:rowOff>25400</xdr:rowOff>
    </xdr:from>
    <xdr:to>
      <xdr:col>6</xdr:col>
      <xdr:colOff>823395</xdr:colOff>
      <xdr:row>44</xdr:row>
      <xdr:rowOff>77338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6C2D387-211A-964B-818B-712489346D7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6</xdr:col>
      <xdr:colOff>787400</xdr:colOff>
      <xdr:row>24</xdr:row>
      <xdr:rowOff>25400</xdr:rowOff>
    </xdr:from>
    <xdr:to>
      <xdr:col>13</xdr:col>
      <xdr:colOff>785295</xdr:colOff>
      <xdr:row>44</xdr:row>
      <xdr:rowOff>77338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CD0B58-4CEE-8746-B0DC-99BA7357E90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0</xdr:col>
      <xdr:colOff>0</xdr:colOff>
      <xdr:row>49</xdr:row>
      <xdr:rowOff>0</xdr:rowOff>
    </xdr:from>
    <xdr:to>
      <xdr:col>6</xdr:col>
      <xdr:colOff>823395</xdr:colOff>
      <xdr:row>69</xdr:row>
      <xdr:rowOff>51938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80DA8D-DD83-A74D-9874-741A9273CAA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49</xdr:row>
      <xdr:rowOff>0</xdr:rowOff>
    </xdr:from>
    <xdr:to>
      <xdr:col>13</xdr:col>
      <xdr:colOff>819354</xdr:colOff>
      <xdr:row>69</xdr:row>
      <xdr:rowOff>85610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CC10E13-8E37-9C4A-8CCC-218E85ABBA9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73</xdr:row>
      <xdr:rowOff>114300</xdr:rowOff>
    </xdr:from>
    <xdr:to>
      <xdr:col>6</xdr:col>
      <xdr:colOff>788840</xdr:colOff>
      <xdr:row>93</xdr:row>
      <xdr:rowOff>191435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44C3496-2E49-4E40-93D5-98050EB14DD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812800</xdr:colOff>
      <xdr:row>73</xdr:row>
      <xdr:rowOff>127000</xdr:rowOff>
    </xdr:from>
    <xdr:to>
      <xdr:col>13</xdr:col>
      <xdr:colOff>776140</xdr:colOff>
      <xdr:row>94</xdr:row>
      <xdr:rowOff>935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DD3267B-B50B-AA4F-ADF0-4CABE5D7ABB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98</xdr:row>
      <xdr:rowOff>0</xdr:rowOff>
    </xdr:from>
    <xdr:to>
      <xdr:col>6</xdr:col>
      <xdr:colOff>788840</xdr:colOff>
      <xdr:row>118</xdr:row>
      <xdr:rowOff>77135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D9605FD-A1C2-9F42-A100-931725EF042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0</xdr:colOff>
      <xdr:row>98</xdr:row>
      <xdr:rowOff>0</xdr:rowOff>
    </xdr:from>
    <xdr:to>
      <xdr:col>13</xdr:col>
      <xdr:colOff>788840</xdr:colOff>
      <xdr:row>118</xdr:row>
      <xdr:rowOff>77135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AADC894-B577-274B-A604-41C78C9D7A2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6</xdr:col>
      <xdr:colOff>788840</xdr:colOff>
      <xdr:row>142</xdr:row>
      <xdr:rowOff>77135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6615B5F-3E10-984D-A0DB-5A2D1D915E7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0</xdr:colOff>
      <xdr:row>122</xdr:row>
      <xdr:rowOff>0</xdr:rowOff>
    </xdr:from>
    <xdr:to>
      <xdr:col>13</xdr:col>
      <xdr:colOff>788840</xdr:colOff>
      <xdr:row>142</xdr:row>
      <xdr:rowOff>77135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F66C6D9-5A39-B442-99F0-1DEE43C4F36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146</xdr:row>
      <xdr:rowOff>1</xdr:rowOff>
    </xdr:from>
    <xdr:to>
      <xdr:col>6</xdr:col>
      <xdr:colOff>817919</xdr:colOff>
      <xdr:row>165</xdr:row>
      <xdr:rowOff>127001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DDC1EB3-1BED-834D-8B0D-7439BD55F1D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0</xdr:colOff>
      <xdr:row>146</xdr:row>
      <xdr:rowOff>0</xdr:rowOff>
    </xdr:from>
    <xdr:to>
      <xdr:col>13</xdr:col>
      <xdr:colOff>799623</xdr:colOff>
      <xdr:row>165</xdr:row>
      <xdr:rowOff>125085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F6012025-94F3-F04F-9A7E-E8C509FFCA3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169</xdr:row>
      <xdr:rowOff>0</xdr:rowOff>
    </xdr:from>
    <xdr:to>
      <xdr:col>6</xdr:col>
      <xdr:colOff>799623</xdr:colOff>
      <xdr:row>188</xdr:row>
      <xdr:rowOff>126447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1D6A578F-3E68-DB40-8F02-E0966C70AAD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0</xdr:colOff>
      <xdr:row>169</xdr:row>
      <xdr:rowOff>1</xdr:rowOff>
    </xdr:from>
    <xdr:to>
      <xdr:col>13</xdr:col>
      <xdr:colOff>801205</xdr:colOff>
      <xdr:row>188</xdr:row>
      <xdr:rowOff>152401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9D8E5000-60B6-374C-9108-4B1DBC2E30A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192</xdr:row>
      <xdr:rowOff>0</xdr:rowOff>
    </xdr:from>
    <xdr:to>
      <xdr:col>6</xdr:col>
      <xdr:colOff>793188</xdr:colOff>
      <xdr:row>212</xdr:row>
      <xdr:rowOff>31591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48BF8C5D-275E-1A4B-A0F7-4DF01CFAD52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absolute">
    <xdr:from>
      <xdr:col>7</xdr:col>
      <xdr:colOff>0</xdr:colOff>
      <xdr:row>192</xdr:row>
      <xdr:rowOff>0</xdr:rowOff>
    </xdr:from>
    <xdr:to>
      <xdr:col>14</xdr:col>
      <xdr:colOff>2243</xdr:colOff>
      <xdr:row>211</xdr:row>
      <xdr:rowOff>203138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FC0E2CAB-2588-A04F-9A29-7CC49404B48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23092</xdr:colOff>
      <xdr:row>216</xdr:row>
      <xdr:rowOff>0</xdr:rowOff>
    </xdr:from>
    <xdr:to>
      <xdr:col>13</xdr:col>
      <xdr:colOff>816280</xdr:colOff>
      <xdr:row>236</xdr:row>
      <xdr:rowOff>25133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89B39CDD-0B44-1C40-A21D-8D96150B151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25400</xdr:colOff>
      <xdr:row>215</xdr:row>
      <xdr:rowOff>202093</xdr:rowOff>
    </xdr:from>
    <xdr:to>
      <xdr:col>6</xdr:col>
      <xdr:colOff>818588</xdr:colOff>
      <xdr:row>236</xdr:row>
      <xdr:rowOff>24027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7371CDE6-0D85-BE40-8487-D2573F1AC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240</xdr:row>
      <xdr:rowOff>0</xdr:rowOff>
    </xdr:from>
    <xdr:to>
      <xdr:col>6</xdr:col>
      <xdr:colOff>824585</xdr:colOff>
      <xdr:row>259</xdr:row>
      <xdr:rowOff>60123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C1A963E2-A820-B64B-9EFE-5AB32AB8818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0</xdr:colOff>
      <xdr:row>240</xdr:row>
      <xdr:rowOff>0</xdr:rowOff>
    </xdr:from>
    <xdr:to>
      <xdr:col>13</xdr:col>
      <xdr:colOff>799251</xdr:colOff>
      <xdr:row>259</xdr:row>
      <xdr:rowOff>63500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9A2F261C-C74C-5149-95F0-FE5CF63390C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0</xdr:colOff>
      <xdr:row>263</xdr:row>
      <xdr:rowOff>0</xdr:rowOff>
    </xdr:from>
    <xdr:to>
      <xdr:col>6</xdr:col>
      <xdr:colOff>824585</xdr:colOff>
      <xdr:row>282</xdr:row>
      <xdr:rowOff>60123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776639A8-DB4E-5E49-B2FF-0486E92D18B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0</xdr:colOff>
      <xdr:row>263</xdr:row>
      <xdr:rowOff>0</xdr:rowOff>
    </xdr:from>
    <xdr:to>
      <xdr:col>13</xdr:col>
      <xdr:colOff>799251</xdr:colOff>
      <xdr:row>282</xdr:row>
      <xdr:rowOff>63500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E81F9A2A-A770-3D4F-9442-A8D1E81103C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Integração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Integração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7B08-23A1-CC44-9026-2ED1D3B78C2D}">
  <sheetPr codeName="Planilha5">
    <pageSetUpPr fitToPage="1"/>
  </sheetPr>
  <dimension ref="A1:S133"/>
  <sheetViews>
    <sheetView showGridLines="0" showRowColHeaders="0" tabSelected="1" zoomScale="90" zoomScaleNormal="90" zoomScaleSheetLayoutView="75" workbookViewId="0">
      <pane xSplit="2" ySplit="4" topLeftCell="C70" activePane="bottomRight" state="frozen"/>
      <selection pane="topRight" activeCell="D1" sqref="D1"/>
      <selection pane="bottomLeft" activeCell="A5" sqref="A5"/>
      <selection pane="bottomRight" activeCell="C5" sqref="C5"/>
    </sheetView>
  </sheetViews>
  <sheetFormatPr baseColWidth="10" defaultColWidth="11.5" defaultRowHeight="25" x14ac:dyDescent="0.25"/>
  <cols>
    <col min="1" max="1" width="14.1640625" style="60" customWidth="1"/>
    <col min="2" max="2" width="51.5" style="61" customWidth="1"/>
    <col min="3" max="14" width="14.5" style="62" customWidth="1"/>
    <col min="15" max="17" width="18.33203125" style="63" customWidth="1"/>
    <col min="18" max="16384" width="11.5" style="64"/>
  </cols>
  <sheetData>
    <row r="1" spans="1:19" ht="25" customHeight="1" x14ac:dyDescent="0.2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1:19" ht="25" customHeight="1" x14ac:dyDescent="0.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3" spans="1:19" ht="25" customHeight="1" x14ac:dyDescent="0.2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</row>
    <row r="4" spans="1:19" ht="26" thickBot="1" x14ac:dyDescent="0.3">
      <c r="A4" s="1"/>
      <c r="B4" s="2"/>
      <c r="C4" s="3" t="s">
        <v>125</v>
      </c>
      <c r="D4" s="3" t="s">
        <v>126</v>
      </c>
      <c r="E4" s="3" t="s">
        <v>127</v>
      </c>
      <c r="F4" s="3" t="s">
        <v>128</v>
      </c>
      <c r="G4" s="3" t="s">
        <v>129</v>
      </c>
      <c r="H4" s="3" t="s">
        <v>130</v>
      </c>
      <c r="I4" s="3" t="s">
        <v>131</v>
      </c>
      <c r="J4" s="3" t="s">
        <v>132</v>
      </c>
      <c r="K4" s="3" t="s">
        <v>133</v>
      </c>
      <c r="L4" s="3" t="s">
        <v>134</v>
      </c>
      <c r="M4" s="3" t="s">
        <v>135</v>
      </c>
      <c r="N4" s="3" t="s">
        <v>136</v>
      </c>
      <c r="O4" s="4" t="s">
        <v>145</v>
      </c>
      <c r="P4" s="4" t="s">
        <v>1</v>
      </c>
      <c r="Q4" s="4" t="s">
        <v>2</v>
      </c>
    </row>
    <row r="5" spans="1:19" ht="18" customHeight="1" x14ac:dyDescent="0.2">
      <c r="A5" s="79" t="s">
        <v>3</v>
      </c>
      <c r="B5" s="5" t="s">
        <v>4</v>
      </c>
      <c r="C5" s="58">
        <v>2.2999999999999998</v>
      </c>
      <c r="D5" s="58">
        <v>2.2999999999999998</v>
      </c>
      <c r="E5" s="58">
        <v>2.46</v>
      </c>
      <c r="F5" s="58">
        <v>2.46</v>
      </c>
      <c r="G5" s="58">
        <v>2.65</v>
      </c>
      <c r="H5" s="58">
        <v>2.7797000000000001</v>
      </c>
      <c r="I5" s="58">
        <v>2.78</v>
      </c>
      <c r="J5" s="28">
        <v>2.89</v>
      </c>
      <c r="K5" s="28"/>
      <c r="L5" s="28"/>
      <c r="M5" s="28"/>
      <c r="N5" s="28"/>
      <c r="O5" s="25"/>
      <c r="P5" s="25">
        <f>AVERAGE(C5:N5)</f>
        <v>2.5774625000000002</v>
      </c>
      <c r="Q5" s="7"/>
      <c r="R5" s="65"/>
      <c r="S5" s="66"/>
    </row>
    <row r="6" spans="1:19" ht="18" x14ac:dyDescent="0.2">
      <c r="A6" s="80"/>
      <c r="B6" s="2" t="s">
        <v>5</v>
      </c>
      <c r="C6" s="19">
        <v>1815</v>
      </c>
      <c r="D6" s="19">
        <v>1772</v>
      </c>
      <c r="E6" s="19">
        <v>1792</v>
      </c>
      <c r="F6" s="19">
        <v>1812</v>
      </c>
      <c r="G6" s="19">
        <v>1815</v>
      </c>
      <c r="H6" s="19">
        <v>1830</v>
      </c>
      <c r="I6" s="19">
        <v>1830</v>
      </c>
      <c r="J6" s="19">
        <v>1835</v>
      </c>
      <c r="K6" s="19"/>
      <c r="L6" s="19"/>
      <c r="M6" s="19"/>
      <c r="N6" s="19"/>
      <c r="O6" s="17"/>
      <c r="P6" s="17">
        <f t="shared" ref="P6:P86" si="0">AVERAGE(C6:N6)</f>
        <v>1812.625</v>
      </c>
      <c r="Q6" s="18"/>
      <c r="R6" s="65"/>
      <c r="S6" s="66"/>
    </row>
    <row r="7" spans="1:19" ht="18" x14ac:dyDescent="0.2">
      <c r="A7" s="80"/>
      <c r="B7" s="2" t="s">
        <v>6</v>
      </c>
      <c r="C7" s="19">
        <f>C6-235</f>
        <v>1580</v>
      </c>
      <c r="D7" s="19">
        <f>D6-254</f>
        <v>1518</v>
      </c>
      <c r="E7" s="19">
        <v>1554</v>
      </c>
      <c r="F7" s="19">
        <v>1590</v>
      </c>
      <c r="G7" s="19">
        <v>1588</v>
      </c>
      <c r="H7" s="19">
        <f>H6-214</f>
        <v>1616</v>
      </c>
      <c r="I7" s="19">
        <v>1630</v>
      </c>
      <c r="J7" s="19">
        <v>1640</v>
      </c>
      <c r="K7" s="19"/>
      <c r="L7" s="19"/>
      <c r="M7" s="19"/>
      <c r="N7" s="19"/>
      <c r="O7" s="17"/>
      <c r="P7" s="17">
        <f t="shared" si="0"/>
        <v>1589.5</v>
      </c>
      <c r="Q7" s="18"/>
      <c r="R7" s="65"/>
      <c r="S7" s="66"/>
    </row>
    <row r="8" spans="1:19" ht="18" x14ac:dyDescent="0.2">
      <c r="A8" s="80"/>
      <c r="B8" s="2" t="s">
        <v>7</v>
      </c>
      <c r="C8" s="19">
        <f>0.034*C6</f>
        <v>61.710000000000008</v>
      </c>
      <c r="D8" s="19">
        <v>57</v>
      </c>
      <c r="E8" s="19">
        <v>51.5124</v>
      </c>
      <c r="F8" s="19">
        <f>0.0254*F6</f>
        <v>46.024799999999999</v>
      </c>
      <c r="G8" s="19">
        <f>0.0215*G6</f>
        <v>39.022499999999994</v>
      </c>
      <c r="H8" s="19">
        <f>0.0246*H6</f>
        <v>45.018000000000001</v>
      </c>
      <c r="I8" s="19">
        <v>51</v>
      </c>
      <c r="J8" s="19">
        <f>0.027*J7</f>
        <v>44.28</v>
      </c>
      <c r="K8" s="19"/>
      <c r="L8" s="19"/>
      <c r="M8" s="19"/>
      <c r="N8" s="19"/>
      <c r="O8" s="17"/>
      <c r="P8" s="17">
        <f t="shared" si="0"/>
        <v>49.445962499999993</v>
      </c>
      <c r="Q8" s="18"/>
      <c r="R8" s="65"/>
      <c r="S8" s="66"/>
    </row>
    <row r="9" spans="1:19" ht="18" x14ac:dyDescent="0.2">
      <c r="A9" s="80"/>
      <c r="B9" s="2" t="s">
        <v>150</v>
      </c>
      <c r="C9" s="19" t="s">
        <v>154</v>
      </c>
      <c r="D9" s="19" t="s">
        <v>154</v>
      </c>
      <c r="E9" s="19" t="s">
        <v>154</v>
      </c>
      <c r="F9" s="19" t="s">
        <v>154</v>
      </c>
      <c r="G9" s="19" t="s">
        <v>154</v>
      </c>
      <c r="H9" s="19" t="s">
        <v>154</v>
      </c>
      <c r="I9" s="19" t="s">
        <v>154</v>
      </c>
      <c r="J9" s="19" t="s">
        <v>154</v>
      </c>
      <c r="K9" s="19"/>
      <c r="L9" s="19"/>
      <c r="M9" s="19"/>
      <c r="N9" s="19"/>
      <c r="O9" s="17"/>
      <c r="P9" s="17"/>
      <c r="Q9" s="18"/>
      <c r="R9" s="65"/>
      <c r="S9" s="66"/>
    </row>
    <row r="10" spans="1:19" ht="18" x14ac:dyDescent="0.2">
      <c r="A10" s="80"/>
      <c r="B10" s="2" t="s">
        <v>8</v>
      </c>
      <c r="C10" s="19">
        <v>270</v>
      </c>
      <c r="D10" s="19">
        <v>262</v>
      </c>
      <c r="E10" s="19">
        <v>275</v>
      </c>
      <c r="F10" s="19">
        <v>288</v>
      </c>
      <c r="G10" s="19">
        <v>278</v>
      </c>
      <c r="H10" s="19">
        <v>298</v>
      </c>
      <c r="I10" s="19">
        <v>283</v>
      </c>
      <c r="J10" s="19">
        <v>284</v>
      </c>
      <c r="K10" s="19"/>
      <c r="L10" s="19"/>
      <c r="M10" s="19"/>
      <c r="N10" s="19"/>
      <c r="O10" s="17"/>
      <c r="P10" s="17">
        <f t="shared" si="0"/>
        <v>279.75</v>
      </c>
      <c r="Q10" s="18"/>
      <c r="R10" s="65"/>
      <c r="S10" s="66"/>
    </row>
    <row r="11" spans="1:19" ht="18" x14ac:dyDescent="0.2">
      <c r="A11" s="80"/>
      <c r="B11" s="2" t="s">
        <v>9</v>
      </c>
      <c r="C11" s="19">
        <v>1009</v>
      </c>
      <c r="D11" s="19">
        <v>1119</v>
      </c>
      <c r="E11" s="19">
        <v>1127.5</v>
      </c>
      <c r="F11" s="19">
        <v>1136</v>
      </c>
      <c r="G11" s="19">
        <v>1052</v>
      </c>
      <c r="H11" s="19">
        <v>1058</v>
      </c>
      <c r="I11" s="19">
        <v>1074</v>
      </c>
      <c r="J11" s="19">
        <v>1077</v>
      </c>
      <c r="K11" s="19"/>
      <c r="L11" s="19"/>
      <c r="M11" s="19"/>
      <c r="N11" s="19"/>
      <c r="O11" s="17"/>
      <c r="P11" s="17">
        <f t="shared" si="0"/>
        <v>1081.5625</v>
      </c>
      <c r="Q11" s="18"/>
      <c r="R11" s="65"/>
      <c r="S11" s="66"/>
    </row>
    <row r="12" spans="1:19" ht="18" x14ac:dyDescent="0.2">
      <c r="A12" s="80"/>
      <c r="B12" s="2" t="s">
        <v>10</v>
      </c>
      <c r="C12" s="19">
        <v>661</v>
      </c>
      <c r="D12" s="19">
        <v>655</v>
      </c>
      <c r="E12" s="19">
        <v>648</v>
      </c>
      <c r="F12" s="19">
        <v>641</v>
      </c>
      <c r="G12" s="19">
        <v>736</v>
      </c>
      <c r="H12" s="19">
        <v>760</v>
      </c>
      <c r="I12" s="19">
        <v>776</v>
      </c>
      <c r="J12" s="19">
        <v>796</v>
      </c>
      <c r="K12" s="19"/>
      <c r="L12" s="19"/>
      <c r="M12" s="19"/>
      <c r="N12" s="19"/>
      <c r="O12" s="17"/>
      <c r="P12" s="17">
        <f t="shared" si="0"/>
        <v>709.125</v>
      </c>
      <c r="Q12" s="18"/>
      <c r="R12" s="65"/>
      <c r="S12" s="66"/>
    </row>
    <row r="13" spans="1:19" ht="18" x14ac:dyDescent="0.2">
      <c r="A13" s="80"/>
      <c r="B13" s="2" t="s">
        <v>139</v>
      </c>
      <c r="C13" s="24">
        <f t="shared" ref="C13:H13" si="1">C11+C12</f>
        <v>1670</v>
      </c>
      <c r="D13" s="24">
        <f t="shared" si="1"/>
        <v>1774</v>
      </c>
      <c r="E13" s="24">
        <f t="shared" si="1"/>
        <v>1775.5</v>
      </c>
      <c r="F13" s="24">
        <f t="shared" si="1"/>
        <v>1777</v>
      </c>
      <c r="G13" s="24">
        <f t="shared" si="1"/>
        <v>1788</v>
      </c>
      <c r="H13" s="24">
        <f t="shared" si="1"/>
        <v>1818</v>
      </c>
      <c r="I13" s="24">
        <f t="shared" ref="I13:J13" si="2">I11+I12</f>
        <v>1850</v>
      </c>
      <c r="J13" s="24">
        <f t="shared" si="2"/>
        <v>1873</v>
      </c>
      <c r="K13" s="24"/>
      <c r="L13" s="24"/>
      <c r="M13" s="24"/>
      <c r="N13" s="24"/>
      <c r="O13" s="17"/>
      <c r="P13" s="17">
        <f t="shared" si="0"/>
        <v>1790.6875</v>
      </c>
      <c r="Q13" s="18"/>
      <c r="R13" s="65"/>
      <c r="S13" s="66"/>
    </row>
    <row r="14" spans="1:19" ht="18" x14ac:dyDescent="0.2">
      <c r="A14" s="80"/>
      <c r="B14" s="2" t="s">
        <v>151</v>
      </c>
      <c r="C14" s="24">
        <f t="shared" ref="C14:H14" si="3">C13+C6</f>
        <v>3485</v>
      </c>
      <c r="D14" s="24">
        <f t="shared" si="3"/>
        <v>3546</v>
      </c>
      <c r="E14" s="24">
        <f t="shared" si="3"/>
        <v>3567.5</v>
      </c>
      <c r="F14" s="24">
        <f t="shared" si="3"/>
        <v>3589</v>
      </c>
      <c r="G14" s="24">
        <f t="shared" si="3"/>
        <v>3603</v>
      </c>
      <c r="H14" s="24">
        <f t="shared" si="3"/>
        <v>3648</v>
      </c>
      <c r="I14" s="24">
        <f t="shared" ref="I14:J14" si="4">I13+I6</f>
        <v>3680</v>
      </c>
      <c r="J14" s="24">
        <f t="shared" si="4"/>
        <v>3708</v>
      </c>
      <c r="K14" s="24"/>
      <c r="L14" s="24"/>
      <c r="M14" s="24"/>
      <c r="N14" s="24"/>
      <c r="O14" s="17"/>
      <c r="P14" s="17"/>
      <c r="Q14" s="18"/>
      <c r="R14" s="65"/>
      <c r="S14" s="66"/>
    </row>
    <row r="15" spans="1:19" ht="18" x14ac:dyDescent="0.2">
      <c r="A15" s="80"/>
      <c r="B15" s="2" t="s">
        <v>11</v>
      </c>
      <c r="C15" s="19">
        <v>933</v>
      </c>
      <c r="D15" s="19">
        <v>879</v>
      </c>
      <c r="E15" s="19">
        <v>864</v>
      </c>
      <c r="F15" s="19">
        <f>627+222</f>
        <v>849</v>
      </c>
      <c r="G15" s="19">
        <v>809</v>
      </c>
      <c r="H15" s="19">
        <v>806</v>
      </c>
      <c r="I15" s="19">
        <v>882</v>
      </c>
      <c r="J15" s="19">
        <v>882</v>
      </c>
      <c r="K15" s="19"/>
      <c r="L15" s="19"/>
      <c r="M15" s="19"/>
      <c r="N15" s="19"/>
      <c r="O15" s="17"/>
      <c r="P15" s="17">
        <f t="shared" si="0"/>
        <v>863</v>
      </c>
      <c r="Q15" s="18"/>
      <c r="R15" s="65"/>
      <c r="S15" s="66"/>
    </row>
    <row r="16" spans="1:19" ht="18" x14ac:dyDescent="0.2">
      <c r="A16" s="80"/>
      <c r="B16" s="2" t="s">
        <v>12</v>
      </c>
      <c r="C16" s="19">
        <v>39</v>
      </c>
      <c r="D16" s="19">
        <v>43</v>
      </c>
      <c r="E16" s="19">
        <v>54</v>
      </c>
      <c r="F16" s="19">
        <v>65</v>
      </c>
      <c r="G16" s="19">
        <v>69</v>
      </c>
      <c r="H16" s="19">
        <v>69</v>
      </c>
      <c r="I16" s="19">
        <v>61</v>
      </c>
      <c r="J16" s="19">
        <v>64</v>
      </c>
      <c r="K16" s="19"/>
      <c r="L16" s="19"/>
      <c r="M16" s="19"/>
      <c r="N16" s="19"/>
      <c r="O16" s="17"/>
      <c r="P16" s="17">
        <f t="shared" si="0"/>
        <v>58</v>
      </c>
      <c r="Q16" s="18"/>
      <c r="R16" s="65"/>
      <c r="S16" s="66"/>
    </row>
    <row r="17" spans="1:19" ht="18" x14ac:dyDescent="0.2">
      <c r="A17" s="80"/>
      <c r="B17" s="2" t="s">
        <v>13</v>
      </c>
      <c r="C17" s="19">
        <v>224</v>
      </c>
      <c r="D17" s="19">
        <v>214</v>
      </c>
      <c r="E17" s="19">
        <v>216.5</v>
      </c>
      <c r="F17" s="19">
        <v>219</v>
      </c>
      <c r="G17" s="19">
        <v>230</v>
      </c>
      <c r="H17" s="19">
        <v>224</v>
      </c>
      <c r="I17" s="19">
        <v>226</v>
      </c>
      <c r="J17" s="19">
        <v>224</v>
      </c>
      <c r="K17" s="19"/>
      <c r="L17" s="19"/>
      <c r="M17" s="19"/>
      <c r="N17" s="19"/>
      <c r="O17" s="17"/>
      <c r="P17" s="17">
        <f t="shared" si="0"/>
        <v>222.1875</v>
      </c>
      <c r="Q17" s="18"/>
      <c r="R17" s="65"/>
      <c r="S17" s="66"/>
    </row>
    <row r="18" spans="1:19" ht="18" x14ac:dyDescent="0.2">
      <c r="A18" s="80"/>
      <c r="B18" s="2" t="s">
        <v>14</v>
      </c>
      <c r="C18" s="19">
        <v>40</v>
      </c>
      <c r="D18" s="19">
        <v>47</v>
      </c>
      <c r="E18" s="19">
        <v>48</v>
      </c>
      <c r="F18" s="19">
        <v>43</v>
      </c>
      <c r="G18" s="19">
        <v>53</v>
      </c>
      <c r="H18" s="19">
        <v>72</v>
      </c>
      <c r="I18" s="19">
        <v>48</v>
      </c>
      <c r="J18" s="19"/>
      <c r="K18" s="19"/>
      <c r="L18" s="19"/>
      <c r="M18" s="19"/>
      <c r="N18" s="19"/>
      <c r="O18" s="17"/>
      <c r="P18" s="17">
        <f t="shared" si="0"/>
        <v>50.142857142857146</v>
      </c>
      <c r="Q18" s="18"/>
      <c r="R18" s="65"/>
      <c r="S18" s="66"/>
    </row>
    <row r="19" spans="1:19" ht="18" x14ac:dyDescent="0.2">
      <c r="A19" s="80"/>
      <c r="B19" s="2" t="s">
        <v>15</v>
      </c>
      <c r="C19" s="19">
        <v>14</v>
      </c>
      <c r="D19" s="19">
        <v>27</v>
      </c>
      <c r="E19" s="19">
        <v>21</v>
      </c>
      <c r="F19" s="19">
        <v>14</v>
      </c>
      <c r="G19" s="19">
        <v>17</v>
      </c>
      <c r="H19" s="19">
        <v>25</v>
      </c>
      <c r="I19" s="19">
        <v>16</v>
      </c>
      <c r="J19" s="19"/>
      <c r="K19" s="19"/>
      <c r="L19" s="19"/>
      <c r="M19" s="19"/>
      <c r="N19" s="19"/>
      <c r="O19" s="17"/>
      <c r="P19" s="17">
        <f t="shared" si="0"/>
        <v>19.142857142857142</v>
      </c>
      <c r="Q19" s="18"/>
      <c r="R19" s="65"/>
      <c r="S19" s="66"/>
    </row>
    <row r="20" spans="1:19" ht="18" x14ac:dyDescent="0.2">
      <c r="A20" s="80"/>
      <c r="B20" s="2" t="s">
        <v>16</v>
      </c>
      <c r="C20" s="19">
        <v>15</v>
      </c>
      <c r="D20" s="19">
        <v>7</v>
      </c>
      <c r="E20" s="19">
        <v>15</v>
      </c>
      <c r="F20" s="19">
        <v>9</v>
      </c>
      <c r="G20" s="19">
        <v>5</v>
      </c>
      <c r="H20" s="19">
        <v>9</v>
      </c>
      <c r="I20" s="19">
        <v>6</v>
      </c>
      <c r="J20" s="19"/>
      <c r="K20" s="19"/>
      <c r="L20" s="19"/>
      <c r="M20" s="19"/>
      <c r="N20" s="19"/>
      <c r="O20" s="17"/>
      <c r="P20" s="17">
        <f t="shared" si="0"/>
        <v>9.4285714285714288</v>
      </c>
      <c r="Q20" s="18"/>
      <c r="R20" s="65"/>
      <c r="S20" s="66"/>
    </row>
    <row r="21" spans="1:19" ht="18" x14ac:dyDescent="0.2">
      <c r="A21" s="80"/>
      <c r="B21" s="2" t="s">
        <v>17</v>
      </c>
      <c r="C21" s="19">
        <v>19</v>
      </c>
      <c r="D21" s="19">
        <v>13</v>
      </c>
      <c r="E21" s="19">
        <v>21</v>
      </c>
      <c r="F21" s="19">
        <v>11</v>
      </c>
      <c r="G21" s="19">
        <v>15</v>
      </c>
      <c r="H21" s="19">
        <v>11</v>
      </c>
      <c r="I21" s="19">
        <v>8</v>
      </c>
      <c r="J21" s="19"/>
      <c r="K21" s="19"/>
      <c r="L21" s="19"/>
      <c r="M21" s="19"/>
      <c r="N21" s="19"/>
      <c r="O21" s="17"/>
      <c r="P21" s="17">
        <f t="shared" si="0"/>
        <v>14</v>
      </c>
      <c r="Q21" s="18"/>
      <c r="R21" s="65"/>
      <c r="S21" s="66"/>
    </row>
    <row r="22" spans="1:19" ht="18" x14ac:dyDescent="0.2">
      <c r="A22" s="80"/>
      <c r="B22" s="2" t="s">
        <v>18</v>
      </c>
      <c r="C22" s="19">
        <v>670</v>
      </c>
      <c r="D22" s="19">
        <v>640</v>
      </c>
      <c r="E22" s="19">
        <v>655</v>
      </c>
      <c r="F22" s="19">
        <v>671</v>
      </c>
      <c r="G22" s="19">
        <v>663</v>
      </c>
      <c r="H22" s="19">
        <v>679</v>
      </c>
      <c r="I22" s="19">
        <v>703</v>
      </c>
      <c r="J22" s="19">
        <v>716</v>
      </c>
      <c r="K22" s="19"/>
      <c r="L22" s="19"/>
      <c r="M22" s="19"/>
      <c r="N22" s="19"/>
      <c r="O22" s="17"/>
      <c r="P22" s="17">
        <f t="shared" si="0"/>
        <v>674.625</v>
      </c>
      <c r="Q22" s="18"/>
      <c r="R22" s="65"/>
      <c r="S22" s="66"/>
    </row>
    <row r="23" spans="1:19" ht="18" x14ac:dyDescent="0.2">
      <c r="A23" s="80"/>
      <c r="B23" s="2" t="s">
        <v>19</v>
      </c>
      <c r="C23" s="19">
        <v>519</v>
      </c>
      <c r="D23" s="19">
        <v>499</v>
      </c>
      <c r="E23" s="19">
        <v>511</v>
      </c>
      <c r="F23" s="19">
        <v>524</v>
      </c>
      <c r="G23" s="19">
        <v>524</v>
      </c>
      <c r="H23" s="19">
        <v>528</v>
      </c>
      <c r="I23" s="19">
        <v>527</v>
      </c>
      <c r="J23" s="19">
        <v>524</v>
      </c>
      <c r="K23" s="19"/>
      <c r="L23" s="19"/>
      <c r="M23" s="19"/>
      <c r="N23" s="19"/>
      <c r="O23" s="17"/>
      <c r="P23" s="17">
        <f t="shared" si="0"/>
        <v>519.5</v>
      </c>
      <c r="Q23" s="18"/>
      <c r="R23" s="65"/>
      <c r="S23" s="66"/>
    </row>
    <row r="24" spans="1:19" ht="18" x14ac:dyDescent="0.2">
      <c r="A24" s="80"/>
      <c r="B24" s="2" t="s">
        <v>20</v>
      </c>
      <c r="C24" s="24">
        <f t="shared" ref="C24:J24" si="5">C7-(C22+C23)</f>
        <v>391</v>
      </c>
      <c r="D24" s="24">
        <f t="shared" si="5"/>
        <v>379</v>
      </c>
      <c r="E24" s="24">
        <f t="shared" si="5"/>
        <v>388</v>
      </c>
      <c r="F24" s="24">
        <f t="shared" si="5"/>
        <v>395</v>
      </c>
      <c r="G24" s="24">
        <f t="shared" si="5"/>
        <v>401</v>
      </c>
      <c r="H24" s="24">
        <f t="shared" si="5"/>
        <v>409</v>
      </c>
      <c r="I24" s="24">
        <f t="shared" si="5"/>
        <v>400</v>
      </c>
      <c r="J24" s="24">
        <f t="shared" si="5"/>
        <v>400</v>
      </c>
      <c r="K24" s="24"/>
      <c r="L24" s="24"/>
      <c r="M24" s="24"/>
      <c r="N24" s="24"/>
      <c r="O24" s="17"/>
      <c r="P24" s="17">
        <f t="shared" si="0"/>
        <v>395.375</v>
      </c>
      <c r="Q24" s="18"/>
      <c r="R24" s="65"/>
      <c r="S24" s="66"/>
    </row>
    <row r="25" spans="1:19" ht="18" x14ac:dyDescent="0.2">
      <c r="A25" s="80"/>
      <c r="B25" s="2" t="s">
        <v>21</v>
      </c>
      <c r="C25" s="19">
        <v>154</v>
      </c>
      <c r="D25" s="19">
        <v>178</v>
      </c>
      <c r="E25" s="19">
        <v>202</v>
      </c>
      <c r="F25" s="19">
        <v>172</v>
      </c>
      <c r="G25" s="19">
        <v>168</v>
      </c>
      <c r="H25" s="19">
        <v>166</v>
      </c>
      <c r="I25" s="19">
        <v>163</v>
      </c>
      <c r="J25" s="19"/>
      <c r="K25" s="19"/>
      <c r="L25" s="19"/>
      <c r="M25" s="19"/>
      <c r="N25" s="19"/>
      <c r="O25" s="17"/>
      <c r="P25" s="17">
        <f t="shared" si="0"/>
        <v>171.85714285714286</v>
      </c>
      <c r="Q25" s="18"/>
      <c r="R25" s="65"/>
      <c r="S25" s="66"/>
    </row>
    <row r="26" spans="1:19" ht="18" x14ac:dyDescent="0.2">
      <c r="A26" s="80"/>
      <c r="B26" s="2" t="s">
        <v>22</v>
      </c>
      <c r="C26" s="19">
        <v>98</v>
      </c>
      <c r="D26" s="19">
        <v>90</v>
      </c>
      <c r="E26" s="19">
        <v>126</v>
      </c>
      <c r="F26" s="19">
        <v>90</v>
      </c>
      <c r="G26" s="19">
        <v>99</v>
      </c>
      <c r="H26" s="19">
        <v>101</v>
      </c>
      <c r="I26" s="19">
        <v>103</v>
      </c>
      <c r="J26" s="19"/>
      <c r="K26" s="19"/>
      <c r="L26" s="19"/>
      <c r="M26" s="19"/>
      <c r="N26" s="19"/>
      <c r="O26" s="17"/>
      <c r="P26" s="17">
        <f t="shared" si="0"/>
        <v>101</v>
      </c>
      <c r="Q26" s="18"/>
      <c r="R26" s="65"/>
      <c r="S26" s="66"/>
    </row>
    <row r="27" spans="1:19" ht="18" x14ac:dyDescent="0.2">
      <c r="A27" s="80"/>
      <c r="B27" s="2" t="s">
        <v>23</v>
      </c>
      <c r="C27" s="19">
        <v>10</v>
      </c>
      <c r="D27" s="19">
        <v>4</v>
      </c>
      <c r="E27" s="19">
        <v>6</v>
      </c>
      <c r="F27" s="19">
        <v>11</v>
      </c>
      <c r="G27" s="19">
        <v>10</v>
      </c>
      <c r="H27" s="19">
        <v>8</v>
      </c>
      <c r="I27" s="19">
        <v>5</v>
      </c>
      <c r="J27" s="19"/>
      <c r="K27" s="19"/>
      <c r="L27" s="19"/>
      <c r="M27" s="19"/>
      <c r="N27" s="19"/>
      <c r="O27" s="17"/>
      <c r="P27" s="17">
        <f t="shared" si="0"/>
        <v>7.7142857142857144</v>
      </c>
      <c r="Q27" s="18"/>
      <c r="R27" s="65"/>
      <c r="S27" s="66"/>
    </row>
    <row r="28" spans="1:19" ht="18" x14ac:dyDescent="0.2">
      <c r="A28" s="80"/>
      <c r="B28" s="2" t="s">
        <v>24</v>
      </c>
      <c r="C28" s="19">
        <v>3</v>
      </c>
      <c r="D28" s="19">
        <v>4</v>
      </c>
      <c r="E28" s="19">
        <v>3</v>
      </c>
      <c r="F28" s="19">
        <v>6</v>
      </c>
      <c r="G28" s="19">
        <v>2</v>
      </c>
      <c r="H28" s="19">
        <v>2</v>
      </c>
      <c r="I28" s="19">
        <v>1</v>
      </c>
      <c r="J28" s="19"/>
      <c r="K28" s="19"/>
      <c r="L28" s="19"/>
      <c r="M28" s="19"/>
      <c r="N28" s="19"/>
      <c r="O28" s="17"/>
      <c r="P28" s="17">
        <f t="shared" si="0"/>
        <v>3</v>
      </c>
      <c r="Q28" s="18"/>
      <c r="R28" s="65"/>
      <c r="S28" s="66"/>
    </row>
    <row r="29" spans="1:19" ht="18" x14ac:dyDescent="0.2">
      <c r="A29" s="80"/>
      <c r="B29" s="2" t="s">
        <v>25</v>
      </c>
      <c r="C29" s="19">
        <v>0</v>
      </c>
      <c r="D29" s="19">
        <v>3</v>
      </c>
      <c r="E29" s="19">
        <v>5</v>
      </c>
      <c r="F29" s="19">
        <v>4</v>
      </c>
      <c r="G29" s="19">
        <v>9</v>
      </c>
      <c r="H29" s="19">
        <v>7</v>
      </c>
      <c r="I29" s="19">
        <v>8</v>
      </c>
      <c r="J29" s="19"/>
      <c r="K29" s="19"/>
      <c r="L29" s="19"/>
      <c r="M29" s="19"/>
      <c r="N29" s="19"/>
      <c r="O29" s="17"/>
      <c r="P29" s="17">
        <f t="shared" si="0"/>
        <v>5.1428571428571432</v>
      </c>
      <c r="Q29" s="18"/>
      <c r="R29" s="65"/>
      <c r="S29" s="66"/>
    </row>
    <row r="30" spans="1:19" ht="18" x14ac:dyDescent="0.2">
      <c r="A30" s="80"/>
      <c r="B30" s="2" t="s">
        <v>26</v>
      </c>
      <c r="C30" s="19">
        <v>1</v>
      </c>
      <c r="D30" s="19">
        <v>10</v>
      </c>
      <c r="E30" s="19">
        <v>6</v>
      </c>
      <c r="F30" s="19">
        <v>8</v>
      </c>
      <c r="G30" s="19">
        <v>10</v>
      </c>
      <c r="H30" s="19">
        <v>10</v>
      </c>
      <c r="I30" s="19">
        <v>9</v>
      </c>
      <c r="J30" s="19"/>
      <c r="K30" s="19"/>
      <c r="L30" s="19"/>
      <c r="M30" s="20"/>
      <c r="N30" s="19"/>
      <c r="O30" s="17"/>
      <c r="P30" s="17">
        <f t="shared" si="0"/>
        <v>7.7142857142857144</v>
      </c>
      <c r="Q30" s="18"/>
      <c r="R30" s="65"/>
      <c r="S30" s="66"/>
    </row>
    <row r="31" spans="1:19" ht="18" x14ac:dyDescent="0.2">
      <c r="A31" s="80"/>
      <c r="B31" s="2" t="s">
        <v>27</v>
      </c>
      <c r="C31" s="19">
        <v>3</v>
      </c>
      <c r="D31" s="19">
        <v>4</v>
      </c>
      <c r="E31" s="19">
        <v>7</v>
      </c>
      <c r="F31" s="19">
        <v>1</v>
      </c>
      <c r="G31" s="19">
        <v>3</v>
      </c>
      <c r="H31" s="19">
        <v>3</v>
      </c>
      <c r="I31" s="19">
        <v>4</v>
      </c>
      <c r="J31" s="19"/>
      <c r="K31" s="19"/>
      <c r="L31" s="19"/>
      <c r="M31" s="20"/>
      <c r="N31" s="19"/>
      <c r="O31" s="17"/>
      <c r="P31" s="17">
        <f t="shared" si="0"/>
        <v>3.5714285714285716</v>
      </c>
      <c r="Q31" s="18"/>
      <c r="R31" s="65"/>
      <c r="S31" s="66"/>
    </row>
    <row r="32" spans="1:19" ht="18" x14ac:dyDescent="0.2">
      <c r="A32" s="80"/>
      <c r="B32" s="2" t="s">
        <v>28</v>
      </c>
      <c r="C32" s="19">
        <v>19</v>
      </c>
      <c r="D32" s="19">
        <v>57</v>
      </c>
      <c r="E32" s="19">
        <v>75</v>
      </c>
      <c r="F32" s="19">
        <v>68</v>
      </c>
      <c r="G32" s="19">
        <v>35</v>
      </c>
      <c r="H32" s="19">
        <v>40</v>
      </c>
      <c r="I32" s="19">
        <v>37</v>
      </c>
      <c r="J32" s="19"/>
      <c r="K32" s="19"/>
      <c r="L32" s="19"/>
      <c r="M32" s="20"/>
      <c r="N32" s="19"/>
      <c r="O32" s="17"/>
      <c r="P32" s="17">
        <f t="shared" si="0"/>
        <v>47.285714285714285</v>
      </c>
      <c r="Q32" s="18"/>
      <c r="R32" s="65"/>
      <c r="S32" s="66"/>
    </row>
    <row r="33" spans="1:19" ht="18" x14ac:dyDescent="0.2">
      <c r="A33" s="80"/>
      <c r="B33" s="2" t="s">
        <v>29</v>
      </c>
      <c r="C33" s="19">
        <v>75</v>
      </c>
      <c r="D33" s="19">
        <v>50</v>
      </c>
      <c r="E33" s="19">
        <v>39</v>
      </c>
      <c r="F33" s="19">
        <v>64</v>
      </c>
      <c r="G33" s="19">
        <v>114</v>
      </c>
      <c r="H33" s="19">
        <v>103</v>
      </c>
      <c r="I33" s="19">
        <v>125</v>
      </c>
      <c r="J33" s="19"/>
      <c r="K33" s="19"/>
      <c r="L33" s="19"/>
      <c r="M33" s="19"/>
      <c r="N33" s="19"/>
      <c r="O33" s="17"/>
      <c r="P33" s="17">
        <f t="shared" si="0"/>
        <v>81.428571428571431</v>
      </c>
      <c r="Q33" s="18"/>
      <c r="R33" s="65"/>
      <c r="S33" s="66"/>
    </row>
    <row r="34" spans="1:19" ht="18" x14ac:dyDescent="0.2">
      <c r="A34" s="80"/>
      <c r="B34" s="2" t="s">
        <v>30</v>
      </c>
      <c r="C34" s="19">
        <v>85</v>
      </c>
      <c r="D34" s="19">
        <v>69</v>
      </c>
      <c r="E34" s="19">
        <v>103</v>
      </c>
      <c r="F34" s="19">
        <v>55</v>
      </c>
      <c r="G34" s="19">
        <v>59</v>
      </c>
      <c r="H34" s="19">
        <v>60</v>
      </c>
      <c r="I34" s="19">
        <v>73</v>
      </c>
      <c r="J34" s="19"/>
      <c r="K34" s="19"/>
      <c r="L34" s="19"/>
      <c r="M34" s="19"/>
      <c r="N34" s="19"/>
      <c r="O34" s="17"/>
      <c r="P34" s="17">
        <f t="shared" si="0"/>
        <v>72</v>
      </c>
      <c r="Q34" s="18"/>
      <c r="R34" s="65"/>
      <c r="S34" s="66"/>
    </row>
    <row r="35" spans="1:19" ht="18" x14ac:dyDescent="0.2">
      <c r="A35" s="80"/>
      <c r="B35" s="2" t="s">
        <v>31</v>
      </c>
      <c r="C35" s="19">
        <v>12</v>
      </c>
      <c r="D35" s="19">
        <v>8</v>
      </c>
      <c r="E35" s="19">
        <v>10</v>
      </c>
      <c r="F35" s="19">
        <v>25</v>
      </c>
      <c r="G35" s="19">
        <v>22</v>
      </c>
      <c r="H35" s="19">
        <v>32</v>
      </c>
      <c r="I35" s="19">
        <v>18</v>
      </c>
      <c r="J35" s="19"/>
      <c r="K35" s="19"/>
      <c r="L35" s="19"/>
      <c r="M35" s="19"/>
      <c r="N35" s="19"/>
      <c r="O35" s="17"/>
      <c r="P35" s="17">
        <f t="shared" si="0"/>
        <v>18.142857142857142</v>
      </c>
      <c r="Q35" s="18"/>
      <c r="R35" s="65"/>
      <c r="S35" s="66"/>
    </row>
    <row r="36" spans="1:19" ht="18" x14ac:dyDescent="0.2">
      <c r="A36" s="80"/>
      <c r="B36" s="2" t="s">
        <v>32</v>
      </c>
      <c r="C36" s="19">
        <v>1240</v>
      </c>
      <c r="D36" s="19">
        <v>1240</v>
      </c>
      <c r="E36" s="19">
        <v>1240</v>
      </c>
      <c r="F36" s="19">
        <v>1240</v>
      </c>
      <c r="G36" s="19">
        <v>1240</v>
      </c>
      <c r="H36" s="19">
        <v>1240</v>
      </c>
      <c r="I36" s="19">
        <v>1240</v>
      </c>
      <c r="J36" s="19"/>
      <c r="K36" s="19"/>
      <c r="L36" s="19"/>
      <c r="M36" s="19"/>
      <c r="N36" s="19"/>
      <c r="O36" s="17"/>
      <c r="P36" s="17">
        <f t="shared" si="0"/>
        <v>1240</v>
      </c>
      <c r="Q36" s="18"/>
      <c r="S36" s="66"/>
    </row>
    <row r="37" spans="1:19" ht="18" x14ac:dyDescent="0.2">
      <c r="A37" s="80"/>
      <c r="B37" s="2" t="s">
        <v>33</v>
      </c>
      <c r="C37" s="19">
        <v>126</v>
      </c>
      <c r="D37" s="19">
        <v>126</v>
      </c>
      <c r="E37" s="19">
        <v>126</v>
      </c>
      <c r="F37" s="19">
        <v>126</v>
      </c>
      <c r="G37" s="19">
        <v>126</v>
      </c>
      <c r="H37" s="19">
        <v>126</v>
      </c>
      <c r="I37" s="19">
        <v>126</v>
      </c>
      <c r="J37" s="19"/>
      <c r="K37" s="19"/>
      <c r="L37" s="19"/>
      <c r="M37" s="19"/>
      <c r="N37" s="19"/>
      <c r="O37" s="17"/>
      <c r="P37" s="17">
        <f t="shared" si="0"/>
        <v>126</v>
      </c>
      <c r="Q37" s="18"/>
      <c r="S37" s="66"/>
    </row>
    <row r="38" spans="1:19" ht="18" x14ac:dyDescent="0.2">
      <c r="A38" s="80"/>
      <c r="B38" s="2" t="s">
        <v>34</v>
      </c>
      <c r="C38" s="19">
        <v>742</v>
      </c>
      <c r="D38" s="19">
        <v>742</v>
      </c>
      <c r="E38" s="19">
        <v>742</v>
      </c>
      <c r="F38" s="19">
        <v>742</v>
      </c>
      <c r="G38" s="19">
        <v>742</v>
      </c>
      <c r="H38" s="19">
        <v>742</v>
      </c>
      <c r="I38" s="19">
        <v>742</v>
      </c>
      <c r="J38" s="19"/>
      <c r="K38" s="19"/>
      <c r="L38" s="19"/>
      <c r="M38" s="19"/>
      <c r="N38" s="19"/>
      <c r="O38" s="17"/>
      <c r="P38" s="17">
        <f>AVERAGE(C38:N38)</f>
        <v>742</v>
      </c>
      <c r="Q38" s="9"/>
      <c r="S38" s="66"/>
    </row>
    <row r="39" spans="1:19" ht="18" x14ac:dyDescent="0.2">
      <c r="A39" s="80"/>
      <c r="B39" s="2" t="s">
        <v>35</v>
      </c>
      <c r="C39" s="19">
        <v>40.78</v>
      </c>
      <c r="D39" s="19">
        <v>41.03</v>
      </c>
      <c r="E39" s="19">
        <v>41.21</v>
      </c>
      <c r="F39" s="19">
        <v>41.8</v>
      </c>
      <c r="G39" s="19">
        <v>41.2</v>
      </c>
      <c r="H39" s="19">
        <v>40.119999999999997</v>
      </c>
      <c r="I39" s="19">
        <v>40.299999999999997</v>
      </c>
      <c r="J39" s="19"/>
      <c r="K39" s="19"/>
      <c r="L39" s="19"/>
      <c r="M39" s="19"/>
      <c r="N39" s="19"/>
      <c r="O39" s="17"/>
      <c r="P39" s="17">
        <f t="shared" si="0"/>
        <v>40.92</v>
      </c>
      <c r="Q39" s="9"/>
      <c r="S39" s="66"/>
    </row>
    <row r="40" spans="1:19" ht="18" x14ac:dyDescent="0.2">
      <c r="A40" s="80"/>
      <c r="B40" s="2" t="s">
        <v>36</v>
      </c>
      <c r="C40" s="19">
        <v>108</v>
      </c>
      <c r="D40" s="19">
        <v>117.1</v>
      </c>
      <c r="E40" s="19">
        <v>113.2</v>
      </c>
      <c r="F40" s="19">
        <v>110</v>
      </c>
      <c r="G40" s="19">
        <v>110.8</v>
      </c>
      <c r="H40" s="19">
        <v>110.17</v>
      </c>
      <c r="I40" s="19">
        <v>113.8</v>
      </c>
      <c r="J40" s="19"/>
      <c r="K40" s="19"/>
      <c r="L40" s="19"/>
      <c r="M40" s="19"/>
      <c r="N40" s="19"/>
      <c r="O40" s="17"/>
      <c r="P40" s="17">
        <f t="shared" si="0"/>
        <v>111.86714285714285</v>
      </c>
      <c r="Q40" s="9"/>
      <c r="S40" s="66"/>
    </row>
    <row r="41" spans="1:19" ht="19" thickBot="1" x14ac:dyDescent="0.25">
      <c r="A41" s="81"/>
      <c r="B41" s="10" t="s">
        <v>37</v>
      </c>
      <c r="C41" s="29">
        <v>93</v>
      </c>
      <c r="D41" s="29">
        <v>94</v>
      </c>
      <c r="E41" s="29">
        <v>92.3</v>
      </c>
      <c r="F41" s="29">
        <v>89</v>
      </c>
      <c r="G41" s="29">
        <v>90.5</v>
      </c>
      <c r="H41" s="29">
        <v>91.1</v>
      </c>
      <c r="I41" s="29">
        <v>93</v>
      </c>
      <c r="J41" s="29"/>
      <c r="K41" s="29"/>
      <c r="L41" s="29"/>
      <c r="M41" s="29"/>
      <c r="N41" s="29"/>
      <c r="O41" s="26"/>
      <c r="P41" s="26">
        <f>AVERAGE(C41:O41)</f>
        <v>91.842857142857142</v>
      </c>
      <c r="Q41" s="11"/>
      <c r="S41" s="66"/>
    </row>
    <row r="42" spans="1:19" ht="26" thickBot="1" x14ac:dyDescent="0.3">
      <c r="A42" s="1"/>
      <c r="B42" s="2" t="s">
        <v>137</v>
      </c>
      <c r="C42" s="12">
        <f>((C50/C49)*100)-100</f>
        <v>7.9585367943116694</v>
      </c>
      <c r="D42" s="12">
        <f>((D50/D49)*100)-100</f>
        <v>7.2228423916835425</v>
      </c>
      <c r="E42" s="12">
        <f>((E50/E49)*100)-100</f>
        <v>6.1798834380523999</v>
      </c>
      <c r="F42" s="12">
        <f>((F50/F49)*100)-100</f>
        <v>5.8634662271213216</v>
      </c>
      <c r="G42" s="12">
        <f>((G50/G49)*100)-100</f>
        <v>8.8424899747889185</v>
      </c>
      <c r="H42" s="12">
        <f t="shared" ref="H42:J42" si="6">((H50/H49)*100)-100</f>
        <v>14.407331363613608</v>
      </c>
      <c r="I42" s="12">
        <f t="shared" si="6"/>
        <v>16.410478458540794</v>
      </c>
      <c r="J42" s="12">
        <f t="shared" si="6"/>
        <v>8.9232874097171475</v>
      </c>
      <c r="K42" s="12"/>
      <c r="L42" s="12"/>
      <c r="M42" s="12"/>
      <c r="N42" s="12"/>
      <c r="O42" s="12"/>
      <c r="P42" s="27">
        <f>AVERAGE(C42:N42)</f>
        <v>9.4760395072286752</v>
      </c>
      <c r="Q42" s="12"/>
      <c r="S42" s="66"/>
    </row>
    <row r="43" spans="1:19" ht="18" x14ac:dyDescent="0.2">
      <c r="A43" s="71" t="s">
        <v>38</v>
      </c>
      <c r="B43" s="5" t="s">
        <v>39</v>
      </c>
      <c r="C43" s="30">
        <f>IFERROR(C7/C6*100,"")</f>
        <v>87.052341597796143</v>
      </c>
      <c r="D43" s="30">
        <f>IFERROR(D7/D6*100,"")</f>
        <v>85.665914221218969</v>
      </c>
      <c r="E43" s="30">
        <f>IFERROR(E7/E6*100,"")</f>
        <v>86.71875</v>
      </c>
      <c r="F43" s="30">
        <f>IFERROR(F7/F6*100,"")</f>
        <v>87.748344370860934</v>
      </c>
      <c r="G43" s="30">
        <f>IFERROR(G7/G6*100,"")</f>
        <v>87.493112947658403</v>
      </c>
      <c r="H43" s="30">
        <f t="shared" ref="H43:I43" si="7">IFERROR(H7/H6*100,"")</f>
        <v>88.306010928961754</v>
      </c>
      <c r="I43" s="30">
        <f t="shared" si="7"/>
        <v>89.071038251366119</v>
      </c>
      <c r="J43" s="30">
        <f t="shared" ref="J43" si="8">IFERROR(J7/J6*100,"")</f>
        <v>89.373297002724797</v>
      </c>
      <c r="K43" s="30"/>
      <c r="L43" s="30"/>
      <c r="M43" s="30"/>
      <c r="N43" s="30"/>
      <c r="O43" s="25"/>
      <c r="P43" s="25">
        <f>AVERAGE(C43:N43)</f>
        <v>87.678601165073388</v>
      </c>
      <c r="Q43" s="7"/>
      <c r="S43" s="66"/>
    </row>
    <row r="44" spans="1:19" ht="18" x14ac:dyDescent="0.2">
      <c r="A44" s="72"/>
      <c r="B44" s="2" t="s">
        <v>40</v>
      </c>
      <c r="C44" s="24">
        <f>IFERROR(100-C43,"")</f>
        <v>12.947658402203857</v>
      </c>
      <c r="D44" s="24">
        <f>IFERROR(100-D43,"")</f>
        <v>14.334085778781031</v>
      </c>
      <c r="E44" s="24">
        <f>IFERROR(100-E43,"")</f>
        <v>13.28125</v>
      </c>
      <c r="F44" s="24">
        <f>IFERROR(100-F43,"")</f>
        <v>12.251655629139066</v>
      </c>
      <c r="G44" s="24">
        <f>IFERROR(100-G43,"")</f>
        <v>12.506887052341597</v>
      </c>
      <c r="H44" s="24">
        <f t="shared" ref="H44:I44" si="9">IFERROR(100-H43,"")</f>
        <v>11.693989071038246</v>
      </c>
      <c r="I44" s="24">
        <f t="shared" si="9"/>
        <v>10.928961748633881</v>
      </c>
      <c r="J44" s="24">
        <f t="shared" ref="J44" si="10">IFERROR(100-J43,"")</f>
        <v>10.626702997275203</v>
      </c>
      <c r="K44" s="24"/>
      <c r="L44" s="24"/>
      <c r="M44" s="24"/>
      <c r="N44" s="24"/>
      <c r="O44" s="17"/>
      <c r="P44" s="17">
        <f t="shared" si="0"/>
        <v>12.32139883492661</v>
      </c>
      <c r="Q44" s="9"/>
      <c r="S44" s="66"/>
    </row>
    <row r="45" spans="1:19" ht="18" x14ac:dyDescent="0.2">
      <c r="A45" s="72"/>
      <c r="B45" s="2" t="s">
        <v>41</v>
      </c>
      <c r="C45" s="24">
        <f>IFERROR(C16/C7*100,"")</f>
        <v>2.4683544303797467</v>
      </c>
      <c r="D45" s="24">
        <f>IFERROR(D16/D7*100,"")</f>
        <v>2.8326745718050064</v>
      </c>
      <c r="E45" s="24">
        <f>IFERROR(E16/E7*100,"")</f>
        <v>3.4749034749034751</v>
      </c>
      <c r="F45" s="24">
        <f>IFERROR(F16/F7*100,"")</f>
        <v>4.0880503144654083</v>
      </c>
      <c r="G45" s="24">
        <f>IFERROR(G16/G7*100,"")</f>
        <v>4.3450881612090679</v>
      </c>
      <c r="H45" s="24">
        <f t="shared" ref="H45:I45" si="11">IFERROR(H16/H7*100,"")</f>
        <v>4.2698019801980198</v>
      </c>
      <c r="I45" s="24">
        <f t="shared" si="11"/>
        <v>3.742331288343558</v>
      </c>
      <c r="J45" s="24">
        <f t="shared" ref="J45" si="12">IFERROR(J16/J7*100,"")</f>
        <v>3.9024390243902438</v>
      </c>
      <c r="K45" s="24"/>
      <c r="L45" s="24"/>
      <c r="M45" s="24"/>
      <c r="N45" s="24"/>
      <c r="O45" s="17"/>
      <c r="P45" s="17">
        <f t="shared" si="0"/>
        <v>3.6404554057118159</v>
      </c>
      <c r="Q45" s="9"/>
      <c r="S45" s="66"/>
    </row>
    <row r="46" spans="1:19" ht="18" x14ac:dyDescent="0.2">
      <c r="A46" s="72"/>
      <c r="B46" s="2" t="s">
        <v>42</v>
      </c>
      <c r="C46" s="24">
        <f>IFERROR(C22/(C22+C23+C24)*100,"")</f>
        <v>42.405063291139236</v>
      </c>
      <c r="D46" s="24">
        <f>IFERROR(D22/(D22+D23+D24)*100,"")</f>
        <v>42.160737812911727</v>
      </c>
      <c r="E46" s="24">
        <f>IFERROR(E22/(E22+E23+E24)*100,"")</f>
        <v>42.149292149292151</v>
      </c>
      <c r="F46" s="24">
        <f>IFERROR(F22/(F22+F23+F24)*100,"")</f>
        <v>42.20125786163522</v>
      </c>
      <c r="G46" s="24">
        <f>IFERROR(G22/(G22+G23+G24)*100,"")</f>
        <v>41.750629722921914</v>
      </c>
      <c r="H46" s="24">
        <f t="shared" ref="H46:I46" si="13">IFERROR(H22/(H22+H23+H24)*100,"")</f>
        <v>42.017326732673268</v>
      </c>
      <c r="I46" s="24">
        <f t="shared" si="13"/>
        <v>43.128834355828225</v>
      </c>
      <c r="J46" s="24">
        <f t="shared" ref="J46" si="14">IFERROR(J22/(J22+J23+J24)*100,"")</f>
        <v>43.658536585365852</v>
      </c>
      <c r="K46" s="24"/>
      <c r="L46" s="24"/>
      <c r="M46" s="24"/>
      <c r="N46" s="24"/>
      <c r="O46" s="17"/>
      <c r="P46" s="17">
        <f t="shared" si="0"/>
        <v>42.433959813970958</v>
      </c>
      <c r="Q46" s="9"/>
      <c r="S46" s="66"/>
    </row>
    <row r="47" spans="1:19" ht="18" x14ac:dyDescent="0.2">
      <c r="A47" s="72"/>
      <c r="B47" s="2" t="s">
        <v>43</v>
      </c>
      <c r="C47" s="24">
        <f>IFERROR(C23/(C22+C23+C24)*100,"")</f>
        <v>32.848101265822784</v>
      </c>
      <c r="D47" s="24">
        <f>IFERROR(D23/(D22+D23+D24)*100,"")</f>
        <v>32.872200263504617</v>
      </c>
      <c r="E47" s="24">
        <f>IFERROR(E23/(E22+E23+E24)*100,"")</f>
        <v>32.882882882882889</v>
      </c>
      <c r="F47" s="24">
        <f>IFERROR(F23/(F22+F23+F24)*100,"")</f>
        <v>32.955974842767297</v>
      </c>
      <c r="G47" s="24">
        <f>IFERROR(G23/(G22+G23+G24)*100,"")</f>
        <v>32.997481108312343</v>
      </c>
      <c r="H47" s="24">
        <f t="shared" ref="H47:I47" si="15">IFERROR(H23/(H22+H23+H24)*100,"")</f>
        <v>32.673267326732677</v>
      </c>
      <c r="I47" s="24">
        <f t="shared" si="15"/>
        <v>32.331288343558285</v>
      </c>
      <c r="J47" s="24">
        <f t="shared" ref="J47" si="16">IFERROR(J23/(J22+J23+J24)*100,"")</f>
        <v>31.951219512195124</v>
      </c>
      <c r="K47" s="24"/>
      <c r="L47" s="24"/>
      <c r="M47" s="24"/>
      <c r="N47" s="24"/>
      <c r="O47" s="17"/>
      <c r="P47" s="17">
        <f t="shared" si="0"/>
        <v>32.689051943221997</v>
      </c>
      <c r="Q47" s="9"/>
      <c r="S47" s="66"/>
    </row>
    <row r="48" spans="1:19" ht="18" x14ac:dyDescent="0.2">
      <c r="A48" s="72"/>
      <c r="B48" s="2" t="s">
        <v>44</v>
      </c>
      <c r="C48" s="24">
        <f>IFERROR(C24/(C22+C23+C24)*100,"")</f>
        <v>24.746835443037973</v>
      </c>
      <c r="D48" s="24">
        <f>IFERROR(D24/(D22+D23+D24)*100,"")</f>
        <v>24.967061923583664</v>
      </c>
      <c r="E48" s="24">
        <f>IFERROR(E24/(E22+E23+E24)*100,"")</f>
        <v>24.967824967824967</v>
      </c>
      <c r="F48" s="24">
        <f>IFERROR(F24/(F22+F23+F24)*100,"")</f>
        <v>24.842767295597483</v>
      </c>
      <c r="G48" s="24">
        <f>IFERROR(G24/(G22+G23+G24)*100,"")</f>
        <v>25.251889168765747</v>
      </c>
      <c r="H48" s="24">
        <f t="shared" ref="H48:I48" si="17">IFERROR(H24/(H22+H23+H24)*100,"")</f>
        <v>25.309405940594061</v>
      </c>
      <c r="I48" s="24">
        <f t="shared" si="17"/>
        <v>24.539877300613497</v>
      </c>
      <c r="J48" s="24">
        <f t="shared" ref="J48" si="18">IFERROR(J24/(J22+J23+J24)*100,"")</f>
        <v>24.390243902439025</v>
      </c>
      <c r="K48" s="24"/>
      <c r="L48" s="24"/>
      <c r="M48" s="24"/>
      <c r="N48" s="24"/>
      <c r="O48" s="17"/>
      <c r="P48" s="17">
        <f t="shared" si="0"/>
        <v>24.876988242807052</v>
      </c>
      <c r="Q48" s="9"/>
      <c r="S48" s="66"/>
    </row>
    <row r="49" spans="1:19" ht="18" x14ac:dyDescent="0.2">
      <c r="A49" s="72"/>
      <c r="B49" s="15" t="s">
        <v>45</v>
      </c>
      <c r="C49" s="22">
        <v>58365</v>
      </c>
      <c r="D49" s="22">
        <v>57332</v>
      </c>
      <c r="E49" s="22">
        <v>57137</v>
      </c>
      <c r="F49" s="22">
        <v>58242</v>
      </c>
      <c r="G49" s="22">
        <v>59101</v>
      </c>
      <c r="H49" s="22">
        <v>59907</v>
      </c>
      <c r="I49" s="22">
        <v>60047</v>
      </c>
      <c r="J49" s="22">
        <v>62858</v>
      </c>
      <c r="K49" s="22">
        <v>63029</v>
      </c>
      <c r="L49" s="22">
        <v>64417</v>
      </c>
      <c r="M49" s="22">
        <v>63876</v>
      </c>
      <c r="N49" s="22">
        <v>62761</v>
      </c>
      <c r="O49" s="8"/>
      <c r="P49" s="17">
        <f t="shared" si="0"/>
        <v>60589.333333333336</v>
      </c>
      <c r="Q49" s="9"/>
      <c r="S49" s="66"/>
    </row>
    <row r="50" spans="1:19" ht="18" x14ac:dyDescent="0.2">
      <c r="A50" s="72"/>
      <c r="B50" s="15" t="s">
        <v>144</v>
      </c>
      <c r="C50" s="22">
        <v>63010</v>
      </c>
      <c r="D50" s="22">
        <v>61473</v>
      </c>
      <c r="E50" s="22">
        <v>60668</v>
      </c>
      <c r="F50" s="22">
        <v>61657</v>
      </c>
      <c r="G50" s="22">
        <v>64327</v>
      </c>
      <c r="H50" s="22">
        <v>68538</v>
      </c>
      <c r="I50" s="22">
        <v>69901</v>
      </c>
      <c r="J50" s="22">
        <v>68467</v>
      </c>
      <c r="K50" s="22"/>
      <c r="L50" s="22"/>
      <c r="M50" s="22"/>
      <c r="N50" s="22"/>
      <c r="O50" s="8"/>
      <c r="P50" s="17">
        <f t="shared" si="0"/>
        <v>64755.125</v>
      </c>
      <c r="Q50" s="9"/>
      <c r="S50" s="66"/>
    </row>
    <row r="51" spans="1:19" ht="18" x14ac:dyDescent="0.2">
      <c r="A51" s="72"/>
      <c r="B51" s="15" t="s">
        <v>46</v>
      </c>
      <c r="C51" s="19">
        <v>44.52</v>
      </c>
      <c r="D51" s="19">
        <v>44.7</v>
      </c>
      <c r="E51" s="19">
        <v>43.2</v>
      </c>
      <c r="F51" s="19">
        <v>44.7</v>
      </c>
      <c r="G51" s="19">
        <v>43.9</v>
      </c>
      <c r="H51" s="19">
        <v>44.2</v>
      </c>
      <c r="I51" s="19">
        <v>44</v>
      </c>
      <c r="J51" s="19">
        <v>44.9</v>
      </c>
      <c r="K51" s="19">
        <v>44.2</v>
      </c>
      <c r="L51" s="19">
        <v>45</v>
      </c>
      <c r="M51" s="19">
        <v>43.3</v>
      </c>
      <c r="N51" s="19">
        <v>42</v>
      </c>
      <c r="O51" s="17"/>
      <c r="P51" s="17">
        <f t="shared" si="0"/>
        <v>44.051666666666669</v>
      </c>
      <c r="Q51" s="18"/>
      <c r="S51" s="66"/>
    </row>
    <row r="52" spans="1:19" ht="18" x14ac:dyDescent="0.2">
      <c r="A52" s="72"/>
      <c r="B52" s="2" t="s">
        <v>47</v>
      </c>
      <c r="C52" s="19">
        <v>43.5</v>
      </c>
      <c r="D52" s="19">
        <v>41.5</v>
      </c>
      <c r="E52" s="19">
        <v>41</v>
      </c>
      <c r="F52" s="19">
        <v>41.2</v>
      </c>
      <c r="G52" s="19">
        <v>43</v>
      </c>
      <c r="H52" s="19">
        <v>44.1</v>
      </c>
      <c r="I52" s="19">
        <v>44.3</v>
      </c>
      <c r="J52" s="19">
        <v>43.2</v>
      </c>
      <c r="K52" s="19"/>
      <c r="L52" s="19"/>
      <c r="M52" s="19"/>
      <c r="N52" s="19"/>
      <c r="O52" s="17"/>
      <c r="P52" s="17">
        <f t="shared" si="0"/>
        <v>42.724999999999994</v>
      </c>
      <c r="Q52" s="18"/>
      <c r="S52" s="66"/>
    </row>
    <row r="53" spans="1:19" ht="18" x14ac:dyDescent="0.2">
      <c r="A53" s="72"/>
      <c r="B53" s="2" t="s">
        <v>48</v>
      </c>
      <c r="C53" s="19">
        <v>41.7</v>
      </c>
      <c r="D53" s="19">
        <v>41.5</v>
      </c>
      <c r="E53" s="19">
        <v>41.9</v>
      </c>
      <c r="F53" s="19">
        <v>43</v>
      </c>
      <c r="G53" s="19">
        <v>44.1</v>
      </c>
      <c r="H53" s="19">
        <v>44.5</v>
      </c>
      <c r="I53" s="19"/>
      <c r="J53" s="19"/>
      <c r="K53" s="19"/>
      <c r="L53" s="19"/>
      <c r="M53" s="19"/>
      <c r="N53" s="19"/>
      <c r="O53" s="17"/>
      <c r="P53" s="17">
        <f t="shared" si="0"/>
        <v>42.783333333333331</v>
      </c>
      <c r="Q53" s="18"/>
      <c r="S53" s="66"/>
    </row>
    <row r="54" spans="1:19" ht="18" x14ac:dyDescent="0.2">
      <c r="A54" s="72"/>
      <c r="B54" s="2" t="s">
        <v>49</v>
      </c>
      <c r="C54" s="19">
        <v>44.5</v>
      </c>
      <c r="D54" s="19">
        <v>44.3</v>
      </c>
      <c r="E54" s="19">
        <v>44.2</v>
      </c>
      <c r="F54" s="19">
        <v>44</v>
      </c>
      <c r="G54" s="19">
        <v>46.6</v>
      </c>
      <c r="H54" s="19">
        <v>46.3</v>
      </c>
      <c r="I54" s="19"/>
      <c r="J54" s="19"/>
      <c r="K54" s="19"/>
      <c r="L54" s="19"/>
      <c r="M54" s="19"/>
      <c r="N54" s="19"/>
      <c r="O54" s="17"/>
      <c r="P54" s="17">
        <f>AVERAGE(C54:N54)</f>
        <v>44.983333333333327</v>
      </c>
      <c r="Q54" s="18"/>
      <c r="S54" s="66"/>
    </row>
    <row r="55" spans="1:19" ht="18" x14ac:dyDescent="0.2">
      <c r="A55" s="72"/>
      <c r="B55" s="2" t="s">
        <v>50</v>
      </c>
      <c r="C55" s="14">
        <f t="shared" ref="C55:H55" si="19">IFERROR(C53/C54*100,"")</f>
        <v>93.707865168539328</v>
      </c>
      <c r="D55" s="14">
        <f t="shared" si="19"/>
        <v>93.679458239277665</v>
      </c>
      <c r="E55" s="14">
        <f t="shared" si="19"/>
        <v>94.796380090497721</v>
      </c>
      <c r="F55" s="14">
        <f t="shared" si="19"/>
        <v>97.727272727272734</v>
      </c>
      <c r="G55" s="14">
        <f t="shared" si="19"/>
        <v>94.63519313304721</v>
      </c>
      <c r="H55" s="14">
        <f t="shared" si="19"/>
        <v>96.112311015118806</v>
      </c>
      <c r="I55" s="14"/>
      <c r="J55" s="14"/>
      <c r="K55" s="14"/>
      <c r="L55" s="14"/>
      <c r="M55" s="14"/>
      <c r="N55" s="14"/>
      <c r="O55" s="8"/>
      <c r="P55" s="17">
        <f t="shared" si="0"/>
        <v>95.10974672895891</v>
      </c>
      <c r="Q55" s="9"/>
      <c r="S55" s="66"/>
    </row>
    <row r="56" spans="1:19" ht="18" x14ac:dyDescent="0.2">
      <c r="A56" s="72"/>
      <c r="B56" s="2" t="s">
        <v>51</v>
      </c>
      <c r="C56" s="21">
        <v>3.47</v>
      </c>
      <c r="D56" s="21">
        <v>3.5</v>
      </c>
      <c r="E56" s="21">
        <v>3.61</v>
      </c>
      <c r="F56" s="21">
        <v>3.86</v>
      </c>
      <c r="G56" s="21">
        <v>3.7</v>
      </c>
      <c r="H56" s="21">
        <v>3.63</v>
      </c>
      <c r="I56" s="21">
        <v>3.57</v>
      </c>
      <c r="J56" s="21"/>
      <c r="K56" s="21"/>
      <c r="L56" s="21"/>
      <c r="M56" s="21"/>
      <c r="N56" s="21"/>
      <c r="O56" s="8"/>
      <c r="P56" s="17">
        <f t="shared" si="0"/>
        <v>3.62</v>
      </c>
      <c r="Q56" s="9"/>
      <c r="S56" s="66"/>
    </row>
    <row r="57" spans="1:19" ht="18" x14ac:dyDescent="0.2">
      <c r="A57" s="72"/>
      <c r="B57" s="2" t="s">
        <v>52</v>
      </c>
      <c r="C57" s="21">
        <v>3.45</v>
      </c>
      <c r="D57" s="21">
        <v>3.4</v>
      </c>
      <c r="E57" s="21">
        <v>3.4</v>
      </c>
      <c r="F57" s="21">
        <v>3.42</v>
      </c>
      <c r="G57" s="21">
        <v>3.4</v>
      </c>
      <c r="H57" s="21">
        <v>3.42</v>
      </c>
      <c r="I57" s="21">
        <v>3.42</v>
      </c>
      <c r="J57" s="21"/>
      <c r="K57" s="21"/>
      <c r="L57" s="21"/>
      <c r="M57" s="21"/>
      <c r="N57" s="21"/>
      <c r="O57" s="8"/>
      <c r="P57" s="17">
        <f t="shared" si="0"/>
        <v>3.4157142857142864</v>
      </c>
      <c r="Q57" s="9"/>
      <c r="S57" s="66"/>
    </row>
    <row r="58" spans="1:19" ht="18" x14ac:dyDescent="0.2">
      <c r="A58" s="72"/>
      <c r="B58" s="2" t="s">
        <v>53</v>
      </c>
      <c r="C58" s="21">
        <v>14.99</v>
      </c>
      <c r="D58" s="21">
        <v>14.45</v>
      </c>
      <c r="E58" s="21">
        <v>14.2</v>
      </c>
      <c r="F58" s="21">
        <v>15.7</v>
      </c>
      <c r="G58" s="21">
        <v>14.8</v>
      </c>
      <c r="H58" s="21">
        <v>14.3</v>
      </c>
      <c r="I58" s="21">
        <v>13.3</v>
      </c>
      <c r="J58" s="21"/>
      <c r="K58" s="21"/>
      <c r="L58" s="21"/>
      <c r="M58" s="21"/>
      <c r="N58" s="21"/>
      <c r="O58" s="8"/>
      <c r="P58" s="17">
        <f t="shared" si="0"/>
        <v>14.534285714285714</v>
      </c>
      <c r="Q58" s="9"/>
      <c r="S58" s="66"/>
    </row>
    <row r="59" spans="1:19" ht="18" x14ac:dyDescent="0.2">
      <c r="A59" s="72"/>
      <c r="B59" s="2" t="s">
        <v>54</v>
      </c>
      <c r="C59" s="21">
        <v>27.3</v>
      </c>
      <c r="D59" s="21">
        <v>26.5</v>
      </c>
      <c r="E59" s="21">
        <v>25.2</v>
      </c>
      <c r="F59" s="21">
        <v>25.1</v>
      </c>
      <c r="G59" s="21">
        <v>25.7</v>
      </c>
      <c r="H59" s="21"/>
      <c r="I59" s="21"/>
      <c r="J59" s="21"/>
      <c r="K59" s="21"/>
      <c r="L59" s="21"/>
      <c r="M59" s="21"/>
      <c r="N59" s="21"/>
      <c r="O59" s="8"/>
      <c r="P59" s="17">
        <f t="shared" si="0"/>
        <v>25.959999999999997</v>
      </c>
      <c r="Q59" s="9"/>
      <c r="S59" s="66"/>
    </row>
    <row r="60" spans="1:19" ht="18" x14ac:dyDescent="0.2">
      <c r="A60" s="72"/>
      <c r="B60" s="2" t="s">
        <v>55</v>
      </c>
      <c r="C60" s="21">
        <v>1.38</v>
      </c>
      <c r="D60" s="21">
        <v>1.41</v>
      </c>
      <c r="E60" s="21">
        <v>1.41</v>
      </c>
      <c r="F60" s="21">
        <v>1.45</v>
      </c>
      <c r="G60" s="21">
        <v>1.44</v>
      </c>
      <c r="H60" s="21"/>
      <c r="I60" s="21"/>
      <c r="J60" s="21"/>
      <c r="K60" s="21"/>
      <c r="L60" s="21"/>
      <c r="M60" s="21"/>
      <c r="N60" s="21"/>
      <c r="O60" s="8"/>
      <c r="P60" s="17">
        <f t="shared" si="0"/>
        <v>1.4179999999999999</v>
      </c>
      <c r="Q60" s="9"/>
      <c r="S60" s="66"/>
    </row>
    <row r="61" spans="1:19" ht="18" x14ac:dyDescent="0.2">
      <c r="A61" s="72"/>
      <c r="B61" s="2" t="s">
        <v>56</v>
      </c>
      <c r="C61" s="14">
        <f>IFERROR((C52*C5)-(C59*C60),"")</f>
        <v>62.375999999999998</v>
      </c>
      <c r="D61" s="14">
        <f>IFERROR((D52*D5)-(D59*D60),"")</f>
        <v>58.084999999999994</v>
      </c>
      <c r="E61" s="14">
        <f>IFERROR((E52*E5)-(E59*E60),"")</f>
        <v>65.328000000000003</v>
      </c>
      <c r="F61" s="14">
        <f>IFERROR((F52*F5)-(F59*F60),"")</f>
        <v>64.956999999999994</v>
      </c>
      <c r="G61" s="14">
        <f>IFERROR((G52*G5)-(G59*G60),"")</f>
        <v>76.942000000000007</v>
      </c>
      <c r="H61" s="14">
        <f t="shared" ref="H61:I61" si="20">IFERROR((H52*H5)-(H59*H60),"")</f>
        <v>122.58477000000001</v>
      </c>
      <c r="I61" s="14">
        <f t="shared" si="20"/>
        <v>123.15399999999998</v>
      </c>
      <c r="J61" s="14"/>
      <c r="K61" s="14"/>
      <c r="L61" s="14"/>
      <c r="M61" s="14"/>
      <c r="N61" s="14"/>
      <c r="O61" s="8"/>
      <c r="P61" s="17">
        <f t="shared" si="0"/>
        <v>81.918109999999984</v>
      </c>
      <c r="Q61" s="9"/>
      <c r="S61" s="66"/>
    </row>
    <row r="62" spans="1:19" ht="18" customHeight="1" thickBot="1" x14ac:dyDescent="0.25">
      <c r="A62" s="72"/>
      <c r="B62" s="2" t="s">
        <v>57</v>
      </c>
      <c r="C62" s="14">
        <f>IFERROR(C52/C59,"")</f>
        <v>1.5934065934065933</v>
      </c>
      <c r="D62" s="14">
        <f t="shared" ref="D62:N62" si="21">IFERROR(D52/D59,"")</f>
        <v>1.5660377358490567</v>
      </c>
      <c r="E62" s="14">
        <f t="shared" si="21"/>
        <v>1.626984126984127</v>
      </c>
      <c r="F62" s="14">
        <f t="shared" si="21"/>
        <v>1.6414342629482073</v>
      </c>
      <c r="G62" s="14">
        <f t="shared" si="21"/>
        <v>1.6731517509727627</v>
      </c>
      <c r="H62" s="14" t="str">
        <f t="shared" ref="H62:I62" si="22">IFERROR(H52/H59,"")</f>
        <v/>
      </c>
      <c r="I62" s="14" t="str">
        <f t="shared" si="22"/>
        <v/>
      </c>
      <c r="J62" s="14" t="str">
        <f t="shared" si="21"/>
        <v/>
      </c>
      <c r="K62" s="14" t="str">
        <f t="shared" si="21"/>
        <v/>
      </c>
      <c r="L62" s="14" t="str">
        <f t="shared" si="21"/>
        <v/>
      </c>
      <c r="M62" s="14" t="str">
        <f t="shared" si="21"/>
        <v/>
      </c>
      <c r="N62" s="14" t="str">
        <f t="shared" si="21"/>
        <v/>
      </c>
      <c r="O62" s="8"/>
      <c r="P62" s="17">
        <f t="shared" si="0"/>
        <v>1.6202028940321493</v>
      </c>
      <c r="Q62" s="9"/>
      <c r="S62" s="66"/>
    </row>
    <row r="63" spans="1:19" ht="19" customHeight="1" x14ac:dyDescent="0.2">
      <c r="A63" s="82" t="s">
        <v>58</v>
      </c>
      <c r="B63" s="5" t="s">
        <v>59</v>
      </c>
      <c r="C63" s="28">
        <v>192</v>
      </c>
      <c r="D63" s="28">
        <v>178</v>
      </c>
      <c r="E63" s="28">
        <v>179</v>
      </c>
      <c r="F63" s="28">
        <v>170</v>
      </c>
      <c r="G63" s="28">
        <v>172</v>
      </c>
      <c r="H63" s="28">
        <v>176</v>
      </c>
      <c r="I63" s="28">
        <v>176</v>
      </c>
      <c r="J63" s="28">
        <v>179</v>
      </c>
      <c r="K63" s="28"/>
      <c r="L63" s="28"/>
      <c r="M63" s="28"/>
      <c r="N63" s="28"/>
      <c r="O63" s="25"/>
      <c r="P63" s="25">
        <f t="shared" si="0"/>
        <v>177.75</v>
      </c>
      <c r="Q63" s="31"/>
      <c r="S63" s="66"/>
    </row>
    <row r="64" spans="1:19" ht="19" customHeight="1" x14ac:dyDescent="0.2">
      <c r="A64" s="83"/>
      <c r="B64" s="2" t="s">
        <v>147</v>
      </c>
      <c r="C64" s="19">
        <v>176</v>
      </c>
      <c r="D64" s="19">
        <v>173</v>
      </c>
      <c r="E64" s="19">
        <v>174</v>
      </c>
      <c r="F64" s="19">
        <v>170</v>
      </c>
      <c r="G64" s="19">
        <v>173</v>
      </c>
      <c r="H64" s="19">
        <v>174</v>
      </c>
      <c r="I64" s="19">
        <v>177</v>
      </c>
      <c r="J64" s="19">
        <v>176</v>
      </c>
      <c r="K64" s="19">
        <v>184</v>
      </c>
      <c r="L64" s="19">
        <v>185</v>
      </c>
      <c r="M64" s="19">
        <v>187</v>
      </c>
      <c r="N64" s="19"/>
      <c r="O64" s="17"/>
      <c r="P64" s="17">
        <f t="shared" si="0"/>
        <v>177.18181818181819</v>
      </c>
      <c r="Q64" s="18"/>
      <c r="S64" s="66"/>
    </row>
    <row r="65" spans="1:19" ht="18" x14ac:dyDescent="0.2">
      <c r="A65" s="83"/>
      <c r="B65" s="2" t="s">
        <v>60</v>
      </c>
      <c r="C65" s="24">
        <f t="shared" ref="C65:I65" si="23">IFERROR(C15/(C6-C16)*100,"")</f>
        <v>52.533783783783782</v>
      </c>
      <c r="D65" s="24">
        <f t="shared" si="23"/>
        <v>50.838635049161361</v>
      </c>
      <c r="E65" s="24">
        <f t="shared" si="23"/>
        <v>49.712313003452245</v>
      </c>
      <c r="F65" s="24">
        <f t="shared" si="23"/>
        <v>48.597595878649116</v>
      </c>
      <c r="G65" s="24">
        <f t="shared" si="23"/>
        <v>46.334478808705612</v>
      </c>
      <c r="H65" s="24">
        <f t="shared" si="23"/>
        <v>45.769449176604205</v>
      </c>
      <c r="I65" s="24">
        <f t="shared" si="23"/>
        <v>49.858677218767667</v>
      </c>
      <c r="J65" s="24"/>
      <c r="K65" s="24"/>
      <c r="L65" s="24"/>
      <c r="M65" s="24"/>
      <c r="N65" s="24"/>
      <c r="O65" s="17"/>
      <c r="P65" s="17">
        <f t="shared" si="0"/>
        <v>49.092133274160574</v>
      </c>
      <c r="Q65" s="18"/>
      <c r="S65" s="66"/>
    </row>
    <row r="66" spans="1:19" ht="18" x14ac:dyDescent="0.2">
      <c r="A66" s="83"/>
      <c r="B66" s="2" t="s">
        <v>61</v>
      </c>
      <c r="C66" s="19">
        <v>65.400000000000006</v>
      </c>
      <c r="D66" s="19">
        <v>67.400000000000006</v>
      </c>
      <c r="E66" s="19">
        <v>67.7</v>
      </c>
      <c r="F66" s="19">
        <v>68</v>
      </c>
      <c r="G66" s="19">
        <v>67</v>
      </c>
      <c r="H66" s="19">
        <v>67.900000000000006</v>
      </c>
      <c r="I66" s="19">
        <v>67.2</v>
      </c>
      <c r="J66" s="19"/>
      <c r="K66" s="19"/>
      <c r="L66" s="19"/>
      <c r="M66" s="19"/>
      <c r="N66" s="19"/>
      <c r="O66" s="17"/>
      <c r="P66" s="17">
        <f t="shared" si="0"/>
        <v>67.228571428571428</v>
      </c>
      <c r="Q66" s="18"/>
      <c r="S66" s="66"/>
    </row>
    <row r="67" spans="1:19" ht="18" x14ac:dyDescent="0.2">
      <c r="A67" s="83"/>
      <c r="B67" s="2" t="s">
        <v>62</v>
      </c>
      <c r="C67" s="24">
        <f t="shared" ref="C67:I67" si="24">IFERROR(C17/(C7-C16)*100,"")</f>
        <v>14.536015574302402</v>
      </c>
      <c r="D67" s="24">
        <f t="shared" si="24"/>
        <v>14.508474576271185</v>
      </c>
      <c r="E67" s="24">
        <f t="shared" si="24"/>
        <v>14.433333333333334</v>
      </c>
      <c r="F67" s="24">
        <f t="shared" si="24"/>
        <v>14.360655737704919</v>
      </c>
      <c r="G67" s="24">
        <f t="shared" si="24"/>
        <v>15.141540487162608</v>
      </c>
      <c r="H67" s="24">
        <f t="shared" si="24"/>
        <v>14.479638009049776</v>
      </c>
      <c r="I67" s="24">
        <f t="shared" si="24"/>
        <v>14.404079031230083</v>
      </c>
      <c r="J67" s="24"/>
      <c r="K67" s="24"/>
      <c r="L67" s="24"/>
      <c r="M67" s="24"/>
      <c r="N67" s="24"/>
      <c r="O67" s="17"/>
      <c r="P67" s="17">
        <f t="shared" si="0"/>
        <v>14.551962392722045</v>
      </c>
      <c r="Q67" s="18"/>
      <c r="S67" s="66"/>
    </row>
    <row r="68" spans="1:19" ht="18" x14ac:dyDescent="0.2">
      <c r="A68" s="83"/>
      <c r="B68" s="2" t="s">
        <v>138</v>
      </c>
      <c r="C68" s="19">
        <v>131</v>
      </c>
      <c r="D68" s="19">
        <v>152</v>
      </c>
      <c r="E68" s="19">
        <v>128</v>
      </c>
      <c r="F68" s="19">
        <v>127</v>
      </c>
      <c r="G68" s="19">
        <v>136</v>
      </c>
      <c r="H68" s="19">
        <v>138</v>
      </c>
      <c r="I68" s="19">
        <v>136</v>
      </c>
      <c r="J68" s="19"/>
      <c r="K68" s="19"/>
      <c r="L68" s="19"/>
      <c r="M68" s="19"/>
      <c r="N68" s="19"/>
      <c r="O68" s="17"/>
      <c r="P68" s="17">
        <f t="shared" si="0"/>
        <v>135.42857142857142</v>
      </c>
      <c r="Q68" s="18"/>
      <c r="S68" s="66"/>
    </row>
    <row r="69" spans="1:19" ht="18" x14ac:dyDescent="0.2">
      <c r="A69" s="83"/>
      <c r="B69" s="2" t="s">
        <v>141</v>
      </c>
      <c r="C69" s="24">
        <f t="shared" ref="C69:I69" si="25">(C68+276)/30.5</f>
        <v>13.344262295081966</v>
      </c>
      <c r="D69" s="24">
        <f t="shared" si="25"/>
        <v>14.032786885245901</v>
      </c>
      <c r="E69" s="24">
        <f t="shared" si="25"/>
        <v>13.245901639344263</v>
      </c>
      <c r="F69" s="24">
        <f t="shared" si="25"/>
        <v>13.21311475409836</v>
      </c>
      <c r="G69" s="24">
        <f t="shared" si="25"/>
        <v>13.508196721311476</v>
      </c>
      <c r="H69" s="24">
        <f t="shared" si="25"/>
        <v>13.573770491803279</v>
      </c>
      <c r="I69" s="24">
        <f t="shared" si="25"/>
        <v>13.508196721311476</v>
      </c>
      <c r="J69" s="24"/>
      <c r="K69" s="24"/>
      <c r="L69" s="24"/>
      <c r="M69" s="24"/>
      <c r="N69" s="24"/>
      <c r="O69" s="17"/>
      <c r="P69" s="17">
        <f t="shared" si="0"/>
        <v>13.489461358313816</v>
      </c>
      <c r="Q69" s="18"/>
      <c r="S69" s="66"/>
    </row>
    <row r="70" spans="1:19" ht="18" x14ac:dyDescent="0.2">
      <c r="A70" s="83"/>
      <c r="B70" s="2" t="s">
        <v>142</v>
      </c>
      <c r="C70" s="19">
        <v>35.200000000000003</v>
      </c>
      <c r="D70" s="19">
        <v>27.5</v>
      </c>
      <c r="E70" s="19">
        <v>34.96</v>
      </c>
      <c r="F70" s="19">
        <v>31.7</v>
      </c>
      <c r="G70" s="19">
        <v>34.700000000000003</v>
      </c>
      <c r="H70" s="19">
        <v>40.299999999999997</v>
      </c>
      <c r="I70" s="19">
        <v>35.49</v>
      </c>
      <c r="J70" s="19">
        <v>35</v>
      </c>
      <c r="K70" s="19">
        <v>35.799999999999997</v>
      </c>
      <c r="L70" s="19">
        <v>37.299999999999997</v>
      </c>
      <c r="M70" s="19">
        <v>32.92</v>
      </c>
      <c r="N70" s="19">
        <v>30.46</v>
      </c>
      <c r="O70" s="17">
        <f>AVERAGE(C70:N70)</f>
        <v>34.277500000000003</v>
      </c>
      <c r="P70" s="17"/>
      <c r="Q70" s="18"/>
      <c r="S70" s="66"/>
    </row>
    <row r="71" spans="1:19" ht="18" x14ac:dyDescent="0.2">
      <c r="A71" s="83"/>
      <c r="B71" s="2" t="s">
        <v>63</v>
      </c>
      <c r="C71" s="19">
        <v>27.7</v>
      </c>
      <c r="D71" s="19">
        <v>34.85</v>
      </c>
      <c r="E71" s="19">
        <v>36.700000000000003</v>
      </c>
      <c r="F71" s="19">
        <v>28.4</v>
      </c>
      <c r="G71" s="19">
        <v>33.6</v>
      </c>
      <c r="H71" s="19">
        <v>38</v>
      </c>
      <c r="I71" s="19">
        <v>33</v>
      </c>
      <c r="J71" s="19"/>
      <c r="K71" s="19"/>
      <c r="L71" s="19"/>
      <c r="M71" s="19"/>
      <c r="N71" s="19"/>
      <c r="O71" s="17"/>
      <c r="P71" s="17">
        <f t="shared" si="0"/>
        <v>33.178571428571431</v>
      </c>
      <c r="Q71" s="18"/>
      <c r="S71" s="66"/>
    </row>
    <row r="72" spans="1:19" ht="18" x14ac:dyDescent="0.2">
      <c r="A72" s="83"/>
      <c r="B72" s="2" t="s">
        <v>64</v>
      </c>
      <c r="C72" s="19">
        <v>32.5</v>
      </c>
      <c r="D72" s="19">
        <v>34.75</v>
      </c>
      <c r="E72" s="19">
        <v>38.1</v>
      </c>
      <c r="F72" s="19">
        <v>37.25</v>
      </c>
      <c r="G72" s="19">
        <v>38.299999999999997</v>
      </c>
      <c r="H72" s="19">
        <v>42.4</v>
      </c>
      <c r="I72" s="19">
        <v>30</v>
      </c>
      <c r="J72" s="19"/>
      <c r="K72" s="19"/>
      <c r="L72" s="19"/>
      <c r="M72" s="19"/>
      <c r="N72" s="19"/>
      <c r="O72" s="17"/>
      <c r="P72" s="17">
        <f t="shared" si="0"/>
        <v>36.185714285714283</v>
      </c>
      <c r="Q72" s="18"/>
      <c r="S72" s="66"/>
    </row>
    <row r="73" spans="1:19" ht="18" x14ac:dyDescent="0.2">
      <c r="A73" s="83"/>
      <c r="B73" s="2" t="s">
        <v>65</v>
      </c>
      <c r="C73" s="19">
        <v>21.6</v>
      </c>
      <c r="D73" s="19">
        <v>36.11</v>
      </c>
      <c r="E73" s="19">
        <v>35.4</v>
      </c>
      <c r="F73" s="19">
        <v>26.4</v>
      </c>
      <c r="G73" s="19">
        <v>33.5</v>
      </c>
      <c r="H73" s="19">
        <v>43.9</v>
      </c>
      <c r="I73" s="19">
        <v>33</v>
      </c>
      <c r="J73" s="19"/>
      <c r="K73" s="19"/>
      <c r="L73" s="19"/>
      <c r="M73" s="19"/>
      <c r="N73" s="19"/>
      <c r="O73" s="17"/>
      <c r="P73" s="17">
        <f t="shared" si="0"/>
        <v>32.844285714285711</v>
      </c>
      <c r="Q73" s="18"/>
      <c r="S73" s="66"/>
    </row>
    <row r="74" spans="1:19" ht="18" x14ac:dyDescent="0.2">
      <c r="A74" s="83"/>
      <c r="B74" s="2" t="s">
        <v>66</v>
      </c>
      <c r="C74" s="19">
        <v>27.7</v>
      </c>
      <c r="D74" s="19">
        <v>35.090000000000003</v>
      </c>
      <c r="E74" s="19">
        <v>42.8</v>
      </c>
      <c r="F74" s="19">
        <v>37.799999999999997</v>
      </c>
      <c r="G74" s="19">
        <v>40</v>
      </c>
      <c r="H74" s="19">
        <v>50.8</v>
      </c>
      <c r="I74" s="19">
        <v>27.6</v>
      </c>
      <c r="J74" s="19"/>
      <c r="K74" s="19"/>
      <c r="L74" s="19"/>
      <c r="M74" s="19"/>
      <c r="N74" s="19"/>
      <c r="O74" s="17"/>
      <c r="P74" s="17">
        <f t="shared" si="0"/>
        <v>37.398571428571429</v>
      </c>
      <c r="Q74" s="18"/>
      <c r="S74" s="66"/>
    </row>
    <row r="75" spans="1:19" ht="18" x14ac:dyDescent="0.2">
      <c r="A75" s="83"/>
      <c r="B75" s="2" t="s">
        <v>67</v>
      </c>
      <c r="C75" s="19">
        <v>31.7</v>
      </c>
      <c r="D75" s="19">
        <v>33.700000000000003</v>
      </c>
      <c r="E75" s="19">
        <v>37.08</v>
      </c>
      <c r="F75" s="19">
        <v>30.1</v>
      </c>
      <c r="G75" s="19">
        <v>33.700000000000003</v>
      </c>
      <c r="H75" s="19">
        <v>31.1</v>
      </c>
      <c r="I75" s="19">
        <v>33.700000000000003</v>
      </c>
      <c r="J75" s="19"/>
      <c r="K75" s="19"/>
      <c r="L75" s="19"/>
      <c r="M75" s="19"/>
      <c r="N75" s="19"/>
      <c r="O75" s="17"/>
      <c r="P75" s="17">
        <f t="shared" si="0"/>
        <v>33.011428571428574</v>
      </c>
      <c r="Q75" s="18"/>
      <c r="S75" s="66"/>
    </row>
    <row r="76" spans="1:19" ht="18" x14ac:dyDescent="0.2">
      <c r="A76" s="83"/>
      <c r="B76" s="2" t="s">
        <v>68</v>
      </c>
      <c r="C76" s="19">
        <v>36.36</v>
      </c>
      <c r="D76" s="19">
        <v>34.43</v>
      </c>
      <c r="E76" s="19">
        <v>34.92</v>
      </c>
      <c r="F76" s="19">
        <v>36.840000000000003</v>
      </c>
      <c r="G76" s="19">
        <v>37.200000000000003</v>
      </c>
      <c r="H76" s="19">
        <v>34.299999999999997</v>
      </c>
      <c r="I76" s="19">
        <v>37.200000000000003</v>
      </c>
      <c r="J76" s="19"/>
      <c r="K76" s="19"/>
      <c r="L76" s="19"/>
      <c r="M76" s="19"/>
      <c r="N76" s="19"/>
      <c r="O76" s="17"/>
      <c r="P76" s="17">
        <f t="shared" si="0"/>
        <v>35.892857142857146</v>
      </c>
      <c r="Q76" s="18"/>
      <c r="S76" s="66"/>
    </row>
    <row r="77" spans="1:19" ht="18" x14ac:dyDescent="0.2">
      <c r="A77" s="83"/>
      <c r="B77" s="2" t="s">
        <v>143</v>
      </c>
      <c r="C77" s="19">
        <v>50.94</v>
      </c>
      <c r="D77" s="19">
        <v>48.25</v>
      </c>
      <c r="E77" s="19">
        <v>52.89</v>
      </c>
      <c r="F77" s="19">
        <v>47.6</v>
      </c>
      <c r="G77" s="19">
        <v>50</v>
      </c>
      <c r="H77" s="19">
        <v>44.8</v>
      </c>
      <c r="I77" s="19">
        <v>45</v>
      </c>
      <c r="J77" s="19">
        <v>43.37</v>
      </c>
      <c r="K77" s="19">
        <v>44.8</v>
      </c>
      <c r="L77" s="19">
        <v>51.47</v>
      </c>
      <c r="M77" s="19">
        <v>46.89</v>
      </c>
      <c r="N77" s="19">
        <v>45.45</v>
      </c>
      <c r="O77" s="17">
        <f>AVERAGE(C77:N77)</f>
        <v>47.62166666666667</v>
      </c>
      <c r="P77" s="17"/>
      <c r="Q77" s="18"/>
      <c r="S77" s="66"/>
    </row>
    <row r="78" spans="1:19" ht="18" x14ac:dyDescent="0.2">
      <c r="A78" s="83"/>
      <c r="B78" s="2" t="s">
        <v>69</v>
      </c>
      <c r="C78" s="19">
        <v>42.3</v>
      </c>
      <c r="D78" s="19">
        <v>42.06</v>
      </c>
      <c r="E78" s="19">
        <v>41.3</v>
      </c>
      <c r="F78" s="19">
        <v>53.6</v>
      </c>
      <c r="G78" s="19">
        <v>54.8</v>
      </c>
      <c r="H78" s="19">
        <v>53.7</v>
      </c>
      <c r="I78" s="19">
        <v>51.2</v>
      </c>
      <c r="J78" s="19"/>
      <c r="K78" s="19"/>
      <c r="L78" s="19"/>
      <c r="M78" s="19"/>
      <c r="N78" s="19"/>
      <c r="O78" s="17"/>
      <c r="P78" s="17">
        <f t="shared" si="0"/>
        <v>48.42285714285714</v>
      </c>
      <c r="Q78" s="18"/>
      <c r="S78" s="66"/>
    </row>
    <row r="79" spans="1:19" ht="18" x14ac:dyDescent="0.2">
      <c r="A79" s="83"/>
      <c r="B79" s="2" t="s">
        <v>70</v>
      </c>
      <c r="C79" s="19">
        <v>55.56</v>
      </c>
      <c r="D79" s="19">
        <v>55.66</v>
      </c>
      <c r="E79" s="19">
        <v>48.7</v>
      </c>
      <c r="F79" s="19">
        <v>62.1</v>
      </c>
      <c r="G79" s="19">
        <v>60</v>
      </c>
      <c r="H79" s="19">
        <v>54.3</v>
      </c>
      <c r="I79" s="19">
        <v>53</v>
      </c>
      <c r="J79" s="19"/>
      <c r="K79" s="19"/>
      <c r="L79" s="19"/>
      <c r="M79" s="19"/>
      <c r="N79" s="19"/>
      <c r="O79" s="17"/>
      <c r="P79" s="17">
        <f t="shared" si="0"/>
        <v>55.617142857142859</v>
      </c>
      <c r="Q79" s="18"/>
      <c r="S79" s="66"/>
    </row>
    <row r="80" spans="1:19" ht="18" x14ac:dyDescent="0.2">
      <c r="A80" s="83"/>
      <c r="B80" s="2" t="s">
        <v>140</v>
      </c>
      <c r="C80" s="19">
        <v>12.4</v>
      </c>
      <c r="D80" s="19">
        <v>12.3</v>
      </c>
      <c r="E80" s="19">
        <v>13.08</v>
      </c>
      <c r="F80" s="19">
        <v>14</v>
      </c>
      <c r="G80" s="19">
        <v>13.8</v>
      </c>
      <c r="H80" s="19">
        <v>13.7</v>
      </c>
      <c r="I80" s="19">
        <v>13.3</v>
      </c>
      <c r="J80" s="19"/>
      <c r="K80" s="19"/>
      <c r="L80" s="19"/>
      <c r="M80" s="19"/>
      <c r="N80" s="19"/>
      <c r="O80" s="17"/>
      <c r="P80" s="17">
        <f t="shared" si="0"/>
        <v>13.225714285714286</v>
      </c>
      <c r="Q80" s="18"/>
      <c r="S80" s="66"/>
    </row>
    <row r="81" spans="1:19" ht="19" thickBot="1" x14ac:dyDescent="0.25">
      <c r="A81" s="84"/>
      <c r="B81" s="2" t="s">
        <v>71</v>
      </c>
      <c r="C81" s="19">
        <v>22</v>
      </c>
      <c r="D81" s="19">
        <v>22</v>
      </c>
      <c r="E81" s="19">
        <v>21.93</v>
      </c>
      <c r="F81" s="19">
        <v>22.7</v>
      </c>
      <c r="G81" s="19">
        <v>23.3</v>
      </c>
      <c r="H81" s="19">
        <v>22.5</v>
      </c>
      <c r="I81" s="19">
        <v>22.8</v>
      </c>
      <c r="J81" s="19"/>
      <c r="K81" s="19"/>
      <c r="L81" s="19"/>
      <c r="M81" s="19"/>
      <c r="N81" s="19"/>
      <c r="O81" s="17"/>
      <c r="P81" s="17">
        <f t="shared" si="0"/>
        <v>22.461428571428574</v>
      </c>
      <c r="Q81" s="18"/>
      <c r="S81" s="66"/>
    </row>
    <row r="82" spans="1:19" ht="18" x14ac:dyDescent="0.2">
      <c r="A82" s="75" t="s">
        <v>72</v>
      </c>
      <c r="B82" s="5" t="s">
        <v>73</v>
      </c>
      <c r="C82" s="30">
        <f t="shared" ref="C82:H82" si="26">IFERROR(C26/C25*100,"")</f>
        <v>63.636363636363633</v>
      </c>
      <c r="D82" s="30">
        <f t="shared" si="26"/>
        <v>50.561797752808992</v>
      </c>
      <c r="E82" s="30">
        <f t="shared" si="26"/>
        <v>62.376237623762378</v>
      </c>
      <c r="F82" s="30">
        <f t="shared" si="26"/>
        <v>52.325581395348841</v>
      </c>
      <c r="G82" s="30">
        <f t="shared" si="26"/>
        <v>58.928571428571431</v>
      </c>
      <c r="H82" s="30">
        <f t="shared" si="26"/>
        <v>60.843373493975903</v>
      </c>
      <c r="I82" s="30">
        <f t="shared" ref="I82" si="27">IFERROR(I26/I25*100,"")</f>
        <v>63.190184049079754</v>
      </c>
      <c r="J82" s="30"/>
      <c r="K82" s="30"/>
      <c r="L82" s="30"/>
      <c r="M82" s="30"/>
      <c r="N82" s="30"/>
      <c r="O82" s="25"/>
      <c r="P82" s="25">
        <f t="shared" si="0"/>
        <v>58.837444197130132</v>
      </c>
      <c r="Q82" s="7"/>
      <c r="S82" s="66"/>
    </row>
    <row r="83" spans="1:19" ht="18" x14ac:dyDescent="0.2">
      <c r="A83" s="76"/>
      <c r="B83" s="2" t="s">
        <v>74</v>
      </c>
      <c r="C83" s="24">
        <f t="shared" ref="C83:H83" si="28">IFERROR(C27/C25*100,"")</f>
        <v>6.4935064935064926</v>
      </c>
      <c r="D83" s="24">
        <f t="shared" si="28"/>
        <v>2.2471910112359552</v>
      </c>
      <c r="E83" s="24">
        <f t="shared" si="28"/>
        <v>2.9702970297029703</v>
      </c>
      <c r="F83" s="24">
        <f t="shared" si="28"/>
        <v>6.395348837209303</v>
      </c>
      <c r="G83" s="24">
        <f t="shared" si="28"/>
        <v>5.9523809523809517</v>
      </c>
      <c r="H83" s="24">
        <f t="shared" si="28"/>
        <v>4.8192771084337354</v>
      </c>
      <c r="I83" s="24">
        <f t="shared" ref="I83" si="29">IFERROR(I27/I25*100,"")</f>
        <v>3.0674846625766872</v>
      </c>
      <c r="J83" s="24"/>
      <c r="K83" s="24"/>
      <c r="L83" s="24"/>
      <c r="M83" s="24"/>
      <c r="N83" s="24"/>
      <c r="O83" s="17"/>
      <c r="P83" s="17">
        <f t="shared" si="0"/>
        <v>4.5636408707208718</v>
      </c>
      <c r="Q83" s="9"/>
      <c r="S83" s="66"/>
    </row>
    <row r="84" spans="1:19" ht="18" x14ac:dyDescent="0.2">
      <c r="A84" s="76"/>
      <c r="B84" s="2" t="s">
        <v>75</v>
      </c>
      <c r="C84" s="24">
        <f t="shared" ref="C84:H84" si="30">IFERROR(C28/C25*100,"")</f>
        <v>1.948051948051948</v>
      </c>
      <c r="D84" s="24">
        <f t="shared" si="30"/>
        <v>2.2471910112359552</v>
      </c>
      <c r="E84" s="24">
        <f t="shared" si="30"/>
        <v>1.4851485148514851</v>
      </c>
      <c r="F84" s="24">
        <f t="shared" si="30"/>
        <v>3.4883720930232558</v>
      </c>
      <c r="G84" s="24">
        <f t="shared" si="30"/>
        <v>1.1904761904761905</v>
      </c>
      <c r="H84" s="24">
        <f t="shared" si="30"/>
        <v>1.2048192771084338</v>
      </c>
      <c r="I84" s="24">
        <f t="shared" ref="I84" si="31">IFERROR(I28/I25*100,"")</f>
        <v>0.61349693251533743</v>
      </c>
      <c r="J84" s="24"/>
      <c r="K84" s="24"/>
      <c r="L84" s="24"/>
      <c r="M84" s="24"/>
      <c r="N84" s="24"/>
      <c r="O84" s="17"/>
      <c r="P84" s="17">
        <f t="shared" si="0"/>
        <v>1.7396508524660863</v>
      </c>
      <c r="Q84" s="9"/>
      <c r="S84" s="66"/>
    </row>
    <row r="85" spans="1:19" ht="18" x14ac:dyDescent="0.2">
      <c r="A85" s="76"/>
      <c r="B85" s="2" t="s">
        <v>76</v>
      </c>
      <c r="C85" s="24">
        <f t="shared" ref="C85:H85" si="32">IFERROR(C29/C25*100,"")</f>
        <v>0</v>
      </c>
      <c r="D85" s="24">
        <f t="shared" si="32"/>
        <v>1.6853932584269662</v>
      </c>
      <c r="E85" s="24">
        <f t="shared" si="32"/>
        <v>2.4752475247524752</v>
      </c>
      <c r="F85" s="24">
        <f t="shared" si="32"/>
        <v>2.3255813953488373</v>
      </c>
      <c r="G85" s="24">
        <f t="shared" si="32"/>
        <v>5.3571428571428568</v>
      </c>
      <c r="H85" s="24">
        <f t="shared" si="32"/>
        <v>4.2168674698795181</v>
      </c>
      <c r="I85" s="24">
        <f t="shared" ref="I85" si="33">IFERROR(I29/I25*100,"")</f>
        <v>4.9079754601226995</v>
      </c>
      <c r="J85" s="24"/>
      <c r="K85" s="24"/>
      <c r="L85" s="24"/>
      <c r="M85" s="24"/>
      <c r="N85" s="24"/>
      <c r="O85" s="17"/>
      <c r="P85" s="17">
        <f t="shared" si="0"/>
        <v>2.9954582808104786</v>
      </c>
      <c r="Q85" s="9"/>
      <c r="S85" s="66"/>
    </row>
    <row r="86" spans="1:19" ht="18" x14ac:dyDescent="0.2">
      <c r="A86" s="76"/>
      <c r="B86" s="2" t="s">
        <v>77</v>
      </c>
      <c r="C86" s="24">
        <f t="shared" ref="C86:H86" si="34">IFERROR(C30/C25*100,"")</f>
        <v>0.64935064935064934</v>
      </c>
      <c r="D86" s="24">
        <f t="shared" si="34"/>
        <v>5.6179775280898872</v>
      </c>
      <c r="E86" s="24">
        <f t="shared" si="34"/>
        <v>2.9702970297029703</v>
      </c>
      <c r="F86" s="24">
        <f t="shared" si="34"/>
        <v>4.6511627906976747</v>
      </c>
      <c r="G86" s="24">
        <f t="shared" si="34"/>
        <v>5.9523809523809517</v>
      </c>
      <c r="H86" s="24">
        <f t="shared" si="34"/>
        <v>6.024096385542169</v>
      </c>
      <c r="I86" s="24">
        <f t="shared" ref="I86" si="35">IFERROR(I30/I25*100,"")</f>
        <v>5.5214723926380369</v>
      </c>
      <c r="J86" s="24"/>
      <c r="K86" s="24"/>
      <c r="L86" s="24"/>
      <c r="M86" s="24"/>
      <c r="N86" s="24"/>
      <c r="O86" s="17"/>
      <c r="P86" s="17">
        <f t="shared" si="0"/>
        <v>4.483819675486048</v>
      </c>
      <c r="Q86" s="9"/>
      <c r="S86" s="66"/>
    </row>
    <row r="87" spans="1:19" ht="18" x14ac:dyDescent="0.2">
      <c r="A87" s="76"/>
      <c r="B87" s="2" t="s">
        <v>78</v>
      </c>
      <c r="C87" s="24">
        <f t="shared" ref="C87:H87" si="36">IFERROR(C31/C25*100,"")</f>
        <v>1.948051948051948</v>
      </c>
      <c r="D87" s="24">
        <f t="shared" si="36"/>
        <v>2.2471910112359552</v>
      </c>
      <c r="E87" s="24">
        <f t="shared" si="36"/>
        <v>3.4653465346534658</v>
      </c>
      <c r="F87" s="24">
        <f t="shared" si="36"/>
        <v>0.58139534883720934</v>
      </c>
      <c r="G87" s="24">
        <f t="shared" si="36"/>
        <v>1.7857142857142856</v>
      </c>
      <c r="H87" s="24">
        <f t="shared" si="36"/>
        <v>1.8072289156626504</v>
      </c>
      <c r="I87" s="24">
        <f t="shared" ref="I87" si="37">IFERROR(I31/I25*100,"")</f>
        <v>2.4539877300613497</v>
      </c>
      <c r="J87" s="24"/>
      <c r="K87" s="24"/>
      <c r="L87" s="24"/>
      <c r="M87" s="24"/>
      <c r="N87" s="24"/>
      <c r="O87" s="17"/>
      <c r="P87" s="17">
        <f t="shared" ref="P87:P97" si="38">AVERAGE(C87:N87)</f>
        <v>2.0412736820309805</v>
      </c>
      <c r="Q87" s="9"/>
      <c r="S87" s="66"/>
    </row>
    <row r="88" spans="1:19" ht="19" thickBot="1" x14ac:dyDescent="0.25">
      <c r="A88" s="77"/>
      <c r="B88" s="10" t="s">
        <v>79</v>
      </c>
      <c r="C88" s="33">
        <f t="shared" ref="C88:H88" si="39">IFERROR(C32/C25*100,"")</f>
        <v>12.337662337662337</v>
      </c>
      <c r="D88" s="33">
        <f t="shared" si="39"/>
        <v>32.022471910112358</v>
      </c>
      <c r="E88" s="33">
        <f t="shared" si="39"/>
        <v>37.128712871287128</v>
      </c>
      <c r="F88" s="33">
        <f t="shared" si="39"/>
        <v>39.534883720930232</v>
      </c>
      <c r="G88" s="33">
        <f t="shared" si="39"/>
        <v>20.833333333333336</v>
      </c>
      <c r="H88" s="33">
        <f t="shared" si="39"/>
        <v>24.096385542168676</v>
      </c>
      <c r="I88" s="33">
        <f t="shared" ref="I88" si="40">IFERROR(I32/I25*100,"")</f>
        <v>22.699386503067483</v>
      </c>
      <c r="J88" s="33"/>
      <c r="K88" s="33"/>
      <c r="L88" s="33"/>
      <c r="M88" s="33"/>
      <c r="N88" s="33"/>
      <c r="O88" s="26"/>
      <c r="P88" s="26">
        <f t="shared" si="38"/>
        <v>26.95040517408022</v>
      </c>
      <c r="Q88" s="11"/>
      <c r="S88" s="66"/>
    </row>
    <row r="89" spans="1:19" ht="18" x14ac:dyDescent="0.2">
      <c r="A89" s="78" t="s">
        <v>80</v>
      </c>
      <c r="B89" s="2" t="s">
        <v>81</v>
      </c>
      <c r="C89" s="14">
        <f t="shared" ref="C89:H89" si="41">IFERROR(C40,"")</f>
        <v>108</v>
      </c>
      <c r="D89" s="14">
        <f t="shared" si="41"/>
        <v>117.1</v>
      </c>
      <c r="E89" s="14">
        <f t="shared" si="41"/>
        <v>113.2</v>
      </c>
      <c r="F89" s="14">
        <f t="shared" si="41"/>
        <v>110</v>
      </c>
      <c r="G89" s="14">
        <f t="shared" si="41"/>
        <v>110.8</v>
      </c>
      <c r="H89" s="14">
        <f t="shared" si="41"/>
        <v>110.17</v>
      </c>
      <c r="I89" s="14">
        <f t="shared" ref="I89" si="42">IFERROR(I40,"")</f>
        <v>113.8</v>
      </c>
      <c r="J89" s="14"/>
      <c r="K89" s="14"/>
      <c r="L89" s="14"/>
      <c r="M89" s="14"/>
      <c r="N89" s="14"/>
      <c r="O89" s="8"/>
      <c r="P89" s="17">
        <f t="shared" si="38"/>
        <v>111.86714285714285</v>
      </c>
      <c r="Q89" s="9"/>
      <c r="S89" s="66"/>
    </row>
    <row r="90" spans="1:19" ht="18" x14ac:dyDescent="0.2">
      <c r="A90" s="78"/>
      <c r="B90" s="2" t="s">
        <v>82</v>
      </c>
      <c r="C90" s="14">
        <f t="shared" ref="C90:H90" si="43">(C89-C39)/C41</f>
        <v>0.72279569892473117</v>
      </c>
      <c r="D90" s="14">
        <f t="shared" si="43"/>
        <v>0.80925531914893611</v>
      </c>
      <c r="E90" s="14">
        <f t="shared" si="43"/>
        <v>0.77995666305525468</v>
      </c>
      <c r="F90" s="14">
        <f t="shared" si="43"/>
        <v>0.76629213483146075</v>
      </c>
      <c r="G90" s="14">
        <f t="shared" si="43"/>
        <v>0.76906077348066293</v>
      </c>
      <c r="H90" s="14">
        <f t="shared" si="43"/>
        <v>0.76893523600439095</v>
      </c>
      <c r="I90" s="14">
        <f t="shared" ref="I90" si="44">(I89-I39)/I41</f>
        <v>0.79032258064516125</v>
      </c>
      <c r="J90" s="14"/>
      <c r="K90" s="14"/>
      <c r="L90" s="14"/>
      <c r="M90" s="14"/>
      <c r="N90" s="14"/>
      <c r="O90" s="8"/>
      <c r="P90" s="17">
        <f t="shared" si="38"/>
        <v>0.77237405801294245</v>
      </c>
      <c r="Q90" s="9"/>
      <c r="S90" s="66"/>
    </row>
    <row r="91" spans="1:19" ht="18" x14ac:dyDescent="0.2">
      <c r="A91" s="78"/>
      <c r="B91" s="2" t="s">
        <v>83</v>
      </c>
      <c r="C91" s="21">
        <v>624</v>
      </c>
      <c r="D91" s="21">
        <v>650</v>
      </c>
      <c r="E91" s="23">
        <v>668</v>
      </c>
      <c r="F91" s="23">
        <v>645</v>
      </c>
      <c r="G91" s="23">
        <v>654</v>
      </c>
      <c r="H91" s="23">
        <v>644</v>
      </c>
      <c r="I91" s="23">
        <v>648</v>
      </c>
      <c r="J91" s="23"/>
      <c r="K91" s="23"/>
      <c r="L91" s="23"/>
      <c r="M91" s="23"/>
      <c r="N91" s="23"/>
      <c r="O91" s="8"/>
      <c r="P91" s="17">
        <f t="shared" si="38"/>
        <v>647.57142857142856</v>
      </c>
      <c r="Q91" s="9"/>
      <c r="S91" s="66"/>
    </row>
    <row r="92" spans="1:19" ht="18" x14ac:dyDescent="0.2">
      <c r="A92" s="78"/>
      <c r="B92" s="2" t="s">
        <v>84</v>
      </c>
      <c r="C92" s="14">
        <f t="shared" ref="C92:I92" si="45">(C91-C40)/((C81*30.5)-C41)</f>
        <v>0.89273356401384085</v>
      </c>
      <c r="D92" s="14">
        <f t="shared" si="45"/>
        <v>0.92357019064124779</v>
      </c>
      <c r="E92" s="14">
        <f t="shared" si="45"/>
        <v>0.96225057018722937</v>
      </c>
      <c r="F92" s="14">
        <f t="shared" si="45"/>
        <v>0.88671583657910003</v>
      </c>
      <c r="G92" s="14">
        <f t="shared" si="45"/>
        <v>0.87591711682657436</v>
      </c>
      <c r="H92" s="14">
        <f t="shared" si="45"/>
        <v>0.89696715113836856</v>
      </c>
      <c r="I92" s="14">
        <f t="shared" si="45"/>
        <v>0.88678618857901736</v>
      </c>
      <c r="J92" s="14"/>
      <c r="K92" s="14"/>
      <c r="L92" s="14"/>
      <c r="M92" s="14"/>
      <c r="N92" s="14"/>
      <c r="O92" s="8"/>
      <c r="P92" s="17">
        <f t="shared" si="38"/>
        <v>0.90356294542362547</v>
      </c>
      <c r="Q92" s="9"/>
      <c r="S92" s="66"/>
    </row>
    <row r="93" spans="1:19" ht="18" x14ac:dyDescent="0.2">
      <c r="A93" s="78"/>
      <c r="B93" s="2" t="s">
        <v>85</v>
      </c>
      <c r="C93" s="14">
        <f t="shared" ref="C93:M93" si="46">IFERROR((C11+C12)/(C6+C11+C12)*100,"")</f>
        <v>47.919655667144909</v>
      </c>
      <c r="D93" s="14">
        <f t="shared" si="46"/>
        <v>50.028200789622112</v>
      </c>
      <c r="E93" s="14">
        <f t="shared" si="46"/>
        <v>49.768745620182202</v>
      </c>
      <c r="F93" s="14">
        <f>IFERROR((F11+F12)/(F6+F11+F12)*100,"")</f>
        <v>49.512398996935083</v>
      </c>
      <c r="G93" s="14">
        <f>IFERROR((G11+G12)/(G6+G11+G12)*100,"")</f>
        <v>49.625312239800166</v>
      </c>
      <c r="H93" s="14">
        <f t="shared" si="46"/>
        <v>49.835526315789473</v>
      </c>
      <c r="I93" s="14">
        <f t="shared" si="46"/>
        <v>50.271739130434781</v>
      </c>
      <c r="J93" s="14">
        <f t="shared" si="46"/>
        <v>50.51240560949298</v>
      </c>
      <c r="K93" s="14" t="str">
        <f t="shared" si="46"/>
        <v/>
      </c>
      <c r="L93" s="14" t="str">
        <f t="shared" si="46"/>
        <v/>
      </c>
      <c r="M93" s="14" t="str">
        <f t="shared" si="46"/>
        <v/>
      </c>
      <c r="N93" s="14"/>
      <c r="O93" s="8"/>
      <c r="P93" s="17">
        <f t="shared" si="38"/>
        <v>49.68424804617522</v>
      </c>
      <c r="Q93" s="9"/>
      <c r="S93" s="66"/>
    </row>
    <row r="94" spans="1:19" ht="19" thickBot="1" x14ac:dyDescent="0.25">
      <c r="A94" s="78"/>
      <c r="B94" s="2" t="s">
        <v>86</v>
      </c>
      <c r="C94" s="14">
        <f t="shared" ref="C94:I94" si="47">100-((AVERAGE(C98)*12)*(AVERAGE(C81)/12))</f>
        <v>74.970059880239518</v>
      </c>
      <c r="D94" s="14">
        <f t="shared" si="47"/>
        <v>83.878241262683204</v>
      </c>
      <c r="E94" s="14">
        <f t="shared" si="47"/>
        <v>74.06195437904816</v>
      </c>
      <c r="F94" s="14">
        <f t="shared" si="47"/>
        <v>85.948227349465384</v>
      </c>
      <c r="G94" s="14">
        <f t="shared" si="47"/>
        <v>80.453020134228183</v>
      </c>
      <c r="H94" s="14">
        <f t="shared" si="47"/>
        <v>86.386138613861391</v>
      </c>
      <c r="I94" s="14">
        <f t="shared" si="47"/>
        <v>90.140540540540542</v>
      </c>
      <c r="J94" s="14"/>
      <c r="K94" s="14"/>
      <c r="L94" s="14"/>
      <c r="M94" s="14"/>
      <c r="N94" s="14"/>
      <c r="O94" s="8"/>
      <c r="P94" s="17">
        <f t="shared" si="38"/>
        <v>82.262597451438054</v>
      </c>
      <c r="Q94" s="9"/>
      <c r="S94" s="66"/>
    </row>
    <row r="95" spans="1:19" ht="18" x14ac:dyDescent="0.2">
      <c r="A95" s="67" t="s">
        <v>87</v>
      </c>
      <c r="B95" s="5" t="s">
        <v>88</v>
      </c>
      <c r="C95" s="13">
        <f t="shared" ref="C95:H95" si="48">IFERROR(C18/C6*100,"")</f>
        <v>2.2038567493112948</v>
      </c>
      <c r="D95" s="13">
        <f t="shared" si="48"/>
        <v>2.6523702031602712</v>
      </c>
      <c r="E95" s="13">
        <f t="shared" si="48"/>
        <v>2.6785714285714284</v>
      </c>
      <c r="F95" s="13">
        <f t="shared" si="48"/>
        <v>2.3730684326710816</v>
      </c>
      <c r="G95" s="13">
        <f t="shared" si="48"/>
        <v>2.9201101928374653</v>
      </c>
      <c r="H95" s="13">
        <f t="shared" si="48"/>
        <v>3.9344262295081971</v>
      </c>
      <c r="I95" s="13">
        <f t="shared" ref="I95" si="49">IFERROR(I18/I6*100,"")</f>
        <v>2.622950819672131</v>
      </c>
      <c r="J95" s="13"/>
      <c r="K95" s="13"/>
      <c r="L95" s="13"/>
      <c r="M95" s="13"/>
      <c r="N95" s="13"/>
      <c r="O95" s="6"/>
      <c r="P95" s="25">
        <f t="shared" si="38"/>
        <v>2.7693362936759813</v>
      </c>
      <c r="Q95" s="7"/>
      <c r="S95" s="66"/>
    </row>
    <row r="96" spans="1:19" ht="18" x14ac:dyDescent="0.2">
      <c r="A96" s="68"/>
      <c r="B96" s="15" t="s">
        <v>89</v>
      </c>
      <c r="C96" s="16">
        <f t="shared" ref="C96:H96" si="50">(C19/C6*100)*12</f>
        <v>9.2561983471074392</v>
      </c>
      <c r="D96" s="16">
        <f t="shared" si="50"/>
        <v>18.284424379232505</v>
      </c>
      <c r="E96" s="16">
        <f t="shared" si="50"/>
        <v>14.0625</v>
      </c>
      <c r="F96" s="16">
        <f t="shared" si="50"/>
        <v>9.2715231788079482</v>
      </c>
      <c r="G96" s="16">
        <f t="shared" si="50"/>
        <v>11.239669421487603</v>
      </c>
      <c r="H96" s="16">
        <f t="shared" si="50"/>
        <v>16.393442622950818</v>
      </c>
      <c r="I96" s="16">
        <f t="shared" ref="I96" si="51">(I19/I6*100)*12</f>
        <v>10.491803278688524</v>
      </c>
      <c r="J96" s="16"/>
      <c r="K96" s="16"/>
      <c r="L96" s="16"/>
      <c r="M96" s="16"/>
      <c r="N96" s="14"/>
      <c r="O96" s="8"/>
      <c r="P96" s="17">
        <f t="shared" si="38"/>
        <v>12.714223032610692</v>
      </c>
      <c r="Q96" s="9"/>
      <c r="S96" s="66"/>
    </row>
    <row r="97" spans="1:19" ht="18" x14ac:dyDescent="0.2">
      <c r="A97" s="68"/>
      <c r="B97" s="2" t="s">
        <v>146</v>
      </c>
      <c r="C97" s="14">
        <f>C95*12</f>
        <v>26.446280991735538</v>
      </c>
      <c r="D97" s="14">
        <f>AVERAGE(C95:D95)*12</f>
        <v>29.137361714829396</v>
      </c>
      <c r="E97" s="14">
        <f>AVERAGE(C95:E95)*12</f>
        <v>30.139193524171979</v>
      </c>
      <c r="F97" s="14">
        <f>AVERAGE(C95:F95)*12</f>
        <v>29.723600441142228</v>
      </c>
      <c r="G97" s="14">
        <f>AVERAGE(C95:G95)*12</f>
        <v>30.787144815723703</v>
      </c>
      <c r="H97" s="14">
        <f>AVERAGE(C95:H95)*12</f>
        <v>33.524806472119479</v>
      </c>
      <c r="I97" s="14">
        <f>AVERAGE(C95:I95)*12</f>
        <v>33.23203552411178</v>
      </c>
      <c r="J97" s="14">
        <f>AVERAGE(C95:J95)*12</f>
        <v>33.23203552411178</v>
      </c>
      <c r="K97" s="14">
        <f>AVERAGE(C95:K95)*12</f>
        <v>33.23203552411178</v>
      </c>
      <c r="L97" s="14">
        <f>AVERAGE(C95:L95)*12</f>
        <v>33.23203552411178</v>
      </c>
      <c r="M97" s="14">
        <f>AVERAGE(C95:M95)*12</f>
        <v>33.23203552411178</v>
      </c>
      <c r="N97" s="14">
        <f>AVERAGE(C95:N95)*12</f>
        <v>33.23203552411178</v>
      </c>
      <c r="O97" s="8"/>
      <c r="P97" s="17">
        <f t="shared" si="38"/>
        <v>31.595883425366083</v>
      </c>
      <c r="Q97" s="9"/>
      <c r="S97" s="66"/>
    </row>
    <row r="98" spans="1:19" ht="18" x14ac:dyDescent="0.2">
      <c r="A98" s="68"/>
      <c r="B98" s="2" t="s">
        <v>90</v>
      </c>
      <c r="C98" s="14">
        <f t="shared" ref="C98:H98" si="52">IFERROR(C21/(C11+C12)*100,"")</f>
        <v>1.1377245508982037</v>
      </c>
      <c r="D98" s="14">
        <f t="shared" si="52"/>
        <v>0.73280721533258175</v>
      </c>
      <c r="E98" s="14">
        <f t="shared" si="52"/>
        <v>1.1827654181920586</v>
      </c>
      <c r="F98" s="14">
        <f t="shared" si="52"/>
        <v>0.61902082160945415</v>
      </c>
      <c r="G98" s="14">
        <f t="shared" si="52"/>
        <v>0.83892617449664431</v>
      </c>
      <c r="H98" s="14">
        <f t="shared" si="52"/>
        <v>0.60506050605060502</v>
      </c>
      <c r="I98" s="14">
        <f t="shared" ref="I98" si="53">IFERROR(I21/(I11+I12)*100,"")</f>
        <v>0.43243243243243246</v>
      </c>
      <c r="J98" s="14"/>
      <c r="K98" s="14"/>
      <c r="L98" s="14"/>
      <c r="M98" s="14"/>
      <c r="N98" s="14"/>
      <c r="O98" s="8"/>
      <c r="P98" s="17">
        <f t="shared" ref="P98:P107" si="54">AVERAGE(C98:N98)</f>
        <v>0.79267673128742566</v>
      </c>
      <c r="Q98" s="9"/>
      <c r="S98" s="66"/>
    </row>
    <row r="99" spans="1:19" ht="19" thickBot="1" x14ac:dyDescent="0.25">
      <c r="A99" s="68"/>
      <c r="B99" s="2" t="s">
        <v>91</v>
      </c>
      <c r="C99" s="14">
        <f t="shared" ref="C99:H99" si="55">IFERROR(C20/C10*100,"")</f>
        <v>5.5555555555555554</v>
      </c>
      <c r="D99" s="14">
        <f t="shared" si="55"/>
        <v>2.6717557251908395</v>
      </c>
      <c r="E99" s="14">
        <f t="shared" si="55"/>
        <v>5.4545454545454541</v>
      </c>
      <c r="F99" s="14">
        <f t="shared" si="55"/>
        <v>3.125</v>
      </c>
      <c r="G99" s="14">
        <f t="shared" si="55"/>
        <v>1.7985611510791366</v>
      </c>
      <c r="H99" s="14">
        <f t="shared" si="55"/>
        <v>3.0201342281879198</v>
      </c>
      <c r="I99" s="14">
        <f t="shared" ref="I99" si="56">IFERROR(I20/I10*100,"")</f>
        <v>2.1201413427561837</v>
      </c>
      <c r="J99" s="14"/>
      <c r="K99" s="14"/>
      <c r="L99" s="14"/>
      <c r="M99" s="14"/>
      <c r="N99" s="14"/>
      <c r="O99" s="8"/>
      <c r="P99" s="17">
        <f t="shared" si="54"/>
        <v>3.3922419224735845</v>
      </c>
      <c r="Q99" s="9"/>
      <c r="S99" s="66"/>
    </row>
    <row r="100" spans="1:19" ht="18" x14ac:dyDescent="0.2">
      <c r="A100" s="69" t="s">
        <v>92</v>
      </c>
      <c r="B100" s="5" t="s">
        <v>93</v>
      </c>
      <c r="C100" s="28">
        <v>201.63</v>
      </c>
      <c r="D100" s="28">
        <v>233</v>
      </c>
      <c r="E100" s="28">
        <v>253</v>
      </c>
      <c r="F100" s="28">
        <v>246</v>
      </c>
      <c r="G100" s="28">
        <v>245</v>
      </c>
      <c r="H100" s="28">
        <v>248</v>
      </c>
      <c r="I100" s="28">
        <v>250.5</v>
      </c>
      <c r="J100" s="28"/>
      <c r="K100" s="28"/>
      <c r="L100" s="28"/>
      <c r="M100" s="28"/>
      <c r="N100" s="28"/>
      <c r="O100" s="25"/>
      <c r="P100" s="25">
        <f t="shared" si="54"/>
        <v>239.59</v>
      </c>
      <c r="Q100" s="7"/>
      <c r="S100" s="66"/>
    </row>
    <row r="101" spans="1:19" ht="18" x14ac:dyDescent="0.2">
      <c r="A101" s="70"/>
      <c r="B101" s="2" t="s">
        <v>155</v>
      </c>
      <c r="C101" s="19">
        <v>13.1</v>
      </c>
      <c r="D101" s="19">
        <v>11.3</v>
      </c>
      <c r="E101" s="19">
        <v>8.5</v>
      </c>
      <c r="F101" s="19">
        <v>7</v>
      </c>
      <c r="G101" s="19">
        <v>7.4</v>
      </c>
      <c r="H101" s="19">
        <v>8.8000000000000007</v>
      </c>
      <c r="I101" s="19">
        <v>8.8000000000000007</v>
      </c>
      <c r="J101" s="19"/>
      <c r="K101" s="19"/>
      <c r="L101" s="19"/>
      <c r="M101" s="19"/>
      <c r="N101" s="19"/>
      <c r="O101" s="17"/>
      <c r="P101" s="17"/>
      <c r="Q101" s="18"/>
      <c r="S101" s="66"/>
    </row>
    <row r="102" spans="1:19" ht="18" x14ac:dyDescent="0.2">
      <c r="A102" s="70"/>
      <c r="B102" s="2" t="s">
        <v>156</v>
      </c>
      <c r="C102" s="19">
        <v>291</v>
      </c>
      <c r="D102" s="19">
        <v>292</v>
      </c>
      <c r="E102" s="19">
        <v>293</v>
      </c>
      <c r="F102" s="19">
        <v>292</v>
      </c>
      <c r="G102" s="19">
        <v>288</v>
      </c>
      <c r="H102" s="19">
        <v>303</v>
      </c>
      <c r="I102" s="19">
        <v>312</v>
      </c>
      <c r="J102" s="19"/>
      <c r="K102" s="19"/>
      <c r="L102" s="19"/>
      <c r="M102" s="19"/>
      <c r="N102" s="19"/>
      <c r="O102" s="17"/>
      <c r="P102" s="17"/>
      <c r="Q102" s="18"/>
      <c r="S102" s="66"/>
    </row>
    <row r="103" spans="1:19" ht="18" x14ac:dyDescent="0.2">
      <c r="A103" s="70"/>
      <c r="B103" s="2" t="s">
        <v>157</v>
      </c>
      <c r="C103" s="19">
        <v>10</v>
      </c>
      <c r="D103" s="19">
        <v>9.6</v>
      </c>
      <c r="E103" s="19">
        <v>6.5</v>
      </c>
      <c r="F103" s="19">
        <v>5.6</v>
      </c>
      <c r="G103" s="19">
        <v>5</v>
      </c>
      <c r="H103" s="19">
        <v>7.1</v>
      </c>
      <c r="I103" s="19">
        <v>8.1999999999999993</v>
      </c>
      <c r="J103" s="19"/>
      <c r="K103" s="19"/>
      <c r="L103" s="19"/>
      <c r="M103" s="19"/>
      <c r="N103" s="19"/>
      <c r="O103" s="17"/>
      <c r="P103" s="17"/>
      <c r="Q103" s="18"/>
      <c r="S103" s="66"/>
    </row>
    <row r="104" spans="1:19" ht="18" customHeight="1" x14ac:dyDescent="0.2">
      <c r="A104" s="70"/>
      <c r="B104" s="2" t="s">
        <v>94</v>
      </c>
      <c r="C104" s="24">
        <f>IFERROR(C8/C6*100,"")</f>
        <v>3.4000000000000004</v>
      </c>
      <c r="D104" s="24">
        <f>IFERROR(D8/D6*100,"")</f>
        <v>3.2167042889390518</v>
      </c>
      <c r="E104" s="24">
        <f>IFERROR(E8/E6*100,"")</f>
        <v>2.874575892857143</v>
      </c>
      <c r="F104" s="24">
        <f>IFERROR(F8/F6*100,"")</f>
        <v>2.54</v>
      </c>
      <c r="G104" s="24">
        <f>IFERROR(G8/G6*100,"")</f>
        <v>2.15</v>
      </c>
      <c r="H104" s="24">
        <f t="shared" ref="H104:I104" si="57">IFERROR(H8/H6*100,"")</f>
        <v>2.46</v>
      </c>
      <c r="I104" s="24">
        <f t="shared" si="57"/>
        <v>2.7868852459016393</v>
      </c>
      <c r="J104" s="24"/>
      <c r="K104" s="24"/>
      <c r="L104" s="24"/>
      <c r="M104" s="24"/>
      <c r="N104" s="24"/>
      <c r="O104" s="17"/>
      <c r="P104" s="17">
        <f t="shared" si="54"/>
        <v>2.7754522039568337</v>
      </c>
      <c r="Q104" s="9"/>
      <c r="R104" s="65"/>
      <c r="S104" s="66"/>
    </row>
    <row r="105" spans="1:19" ht="18" x14ac:dyDescent="0.2">
      <c r="A105" s="70"/>
      <c r="B105" s="2" t="s">
        <v>95</v>
      </c>
      <c r="C105" s="24">
        <f t="shared" ref="C105:H105" si="58">IFERROR(C33/C7*100,"")</f>
        <v>4.7468354430379751</v>
      </c>
      <c r="D105" s="24">
        <f t="shared" si="58"/>
        <v>3.293807641633729</v>
      </c>
      <c r="E105" s="24">
        <f t="shared" si="58"/>
        <v>2.5096525096525095</v>
      </c>
      <c r="F105" s="24">
        <f t="shared" si="58"/>
        <v>4.0251572327044025</v>
      </c>
      <c r="G105" s="24">
        <f t="shared" si="58"/>
        <v>7.1788413098236772</v>
      </c>
      <c r="H105" s="24">
        <f t="shared" si="58"/>
        <v>6.3737623762376234</v>
      </c>
      <c r="I105" s="24">
        <f t="shared" ref="I105" si="59">IFERROR(I33/I7*100,"")</f>
        <v>7.6687116564417179</v>
      </c>
      <c r="J105" s="24"/>
      <c r="K105" s="24"/>
      <c r="L105" s="24"/>
      <c r="M105" s="24"/>
      <c r="N105" s="24"/>
      <c r="O105" s="17"/>
      <c r="P105" s="17">
        <f t="shared" si="54"/>
        <v>5.1138240242188049</v>
      </c>
      <c r="Q105" s="9"/>
      <c r="R105" s="65"/>
      <c r="S105" s="66"/>
    </row>
    <row r="106" spans="1:19" ht="18" x14ac:dyDescent="0.2">
      <c r="A106" s="70"/>
      <c r="B106" s="2" t="s">
        <v>96</v>
      </c>
      <c r="C106" s="24">
        <f t="shared" ref="C106:H106" si="60">IFERROR(C7/C36*100,"")</f>
        <v>127.41935483870968</v>
      </c>
      <c r="D106" s="24">
        <f t="shared" si="60"/>
        <v>122.41935483870967</v>
      </c>
      <c r="E106" s="24">
        <f t="shared" si="60"/>
        <v>125.32258064516128</v>
      </c>
      <c r="F106" s="24">
        <f t="shared" si="60"/>
        <v>128.2258064516129</v>
      </c>
      <c r="G106" s="24">
        <f t="shared" si="60"/>
        <v>128.06451612903226</v>
      </c>
      <c r="H106" s="24">
        <f t="shared" si="60"/>
        <v>130.32258064516128</v>
      </c>
      <c r="I106" s="24">
        <f t="shared" ref="I106" si="61">IFERROR(I7/I36*100,"")</f>
        <v>131.45161290322579</v>
      </c>
      <c r="J106" s="24"/>
      <c r="K106" s="24"/>
      <c r="L106" s="24"/>
      <c r="M106" s="24"/>
      <c r="N106" s="24"/>
      <c r="O106" s="17"/>
      <c r="P106" s="17">
        <f t="shared" si="54"/>
        <v>127.6036866359447</v>
      </c>
      <c r="Q106" s="9"/>
      <c r="R106" s="65"/>
      <c r="S106" s="66"/>
    </row>
    <row r="107" spans="1:19" ht="19" thickBot="1" x14ac:dyDescent="0.25">
      <c r="A107" s="70"/>
      <c r="B107" s="2" t="s">
        <v>97</v>
      </c>
      <c r="C107" s="24">
        <f t="shared" ref="C107:H107" si="62">IFERROR(C38/C7,"")</f>
        <v>0.46962025316455697</v>
      </c>
      <c r="D107" s="24">
        <f t="shared" si="62"/>
        <v>0.48880105401844531</v>
      </c>
      <c r="E107" s="24">
        <f t="shared" si="62"/>
        <v>0.47747747747747749</v>
      </c>
      <c r="F107" s="24">
        <f t="shared" si="62"/>
        <v>0.46666666666666667</v>
      </c>
      <c r="G107" s="24">
        <f t="shared" si="62"/>
        <v>0.46725440806045337</v>
      </c>
      <c r="H107" s="24">
        <f t="shared" si="62"/>
        <v>0.45915841584158418</v>
      </c>
      <c r="I107" s="24">
        <f t="shared" ref="I107" si="63">IFERROR(I38/I7,"")</f>
        <v>0.45521472392638035</v>
      </c>
      <c r="J107" s="24"/>
      <c r="K107" s="24"/>
      <c r="L107" s="24"/>
      <c r="M107" s="24"/>
      <c r="N107" s="24"/>
      <c r="O107" s="17"/>
      <c r="P107" s="17">
        <f t="shared" si="54"/>
        <v>0.46917042845079493</v>
      </c>
      <c r="Q107" s="9"/>
      <c r="R107" s="65"/>
      <c r="S107" s="66"/>
    </row>
    <row r="108" spans="1:19" ht="18" x14ac:dyDescent="0.2">
      <c r="A108" s="71" t="s">
        <v>98</v>
      </c>
      <c r="B108" s="5" t="s">
        <v>99</v>
      </c>
      <c r="C108" s="28">
        <v>34.643749999999997</v>
      </c>
      <c r="D108" s="28">
        <v>34.140425531914893</v>
      </c>
      <c r="E108" s="28">
        <v>32.318181818181827</v>
      </c>
      <c r="F108" s="28">
        <v>33.256</v>
      </c>
      <c r="G108" s="28">
        <v>34.186956521739127</v>
      </c>
      <c r="H108" s="28">
        <v>35.028301886792462</v>
      </c>
      <c r="I108" s="28">
        <v>31.205882352941178</v>
      </c>
      <c r="J108" s="28"/>
      <c r="K108" s="28"/>
      <c r="L108" s="28"/>
      <c r="M108" s="28"/>
      <c r="N108" s="28"/>
      <c r="O108" s="25"/>
      <c r="P108" s="25">
        <f t="shared" ref="P108:P133" si="64">AVERAGE(C108:N108)</f>
        <v>33.539928301652779</v>
      </c>
      <c r="Q108" s="31"/>
      <c r="R108" s="65"/>
      <c r="S108" s="66"/>
    </row>
    <row r="109" spans="1:19" ht="18" x14ac:dyDescent="0.2">
      <c r="A109" s="72"/>
      <c r="B109" s="2" t="s">
        <v>100</v>
      </c>
      <c r="C109" s="19">
        <v>43.739583333333343</v>
      </c>
      <c r="D109" s="19">
        <v>41.260714285714293</v>
      </c>
      <c r="E109" s="19">
        <v>42.087037037037042</v>
      </c>
      <c r="F109" s="19">
        <v>41.12567567567568</v>
      </c>
      <c r="G109" s="19">
        <v>42.363157894736844</v>
      </c>
      <c r="H109" s="19">
        <v>43.155737704918046</v>
      </c>
      <c r="I109" s="19">
        <v>42.642857142857146</v>
      </c>
      <c r="J109" s="19"/>
      <c r="K109" s="19"/>
      <c r="L109" s="19"/>
      <c r="M109" s="19"/>
      <c r="N109" s="19"/>
      <c r="O109" s="17"/>
      <c r="P109" s="17">
        <f t="shared" si="64"/>
        <v>42.339251867753198</v>
      </c>
      <c r="Q109" s="18"/>
      <c r="R109" s="65"/>
      <c r="S109" s="66"/>
    </row>
    <row r="110" spans="1:19" ht="18" x14ac:dyDescent="0.2">
      <c r="A110" s="72"/>
      <c r="B110" s="2" t="s">
        <v>101</v>
      </c>
      <c r="C110" s="19">
        <v>43.868852459016395</v>
      </c>
      <c r="D110" s="19">
        <v>49.622448979591844</v>
      </c>
      <c r="E110" s="19">
        <v>44.627868852459024</v>
      </c>
      <c r="F110" s="19">
        <v>47.04655172413792</v>
      </c>
      <c r="G110" s="19">
        <v>46.62439024390244</v>
      </c>
      <c r="H110" s="19">
        <v>45.627868852459009</v>
      </c>
      <c r="I110" s="19">
        <v>45.524590163934427</v>
      </c>
      <c r="J110" s="19"/>
      <c r="K110" s="19"/>
      <c r="L110" s="19"/>
      <c r="M110" s="19"/>
      <c r="N110" s="19"/>
      <c r="O110" s="17"/>
      <c r="P110" s="17">
        <f t="shared" si="64"/>
        <v>46.134653039357296</v>
      </c>
      <c r="Q110" s="18"/>
      <c r="R110" s="65"/>
      <c r="S110" s="66"/>
    </row>
    <row r="111" spans="1:19" ht="18" x14ac:dyDescent="0.2">
      <c r="A111" s="72"/>
      <c r="B111" s="2" t="s">
        <v>102</v>
      </c>
      <c r="C111" s="19">
        <v>48.062295081967235</v>
      </c>
      <c r="D111" s="19">
        <v>45.419672131147557</v>
      </c>
      <c r="E111" s="19">
        <v>49.57021276595745</v>
      </c>
      <c r="F111" s="19">
        <v>48.407017543859666</v>
      </c>
      <c r="G111" s="19">
        <v>51.276363636363648</v>
      </c>
      <c r="H111" s="19">
        <v>49.887323943661968</v>
      </c>
      <c r="I111" s="19">
        <v>47.147540983606561</v>
      </c>
      <c r="J111" s="19"/>
      <c r="K111" s="19"/>
      <c r="L111" s="19"/>
      <c r="M111" s="19"/>
      <c r="N111" s="19"/>
      <c r="O111" s="17"/>
      <c r="P111" s="17">
        <f t="shared" si="64"/>
        <v>48.538632298080586</v>
      </c>
      <c r="Q111" s="18"/>
      <c r="R111" s="65"/>
      <c r="S111" s="66"/>
    </row>
    <row r="112" spans="1:19" ht="18" x14ac:dyDescent="0.2">
      <c r="A112" s="72"/>
      <c r="B112" s="2" t="s">
        <v>103</v>
      </c>
      <c r="C112" s="19">
        <v>48.479591836734691</v>
      </c>
      <c r="D112" s="19">
        <v>47.84426229508199</v>
      </c>
      <c r="E112" s="19">
        <v>45.195238095238096</v>
      </c>
      <c r="F112" s="19">
        <v>50.589583333333309</v>
      </c>
      <c r="G112" s="19">
        <v>50.071186440677963</v>
      </c>
      <c r="H112" s="19">
        <v>47.660714285714313</v>
      </c>
      <c r="I112" s="19">
        <v>50.225352112676056</v>
      </c>
      <c r="J112" s="19"/>
      <c r="K112" s="19"/>
      <c r="L112" s="19"/>
      <c r="M112" s="19"/>
      <c r="N112" s="19"/>
      <c r="O112" s="17"/>
      <c r="P112" s="17">
        <f t="shared" si="64"/>
        <v>48.58084691420806</v>
      </c>
      <c r="Q112" s="18"/>
      <c r="R112" s="65"/>
      <c r="S112" s="66"/>
    </row>
    <row r="113" spans="1:19" ht="18" x14ac:dyDescent="0.2">
      <c r="A113" s="72"/>
      <c r="B113" s="2" t="s">
        <v>104</v>
      </c>
      <c r="C113" s="19">
        <v>45.009433962264168</v>
      </c>
      <c r="D113" s="19">
        <v>48.259574468085091</v>
      </c>
      <c r="E113" s="19">
        <v>48.601639344262303</v>
      </c>
      <c r="F113" s="19">
        <v>45.134920634920618</v>
      </c>
      <c r="G113" s="19">
        <v>48.106666666666669</v>
      </c>
      <c r="H113" s="19">
        <v>49.701470588235289</v>
      </c>
      <c r="I113" s="19">
        <v>47.727272727272727</v>
      </c>
      <c r="J113" s="19"/>
      <c r="K113" s="19"/>
      <c r="L113" s="19"/>
      <c r="M113" s="19"/>
      <c r="N113" s="19"/>
      <c r="O113" s="17"/>
      <c r="P113" s="17">
        <f t="shared" si="64"/>
        <v>47.505854055958132</v>
      </c>
      <c r="Q113" s="18"/>
      <c r="R113" s="65"/>
      <c r="S113" s="66"/>
    </row>
    <row r="114" spans="1:19" ht="18" x14ac:dyDescent="0.2">
      <c r="A114" s="72"/>
      <c r="B114" s="2" t="s">
        <v>105</v>
      </c>
      <c r="C114" s="19">
        <v>41.263829787234037</v>
      </c>
      <c r="D114" s="19">
        <v>43.915094339622634</v>
      </c>
      <c r="E114" s="19">
        <v>46.718367346938784</v>
      </c>
      <c r="F114" s="19">
        <v>49.02166666666669</v>
      </c>
      <c r="G114" s="19">
        <v>46.462903225806457</v>
      </c>
      <c r="H114" s="19">
        <v>47.902173913043477</v>
      </c>
      <c r="I114" s="19">
        <v>47.823529411764703</v>
      </c>
      <c r="J114" s="19"/>
      <c r="K114" s="19"/>
      <c r="L114" s="19"/>
      <c r="M114" s="19"/>
      <c r="N114" s="19"/>
      <c r="O114" s="17"/>
      <c r="P114" s="17">
        <f t="shared" si="64"/>
        <v>46.158223527296684</v>
      </c>
      <c r="Q114" s="18"/>
      <c r="R114" s="65"/>
      <c r="S114" s="66"/>
    </row>
    <row r="115" spans="1:19" ht="18" x14ac:dyDescent="0.2">
      <c r="A115" s="72"/>
      <c r="B115" s="2" t="s">
        <v>106</v>
      </c>
      <c r="C115" s="19">
        <v>44.272340425531908</v>
      </c>
      <c r="D115" s="19">
        <v>40.684782608695649</v>
      </c>
      <c r="E115" s="19">
        <v>41.386792452830186</v>
      </c>
      <c r="F115" s="19">
        <v>44.102325581395355</v>
      </c>
      <c r="G115" s="19">
        <v>47.42343749999997</v>
      </c>
      <c r="H115" s="19">
        <v>45.728813559322028</v>
      </c>
      <c r="I115" s="19">
        <v>46.225000000000001</v>
      </c>
      <c r="J115" s="19"/>
      <c r="K115" s="19"/>
      <c r="L115" s="19"/>
      <c r="M115" s="19"/>
      <c r="N115" s="19"/>
      <c r="O115" s="17"/>
      <c r="P115" s="17">
        <f t="shared" si="64"/>
        <v>44.260498875396443</v>
      </c>
      <c r="Q115" s="18"/>
      <c r="R115" s="65"/>
      <c r="S115" s="66"/>
    </row>
    <row r="116" spans="1:19" ht="18" x14ac:dyDescent="0.2">
      <c r="A116" s="72"/>
      <c r="B116" s="2" t="s">
        <v>107</v>
      </c>
      <c r="C116" s="19">
        <v>41.486440677966122</v>
      </c>
      <c r="D116" s="19">
        <v>42.333333333333336</v>
      </c>
      <c r="E116" s="19">
        <v>39.43478260869567</v>
      </c>
      <c r="F116" s="19">
        <v>43.00566037735851</v>
      </c>
      <c r="G116" s="19">
        <v>45.565957446808511</v>
      </c>
      <c r="H116" s="19">
        <v>47.394999999999989</v>
      </c>
      <c r="I116" s="19">
        <v>44.482758620689658</v>
      </c>
      <c r="J116" s="19"/>
      <c r="K116" s="19"/>
      <c r="L116" s="19"/>
      <c r="M116" s="19"/>
      <c r="N116" s="19"/>
      <c r="O116" s="17"/>
      <c r="P116" s="17">
        <f t="shared" si="64"/>
        <v>43.386276152121688</v>
      </c>
      <c r="Q116" s="18"/>
      <c r="R116" s="65"/>
      <c r="S116" s="66"/>
    </row>
    <row r="117" spans="1:19" ht="18" x14ac:dyDescent="0.2">
      <c r="A117" s="72"/>
      <c r="B117" s="2" t="s">
        <v>108</v>
      </c>
      <c r="C117" s="19">
        <v>41.377272727272732</v>
      </c>
      <c r="D117" s="19">
        <v>36.300000000000004</v>
      </c>
      <c r="E117" s="19">
        <v>41.440540540540539</v>
      </c>
      <c r="F117" s="19">
        <v>38.527777777777786</v>
      </c>
      <c r="G117" s="19">
        <v>37.208571428571425</v>
      </c>
      <c r="H117" s="19">
        <v>42.658139534883723</v>
      </c>
      <c r="I117" s="19">
        <v>45.622641509433961</v>
      </c>
      <c r="J117" s="19"/>
      <c r="K117" s="19"/>
      <c r="L117" s="19"/>
      <c r="M117" s="19"/>
      <c r="N117" s="19"/>
      <c r="O117" s="17"/>
      <c r="P117" s="17">
        <f t="shared" si="64"/>
        <v>40.447849074068593</v>
      </c>
      <c r="Q117" s="18"/>
      <c r="R117" s="65"/>
      <c r="S117" s="66"/>
    </row>
    <row r="118" spans="1:19" ht="18" x14ac:dyDescent="0.2">
      <c r="A118" s="72"/>
      <c r="B118" s="2" t="s">
        <v>109</v>
      </c>
      <c r="C118" s="19">
        <v>35.953124999999986</v>
      </c>
      <c r="D118" s="19">
        <v>39.237931034482756</v>
      </c>
      <c r="E118" s="19">
        <v>39.452631578947354</v>
      </c>
      <c r="F118" s="19">
        <v>38.370370370370381</v>
      </c>
      <c r="G118" s="19">
        <v>37.307142857142864</v>
      </c>
      <c r="H118" s="19">
        <v>39.416666666666671</v>
      </c>
      <c r="I118" s="19">
        <v>42.666666666666664</v>
      </c>
      <c r="J118" s="19"/>
      <c r="K118" s="19"/>
      <c r="L118" s="19"/>
      <c r="M118" s="19"/>
      <c r="N118" s="19"/>
      <c r="O118" s="17"/>
      <c r="P118" s="17">
        <f t="shared" si="64"/>
        <v>38.914933453468102</v>
      </c>
      <c r="Q118" s="18"/>
      <c r="R118" s="65"/>
      <c r="S118" s="66"/>
    </row>
    <row r="119" spans="1:19" ht="18" x14ac:dyDescent="0.2">
      <c r="A119" s="72"/>
      <c r="B119" s="2" t="s">
        <v>110</v>
      </c>
      <c r="C119" s="19">
        <v>37.477272727272734</v>
      </c>
      <c r="D119" s="19">
        <v>31.464000000000002</v>
      </c>
      <c r="E119" s="19">
        <v>37.010000000000005</v>
      </c>
      <c r="F119" s="19">
        <v>42.920833333333348</v>
      </c>
      <c r="G119" s="19">
        <v>37.725000000000001</v>
      </c>
      <c r="H119" s="19">
        <v>39.43181818181818</v>
      </c>
      <c r="I119" s="19">
        <v>36.347826086956523</v>
      </c>
      <c r="J119" s="19"/>
      <c r="K119" s="19"/>
      <c r="L119" s="19"/>
      <c r="M119" s="19"/>
      <c r="N119" s="19"/>
      <c r="O119" s="17"/>
      <c r="P119" s="17">
        <f t="shared" si="64"/>
        <v>37.482392904197255</v>
      </c>
      <c r="Q119" s="18"/>
      <c r="R119" s="65"/>
      <c r="S119" s="66"/>
    </row>
    <row r="120" spans="1:19" ht="18" x14ac:dyDescent="0.2">
      <c r="A120" s="72"/>
      <c r="B120" s="2" t="s">
        <v>111</v>
      </c>
      <c r="C120" s="19">
        <v>31.478947368421046</v>
      </c>
      <c r="D120" s="19">
        <v>31.524561403508777</v>
      </c>
      <c r="E120" s="19">
        <v>34.769811320754727</v>
      </c>
      <c r="F120" s="19">
        <v>33.959259259259255</v>
      </c>
      <c r="G120" s="19">
        <v>35.4017543859649</v>
      </c>
      <c r="H120" s="19">
        <v>35.987719298245622</v>
      </c>
      <c r="I120" s="19">
        <v>32.15</v>
      </c>
      <c r="J120" s="19"/>
      <c r="K120" s="19"/>
      <c r="L120" s="19"/>
      <c r="M120" s="19"/>
      <c r="N120" s="19"/>
      <c r="O120" s="17"/>
      <c r="P120" s="17">
        <f t="shared" si="64"/>
        <v>33.610293290879191</v>
      </c>
      <c r="Q120" s="18"/>
      <c r="R120" s="65"/>
      <c r="S120" s="66"/>
    </row>
    <row r="121" spans="1:19" ht="18" x14ac:dyDescent="0.2">
      <c r="A121" s="72"/>
      <c r="B121" s="2" t="s">
        <v>112</v>
      </c>
      <c r="C121" s="19">
        <v>45.285333333333327</v>
      </c>
      <c r="D121" s="19">
        <v>41.845652173913038</v>
      </c>
      <c r="E121" s="19">
        <v>39.495412844036707</v>
      </c>
      <c r="F121" s="19">
        <v>38.88630136986302</v>
      </c>
      <c r="G121" s="19">
        <v>40.096739130434784</v>
      </c>
      <c r="H121" s="19">
        <v>43.711904761904755</v>
      </c>
      <c r="I121" s="19">
        <v>36.539682539682538</v>
      </c>
      <c r="J121" s="19"/>
      <c r="K121" s="19"/>
      <c r="L121" s="19"/>
      <c r="M121" s="19"/>
      <c r="N121" s="19"/>
      <c r="O121" s="17"/>
      <c r="P121" s="17">
        <f t="shared" si="64"/>
        <v>40.837289450452595</v>
      </c>
      <c r="Q121" s="18"/>
      <c r="R121" s="65"/>
      <c r="S121" s="66"/>
    </row>
    <row r="122" spans="1:19" ht="18" x14ac:dyDescent="0.2">
      <c r="A122" s="72"/>
      <c r="B122" s="2" t="s">
        <v>113</v>
      </c>
      <c r="C122" s="19">
        <v>53.703333333333326</v>
      </c>
      <c r="D122" s="19">
        <v>53.360240963855418</v>
      </c>
      <c r="E122" s="19">
        <v>49.217346938775492</v>
      </c>
      <c r="F122" s="19">
        <v>43.557065217391298</v>
      </c>
      <c r="G122" s="19">
        <v>55.123762376237607</v>
      </c>
      <c r="H122" s="19">
        <v>54.526136363636347</v>
      </c>
      <c r="I122" s="19">
        <v>50.670329670329672</v>
      </c>
      <c r="J122" s="19"/>
      <c r="K122" s="19"/>
      <c r="L122" s="19"/>
      <c r="M122" s="19"/>
      <c r="N122" s="19"/>
      <c r="O122" s="17"/>
      <c r="P122" s="17">
        <f t="shared" si="64"/>
        <v>51.451173551937025</v>
      </c>
      <c r="Q122" s="18"/>
      <c r="R122" s="65"/>
      <c r="S122" s="66"/>
    </row>
    <row r="123" spans="1:19" ht="18" x14ac:dyDescent="0.2">
      <c r="A123" s="72"/>
      <c r="B123" s="2" t="s">
        <v>114</v>
      </c>
      <c r="C123" s="19">
        <v>59.85263157894736</v>
      </c>
      <c r="D123" s="19">
        <v>54.154878048780489</v>
      </c>
      <c r="E123" s="19">
        <v>54.878823529411804</v>
      </c>
      <c r="F123" s="19">
        <v>48.894303797468382</v>
      </c>
      <c r="G123" s="19">
        <v>51.232407407407386</v>
      </c>
      <c r="H123" s="19">
        <v>50.654166666666661</v>
      </c>
      <c r="I123" s="19">
        <v>53.5632183908046</v>
      </c>
      <c r="J123" s="19"/>
      <c r="K123" s="19"/>
      <c r="L123" s="19"/>
      <c r="M123" s="19"/>
      <c r="N123" s="19"/>
      <c r="O123" s="17"/>
      <c r="P123" s="17">
        <f t="shared" si="64"/>
        <v>53.318632774212382</v>
      </c>
      <c r="Q123" s="18"/>
      <c r="R123" s="65"/>
      <c r="S123" s="66"/>
    </row>
    <row r="124" spans="1:19" ht="18" x14ac:dyDescent="0.2">
      <c r="A124" s="72"/>
      <c r="B124" s="2" t="s">
        <v>115</v>
      </c>
      <c r="C124" s="19">
        <v>55.675806451612914</v>
      </c>
      <c r="D124" s="19">
        <v>56.379729729729732</v>
      </c>
      <c r="E124" s="19">
        <v>53.929268292682934</v>
      </c>
      <c r="F124" s="19">
        <v>51.555244755244779</v>
      </c>
      <c r="G124" s="19">
        <v>50.642105263157916</v>
      </c>
      <c r="H124" s="19">
        <v>52.152577319587643</v>
      </c>
      <c r="I124" s="19">
        <v>51.678160919540232</v>
      </c>
      <c r="J124" s="19"/>
      <c r="K124" s="19"/>
      <c r="L124" s="19"/>
      <c r="M124" s="19"/>
      <c r="N124" s="19"/>
      <c r="O124" s="17"/>
      <c r="P124" s="17">
        <f t="shared" si="64"/>
        <v>53.144698961650874</v>
      </c>
      <c r="Q124" s="18"/>
      <c r="R124" s="65"/>
      <c r="S124" s="66"/>
    </row>
    <row r="125" spans="1:19" ht="18" x14ac:dyDescent="0.2">
      <c r="A125" s="72"/>
      <c r="B125" s="2" t="s">
        <v>116</v>
      </c>
      <c r="C125" s="19">
        <v>50.815151515151506</v>
      </c>
      <c r="D125" s="19">
        <v>49.429687500000007</v>
      </c>
      <c r="E125" s="19">
        <v>52.406849315068506</v>
      </c>
      <c r="F125" s="19">
        <v>53.054782608695639</v>
      </c>
      <c r="G125" s="19">
        <v>52.047435897435911</v>
      </c>
      <c r="H125" s="19">
        <v>46.996938775510202</v>
      </c>
      <c r="I125" s="19">
        <v>46.6</v>
      </c>
      <c r="J125" s="19"/>
      <c r="K125" s="19"/>
      <c r="L125" s="19"/>
      <c r="M125" s="19"/>
      <c r="N125" s="19"/>
      <c r="O125" s="17"/>
      <c r="P125" s="17">
        <f t="shared" si="64"/>
        <v>50.192977944551686</v>
      </c>
      <c r="Q125" s="18"/>
      <c r="R125" s="65"/>
      <c r="S125" s="66"/>
    </row>
    <row r="126" spans="1:19" ht="18" x14ac:dyDescent="0.2">
      <c r="A126" s="72"/>
      <c r="B126" s="2" t="s">
        <v>117</v>
      </c>
      <c r="C126" s="19">
        <v>48.141463414634131</v>
      </c>
      <c r="D126" s="19">
        <v>46.395161290322548</v>
      </c>
      <c r="E126" s="19">
        <v>46.359322033898309</v>
      </c>
      <c r="F126" s="19">
        <v>47.645736434108528</v>
      </c>
      <c r="G126" s="19">
        <v>53.166666666666643</v>
      </c>
      <c r="H126" s="19">
        <v>45.896103896103881</v>
      </c>
      <c r="I126" s="19">
        <v>43.755555555555553</v>
      </c>
      <c r="J126" s="19"/>
      <c r="K126" s="19"/>
      <c r="L126" s="19"/>
      <c r="M126" s="19"/>
      <c r="N126" s="19"/>
      <c r="O126" s="17"/>
      <c r="P126" s="17">
        <f t="shared" si="64"/>
        <v>47.337144184469942</v>
      </c>
      <c r="Q126" s="18"/>
      <c r="R126" s="65"/>
      <c r="S126" s="66"/>
    </row>
    <row r="127" spans="1:19" ht="18" x14ac:dyDescent="0.2">
      <c r="A127" s="72"/>
      <c r="B127" s="2" t="s">
        <v>118</v>
      </c>
      <c r="C127" s="19">
        <v>44.561538461538476</v>
      </c>
      <c r="D127" s="19">
        <v>45.75333333333333</v>
      </c>
      <c r="E127" s="19">
        <v>45.659016393442627</v>
      </c>
      <c r="F127" s="19">
        <v>47.576106194690276</v>
      </c>
      <c r="G127" s="19">
        <v>49.915942028985498</v>
      </c>
      <c r="H127" s="19">
        <v>48.521333333333331</v>
      </c>
      <c r="I127" s="19">
        <v>42.285714285714285</v>
      </c>
      <c r="J127" s="19"/>
      <c r="K127" s="19"/>
      <c r="L127" s="19"/>
      <c r="M127" s="19"/>
      <c r="N127" s="19"/>
      <c r="O127" s="17"/>
      <c r="P127" s="17">
        <f t="shared" si="64"/>
        <v>46.324712004433984</v>
      </c>
      <c r="Q127" s="18"/>
      <c r="R127" s="65"/>
      <c r="S127" s="66"/>
    </row>
    <row r="128" spans="1:19" ht="18" x14ac:dyDescent="0.2">
      <c r="A128" s="72"/>
      <c r="B128" s="2" t="s">
        <v>119</v>
      </c>
      <c r="C128" s="19">
        <v>37.320338983050839</v>
      </c>
      <c r="D128" s="19">
        <v>43.44533333333333</v>
      </c>
      <c r="E128" s="19">
        <v>43.267948717948734</v>
      </c>
      <c r="F128" s="19">
        <v>43.821296296296296</v>
      </c>
      <c r="G128" s="19">
        <v>46.88653846153845</v>
      </c>
      <c r="H128" s="19">
        <v>47.404761904761898</v>
      </c>
      <c r="I128" s="19">
        <v>43.315789473684212</v>
      </c>
      <c r="J128" s="19"/>
      <c r="K128" s="19"/>
      <c r="L128" s="19"/>
      <c r="M128" s="19"/>
      <c r="N128" s="19"/>
      <c r="O128" s="17"/>
      <c r="P128" s="17">
        <f t="shared" si="64"/>
        <v>43.637429595801962</v>
      </c>
      <c r="Q128" s="18"/>
      <c r="R128" s="65"/>
      <c r="S128" s="66"/>
    </row>
    <row r="129" spans="1:19" ht="18" x14ac:dyDescent="0.2">
      <c r="A129" s="72"/>
      <c r="B129" s="2" t="s">
        <v>120</v>
      </c>
      <c r="C129" s="19">
        <v>36.178125000000001</v>
      </c>
      <c r="D129" s="19">
        <v>37.531914893617021</v>
      </c>
      <c r="E129" s="19">
        <v>38.90428571428572</v>
      </c>
      <c r="F129" s="19">
        <v>42.323770491803273</v>
      </c>
      <c r="G129" s="19">
        <v>43.04528301886792</v>
      </c>
      <c r="H129" s="19">
        <v>41.666666666666664</v>
      </c>
      <c r="I129" s="19">
        <v>43.833333333333336</v>
      </c>
      <c r="J129" s="19"/>
      <c r="K129" s="19"/>
      <c r="L129" s="19"/>
      <c r="M129" s="19"/>
      <c r="N129" s="19"/>
      <c r="O129" s="17"/>
      <c r="P129" s="17">
        <f t="shared" si="64"/>
        <v>40.497625588367704</v>
      </c>
      <c r="Q129" s="18"/>
      <c r="R129" s="65"/>
      <c r="S129" s="66"/>
    </row>
    <row r="130" spans="1:19" ht="18" x14ac:dyDescent="0.2">
      <c r="A130" s="72"/>
      <c r="B130" s="2" t="s">
        <v>121</v>
      </c>
      <c r="C130" s="19">
        <v>36.017543859649123</v>
      </c>
      <c r="D130" s="19">
        <v>34.519642857142856</v>
      </c>
      <c r="E130" s="19">
        <v>34.845652173913038</v>
      </c>
      <c r="F130" s="19">
        <v>38.035632183908064</v>
      </c>
      <c r="G130" s="19">
        <v>40.912500000000001</v>
      </c>
      <c r="H130" s="19">
        <v>41.660975609756107</v>
      </c>
      <c r="I130" s="19">
        <v>36.274999999999999</v>
      </c>
      <c r="J130" s="19"/>
      <c r="K130" s="19"/>
      <c r="L130" s="19"/>
      <c r="M130" s="19"/>
      <c r="N130" s="19"/>
      <c r="O130" s="17"/>
      <c r="P130" s="17">
        <f t="shared" si="64"/>
        <v>37.466706669195595</v>
      </c>
      <c r="Q130" s="18"/>
      <c r="S130" s="66"/>
    </row>
    <row r="131" spans="1:19" ht="18" x14ac:dyDescent="0.2">
      <c r="A131" s="72"/>
      <c r="B131" s="2" t="s">
        <v>122</v>
      </c>
      <c r="C131" s="19">
        <v>35.217073170731702</v>
      </c>
      <c r="D131" s="19">
        <v>35.268292682926834</v>
      </c>
      <c r="E131" s="19">
        <v>34.792500000000004</v>
      </c>
      <c r="F131" s="19">
        <v>34.646666666666661</v>
      </c>
      <c r="G131" s="19">
        <v>38.526470588235298</v>
      </c>
      <c r="H131" s="19">
        <v>40.405128205128207</v>
      </c>
      <c r="I131" s="19">
        <v>37.827586206896555</v>
      </c>
      <c r="J131" s="19"/>
      <c r="K131" s="19"/>
      <c r="L131" s="19"/>
      <c r="M131" s="19"/>
      <c r="N131" s="19"/>
      <c r="O131" s="17"/>
      <c r="P131" s="17">
        <f t="shared" si="64"/>
        <v>36.669102502940753</v>
      </c>
      <c r="Q131" s="18"/>
      <c r="S131" s="66"/>
    </row>
    <row r="132" spans="1:19" ht="18" x14ac:dyDescent="0.2">
      <c r="A132" s="72"/>
      <c r="B132" s="2" t="s">
        <v>123</v>
      </c>
      <c r="C132" s="19">
        <v>26.655555555555559</v>
      </c>
      <c r="D132" s="19">
        <v>32.306666666666665</v>
      </c>
      <c r="E132" s="19">
        <v>34.53793103448276</v>
      </c>
      <c r="F132" s="19">
        <v>38.325925925925922</v>
      </c>
      <c r="G132" s="19">
        <v>34.87619047619048</v>
      </c>
      <c r="H132" s="19">
        <v>35.929032258064517</v>
      </c>
      <c r="I132" s="19">
        <v>36.833333333333336</v>
      </c>
      <c r="J132" s="19"/>
      <c r="K132" s="19"/>
      <c r="L132" s="19"/>
      <c r="M132" s="19"/>
      <c r="N132" s="19"/>
      <c r="O132" s="17"/>
      <c r="P132" s="17">
        <f t="shared" si="64"/>
        <v>34.209233607174177</v>
      </c>
      <c r="Q132" s="18"/>
      <c r="S132" s="66"/>
    </row>
    <row r="133" spans="1:19" ht="19" thickBot="1" x14ac:dyDescent="0.25">
      <c r="A133" s="73"/>
      <c r="B133" s="10" t="s">
        <v>124</v>
      </c>
      <c r="C133" s="29">
        <v>24.167796610169489</v>
      </c>
      <c r="D133" s="29">
        <v>25.626229508196722</v>
      </c>
      <c r="E133" s="29">
        <v>29.371874999999999</v>
      </c>
      <c r="F133" s="29">
        <v>32.605982905982906</v>
      </c>
      <c r="G133" s="29">
        <v>31.362666666666666</v>
      </c>
      <c r="H133" s="29">
        <v>31.714062500000001</v>
      </c>
      <c r="I133" s="29">
        <v>29.661538461538463</v>
      </c>
      <c r="J133" s="29"/>
      <c r="K133" s="29"/>
      <c r="L133" s="29"/>
      <c r="M133" s="29"/>
      <c r="N133" s="29"/>
      <c r="O133" s="26"/>
      <c r="P133" s="26">
        <f t="shared" si="64"/>
        <v>29.215735950364891</v>
      </c>
      <c r="Q133" s="32"/>
      <c r="S133" s="66"/>
    </row>
  </sheetData>
  <mergeCells count="9">
    <mergeCell ref="A95:A99"/>
    <mergeCell ref="A100:A107"/>
    <mergeCell ref="A108:A133"/>
    <mergeCell ref="A1:Q3"/>
    <mergeCell ref="A43:A62"/>
    <mergeCell ref="A82:A88"/>
    <mergeCell ref="A89:A94"/>
    <mergeCell ref="A5:A41"/>
    <mergeCell ref="A63:A81"/>
  </mergeCells>
  <phoneticPr fontId="8" type="noConversion"/>
  <pageMargins left="0.25" right="0.25" top="0.75" bottom="0.75" header="0.3" footer="0.3"/>
  <pageSetup paperSize="9" scale="31" orientation="portrait" r:id="rId1"/>
  <rowBreaks count="1" manualBreakCount="1">
    <brk id="18" max="16383" man="1"/>
  </rowBreaks>
  <colBreaks count="1" manualBreakCount="1">
    <brk id="1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17D7-2BB6-8547-B685-CEF3CEA46200}">
  <dimension ref="A1:R121"/>
  <sheetViews>
    <sheetView showGridLines="0" showRowColHeaders="0" view="pageBreakPreview" zoomScale="85" zoomScaleNormal="50" workbookViewId="0">
      <pane xSplit="2" ySplit="4" topLeftCell="C64" activePane="bottomRight" state="frozen"/>
      <selection pane="topRight" activeCell="C1" sqref="C1"/>
      <selection pane="bottomLeft" activeCell="A5" sqref="A5"/>
      <selection pane="bottomRight" activeCell="C85" sqref="C85:N85"/>
    </sheetView>
  </sheetViews>
  <sheetFormatPr baseColWidth="10" defaultColWidth="11.5" defaultRowHeight="25" x14ac:dyDescent="0.25"/>
  <cols>
    <col min="1" max="1" width="14.1640625" style="1" customWidth="1"/>
    <col min="2" max="2" width="51.5" style="35" customWidth="1"/>
    <col min="3" max="14" width="14.5" style="56" customWidth="1"/>
    <col min="15" max="17" width="18.33203125" style="4" customWidth="1"/>
    <col min="18" max="16384" width="11.5" style="34"/>
  </cols>
  <sheetData>
    <row r="1" spans="1:18" ht="25" customHeight="1" x14ac:dyDescent="0.2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1:18" ht="25" customHeight="1" x14ac:dyDescent="0.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3" spans="1:18" ht="25" customHeight="1" x14ac:dyDescent="0.2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</row>
    <row r="4" spans="1:18" ht="26" thickBot="1" x14ac:dyDescent="0.3">
      <c r="C4" s="36" t="s">
        <v>125</v>
      </c>
      <c r="D4" s="36" t="s">
        <v>126</v>
      </c>
      <c r="E4" s="36" t="s">
        <v>127</v>
      </c>
      <c r="F4" s="36" t="s">
        <v>128</v>
      </c>
      <c r="G4" s="36" t="s">
        <v>129</v>
      </c>
      <c r="H4" s="36" t="s">
        <v>130</v>
      </c>
      <c r="I4" s="36" t="s">
        <v>131</v>
      </c>
      <c r="J4" s="36" t="s">
        <v>132</v>
      </c>
      <c r="K4" s="36" t="s">
        <v>133</v>
      </c>
      <c r="L4" s="36" t="s">
        <v>134</v>
      </c>
      <c r="M4" s="36" t="s">
        <v>135</v>
      </c>
      <c r="N4" s="36" t="s">
        <v>136</v>
      </c>
      <c r="O4" s="4" t="s">
        <v>148</v>
      </c>
      <c r="P4" s="4" t="s">
        <v>1</v>
      </c>
      <c r="Q4" s="4" t="s">
        <v>2</v>
      </c>
    </row>
    <row r="5" spans="1:18" ht="18" x14ac:dyDescent="0.2">
      <c r="A5" s="93" t="s">
        <v>3</v>
      </c>
      <c r="B5" s="37" t="s">
        <v>4</v>
      </c>
      <c r="C5" s="38">
        <v>2.82</v>
      </c>
      <c r="D5" s="38">
        <v>2.75</v>
      </c>
      <c r="E5" s="38">
        <v>2.85</v>
      </c>
      <c r="F5" s="38">
        <v>2.78</v>
      </c>
      <c r="G5" s="38">
        <v>2.89</v>
      </c>
      <c r="H5" s="38">
        <v>2.95</v>
      </c>
      <c r="I5" s="38">
        <v>2.92</v>
      </c>
      <c r="J5" s="38">
        <v>2.9</v>
      </c>
      <c r="K5" s="38">
        <v>2.83</v>
      </c>
      <c r="L5" s="38">
        <v>2.74</v>
      </c>
      <c r="M5" s="38">
        <v>2.61</v>
      </c>
      <c r="N5" s="38">
        <v>2.46</v>
      </c>
      <c r="O5" s="39">
        <v>2.63</v>
      </c>
      <c r="P5" s="39">
        <f>AVERAGE(C5:N5)</f>
        <v>2.7916666666666665</v>
      </c>
      <c r="Q5" s="40">
        <v>2.66</v>
      </c>
      <c r="R5" s="41"/>
    </row>
    <row r="6" spans="1:18" ht="18" x14ac:dyDescent="0.2">
      <c r="A6" s="94"/>
      <c r="B6" s="35" t="s">
        <v>5</v>
      </c>
      <c r="C6" s="42">
        <v>1520</v>
      </c>
      <c r="D6" s="42">
        <v>1539</v>
      </c>
      <c r="E6" s="42">
        <v>1563</v>
      </c>
      <c r="F6" s="42">
        <v>1590</v>
      </c>
      <c r="G6" s="42">
        <v>1621</v>
      </c>
      <c r="H6" s="42">
        <v>1639</v>
      </c>
      <c r="I6" s="42">
        <v>1655</v>
      </c>
      <c r="J6" s="42">
        <v>1679</v>
      </c>
      <c r="K6" s="42">
        <v>1686</v>
      </c>
      <c r="L6" s="42">
        <v>1721.5</v>
      </c>
      <c r="M6" s="42">
        <v>1757</v>
      </c>
      <c r="N6" s="42">
        <v>1807</v>
      </c>
      <c r="O6" s="43">
        <v>1334</v>
      </c>
      <c r="P6" s="43">
        <f t="shared" ref="P6:P77" si="0">AVERAGE(C6:N6)</f>
        <v>1648.125</v>
      </c>
      <c r="Q6" s="44">
        <v>1038</v>
      </c>
      <c r="R6" s="41"/>
    </row>
    <row r="7" spans="1:18" ht="18" x14ac:dyDescent="0.2">
      <c r="A7" s="94"/>
      <c r="B7" s="35" t="s">
        <v>6</v>
      </c>
      <c r="C7" s="42">
        <v>1326</v>
      </c>
      <c r="D7" s="42">
        <v>1344</v>
      </c>
      <c r="E7" s="42">
        <v>1353</v>
      </c>
      <c r="F7" s="42">
        <v>1387</v>
      </c>
      <c r="G7" s="42">
        <v>1423</v>
      </c>
      <c r="H7" s="42">
        <v>1440</v>
      </c>
      <c r="I7" s="42">
        <v>1448</v>
      </c>
      <c r="J7" s="42">
        <f>J6-171</f>
        <v>1508</v>
      </c>
      <c r="K7" s="42">
        <f>K6-200</f>
        <v>1486</v>
      </c>
      <c r="L7" s="42">
        <v>1515.5</v>
      </c>
      <c r="M7" s="42">
        <v>1545</v>
      </c>
      <c r="N7" s="42">
        <f>N6-213</f>
        <v>1594</v>
      </c>
      <c r="O7" s="43">
        <v>1178</v>
      </c>
      <c r="P7" s="43">
        <f t="shared" si="0"/>
        <v>1447.4583333333333</v>
      </c>
      <c r="Q7" s="44">
        <v>912</v>
      </c>
      <c r="R7" s="41"/>
    </row>
    <row r="8" spans="1:18" ht="18" x14ac:dyDescent="0.2">
      <c r="A8" s="94"/>
      <c r="B8" s="35" t="s">
        <v>7</v>
      </c>
      <c r="C8" s="42">
        <v>36</v>
      </c>
      <c r="D8" s="42">
        <v>31</v>
      </c>
      <c r="E8" s="42">
        <v>36</v>
      </c>
      <c r="F8" s="42">
        <v>39</v>
      </c>
      <c r="G8" s="42">
        <v>36</v>
      </c>
      <c r="H8" s="42">
        <v>42</v>
      </c>
      <c r="I8" s="42">
        <v>30</v>
      </c>
      <c r="J8" s="42">
        <v>34</v>
      </c>
      <c r="K8" s="42">
        <v>23</v>
      </c>
      <c r="L8" s="42">
        <v>27.5</v>
      </c>
      <c r="M8" s="42">
        <v>32</v>
      </c>
      <c r="N8" s="42">
        <f>0.027*N6</f>
        <v>48.789000000000001</v>
      </c>
      <c r="O8" s="43"/>
      <c r="P8" s="43">
        <f t="shared" si="0"/>
        <v>34.607416666666666</v>
      </c>
      <c r="Q8" s="44"/>
      <c r="R8" s="41"/>
    </row>
    <row r="9" spans="1:18" ht="18" x14ac:dyDescent="0.2">
      <c r="A9" s="94"/>
      <c r="B9" s="35" t="s">
        <v>8</v>
      </c>
      <c r="C9" s="42">
        <v>241</v>
      </c>
      <c r="D9" s="42">
        <v>221</v>
      </c>
      <c r="E9" s="42">
        <v>220</v>
      </c>
      <c r="F9" s="42">
        <v>192</v>
      </c>
      <c r="G9" s="42">
        <v>258</v>
      </c>
      <c r="H9" s="42">
        <v>266</v>
      </c>
      <c r="I9" s="42">
        <v>272</v>
      </c>
      <c r="J9" s="42">
        <v>280</v>
      </c>
      <c r="K9" s="42">
        <v>274</v>
      </c>
      <c r="L9" s="42">
        <v>271.5</v>
      </c>
      <c r="M9" s="42">
        <v>269</v>
      </c>
      <c r="N9" s="42">
        <v>269</v>
      </c>
      <c r="O9" s="43"/>
      <c r="P9" s="43">
        <f t="shared" si="0"/>
        <v>252.79166666666666</v>
      </c>
      <c r="Q9" s="44"/>
      <c r="R9" s="41"/>
    </row>
    <row r="10" spans="1:18" ht="18" x14ac:dyDescent="0.2">
      <c r="A10" s="94"/>
      <c r="B10" s="35" t="s">
        <v>9</v>
      </c>
      <c r="C10" s="42">
        <v>902</v>
      </c>
      <c r="D10" s="42">
        <v>873</v>
      </c>
      <c r="E10" s="42">
        <v>872</v>
      </c>
      <c r="F10" s="42">
        <v>827</v>
      </c>
      <c r="G10" s="42">
        <v>893</v>
      </c>
      <c r="H10" s="42">
        <v>889</v>
      </c>
      <c r="I10" s="42">
        <v>914</v>
      </c>
      <c r="J10" s="42">
        <v>955</v>
      </c>
      <c r="K10" s="42">
        <v>952</v>
      </c>
      <c r="L10" s="42">
        <v>956</v>
      </c>
      <c r="M10" s="42">
        <v>960</v>
      </c>
      <c r="N10" s="42">
        <v>994</v>
      </c>
      <c r="O10" s="43"/>
      <c r="P10" s="43">
        <f t="shared" si="0"/>
        <v>915.58333333333337</v>
      </c>
      <c r="Q10" s="44"/>
      <c r="R10" s="41"/>
    </row>
    <row r="11" spans="1:18" ht="18" x14ac:dyDescent="0.2">
      <c r="A11" s="94"/>
      <c r="B11" s="35" t="s">
        <v>10</v>
      </c>
      <c r="C11" s="42">
        <v>554</v>
      </c>
      <c r="D11" s="42">
        <v>540</v>
      </c>
      <c r="E11" s="42">
        <v>561</v>
      </c>
      <c r="F11" s="42">
        <v>599</v>
      </c>
      <c r="G11" s="42">
        <v>550</v>
      </c>
      <c r="H11" s="42">
        <v>568</v>
      </c>
      <c r="I11" s="42">
        <v>610</v>
      </c>
      <c r="J11" s="42">
        <v>628</v>
      </c>
      <c r="K11" s="42">
        <v>623</v>
      </c>
      <c r="L11" s="42">
        <v>634.5</v>
      </c>
      <c r="M11" s="42">
        <v>646</v>
      </c>
      <c r="N11" s="42">
        <v>643</v>
      </c>
      <c r="O11" s="43"/>
      <c r="P11" s="43">
        <f t="shared" si="0"/>
        <v>596.375</v>
      </c>
      <c r="Q11" s="44"/>
      <c r="R11" s="41"/>
    </row>
    <row r="12" spans="1:18" ht="18" x14ac:dyDescent="0.2">
      <c r="A12" s="94"/>
      <c r="B12" s="35" t="s">
        <v>11</v>
      </c>
      <c r="C12" s="42">
        <v>823</v>
      </c>
      <c r="D12" s="42">
        <v>792</v>
      </c>
      <c r="E12" s="42">
        <v>773</v>
      </c>
      <c r="F12" s="42">
        <v>789</v>
      </c>
      <c r="G12" s="42">
        <v>763</v>
      </c>
      <c r="H12" s="42">
        <v>805</v>
      </c>
      <c r="I12" s="42">
        <v>849</v>
      </c>
      <c r="J12" s="42">
        <f>171+730</f>
        <v>901</v>
      </c>
      <c r="K12" s="42">
        <v>916</v>
      </c>
      <c r="L12" s="42">
        <v>936.5</v>
      </c>
      <c r="M12" s="42">
        <v>957</v>
      </c>
      <c r="N12" s="42">
        <v>951</v>
      </c>
      <c r="O12" s="43"/>
      <c r="P12" s="43">
        <f t="shared" si="0"/>
        <v>854.625</v>
      </c>
      <c r="Q12" s="44"/>
      <c r="R12" s="41"/>
    </row>
    <row r="13" spans="1:18" ht="18" x14ac:dyDescent="0.2">
      <c r="A13" s="94"/>
      <c r="B13" s="35" t="s">
        <v>12</v>
      </c>
      <c r="C13" s="42">
        <v>26</v>
      </c>
      <c r="D13" s="42">
        <v>26</v>
      </c>
      <c r="E13" s="42">
        <v>36</v>
      </c>
      <c r="F13" s="42">
        <v>27</v>
      </c>
      <c r="G13" s="42">
        <v>30</v>
      </c>
      <c r="H13" s="42">
        <v>26</v>
      </c>
      <c r="I13" s="42">
        <v>33</v>
      </c>
      <c r="J13" s="42">
        <v>26</v>
      </c>
      <c r="K13" s="42">
        <v>26</v>
      </c>
      <c r="L13" s="42">
        <v>34</v>
      </c>
      <c r="M13" s="42">
        <v>42</v>
      </c>
      <c r="N13" s="42">
        <v>37</v>
      </c>
      <c r="O13" s="43"/>
      <c r="P13" s="43">
        <f t="shared" si="0"/>
        <v>30.75</v>
      </c>
      <c r="Q13" s="44"/>
      <c r="R13" s="41"/>
    </row>
    <row r="14" spans="1:18" ht="18" x14ac:dyDescent="0.2">
      <c r="A14" s="94"/>
      <c r="B14" s="35" t="s">
        <v>13</v>
      </c>
      <c r="C14" s="42">
        <v>148</v>
      </c>
      <c r="D14" s="42">
        <v>181</v>
      </c>
      <c r="E14" s="42">
        <v>209</v>
      </c>
      <c r="F14" s="42">
        <v>208</v>
      </c>
      <c r="G14" s="42">
        <v>228</v>
      </c>
      <c r="H14" s="42">
        <v>223</v>
      </c>
      <c r="I14" s="42">
        <v>206</v>
      </c>
      <c r="J14" s="42">
        <v>180</v>
      </c>
      <c r="K14" s="42">
        <v>193</v>
      </c>
      <c r="L14" s="42">
        <v>198</v>
      </c>
      <c r="M14" s="42">
        <v>203</v>
      </c>
      <c r="N14" s="42">
        <v>238</v>
      </c>
      <c r="O14" s="43"/>
      <c r="P14" s="43">
        <f t="shared" si="0"/>
        <v>201.25</v>
      </c>
      <c r="Q14" s="44"/>
      <c r="R14" s="41"/>
    </row>
    <row r="15" spans="1:18" ht="18" x14ac:dyDescent="0.2">
      <c r="A15" s="94"/>
      <c r="B15" s="35" t="s">
        <v>14</v>
      </c>
      <c r="C15" s="42">
        <v>35</v>
      </c>
      <c r="D15" s="42">
        <v>40</v>
      </c>
      <c r="E15" s="42">
        <v>39</v>
      </c>
      <c r="F15" s="42">
        <v>39</v>
      </c>
      <c r="G15" s="42">
        <v>52</v>
      </c>
      <c r="H15" s="42">
        <v>42</v>
      </c>
      <c r="I15" s="42">
        <v>34</v>
      </c>
      <c r="J15" s="42">
        <v>42</v>
      </c>
      <c r="K15" s="42">
        <v>38</v>
      </c>
      <c r="L15" s="42">
        <v>29</v>
      </c>
      <c r="M15" s="42">
        <v>20</v>
      </c>
      <c r="N15" s="42">
        <v>48</v>
      </c>
      <c r="O15" s="43"/>
      <c r="P15" s="43">
        <f t="shared" si="0"/>
        <v>38.166666666666664</v>
      </c>
      <c r="Q15" s="44"/>
      <c r="R15" s="41"/>
    </row>
    <row r="16" spans="1:18" ht="18" x14ac:dyDescent="0.2">
      <c r="A16" s="94"/>
      <c r="B16" s="35" t="s">
        <v>15</v>
      </c>
      <c r="C16" s="42">
        <v>14</v>
      </c>
      <c r="D16" s="42">
        <v>19</v>
      </c>
      <c r="E16" s="42">
        <v>15</v>
      </c>
      <c r="F16" s="42">
        <v>10</v>
      </c>
      <c r="G16" s="42">
        <v>19</v>
      </c>
      <c r="H16" s="42">
        <v>16</v>
      </c>
      <c r="I16" s="42">
        <v>7</v>
      </c>
      <c r="J16" s="42">
        <v>10</v>
      </c>
      <c r="K16" s="42">
        <v>17</v>
      </c>
      <c r="L16" s="42">
        <v>13</v>
      </c>
      <c r="M16" s="42">
        <v>9</v>
      </c>
      <c r="N16" s="42">
        <v>20</v>
      </c>
      <c r="O16" s="43"/>
      <c r="P16" s="43">
        <f t="shared" si="0"/>
        <v>14.083333333333334</v>
      </c>
      <c r="Q16" s="44"/>
      <c r="R16" s="41"/>
    </row>
    <row r="17" spans="1:18" ht="18" x14ac:dyDescent="0.2">
      <c r="A17" s="94"/>
      <c r="B17" s="35" t="s">
        <v>16</v>
      </c>
      <c r="C17" s="42">
        <v>14</v>
      </c>
      <c r="D17" s="42">
        <v>13</v>
      </c>
      <c r="E17" s="42">
        <v>6</v>
      </c>
      <c r="F17" s="42">
        <v>2</v>
      </c>
      <c r="G17" s="42">
        <v>3</v>
      </c>
      <c r="H17" s="42">
        <v>4</v>
      </c>
      <c r="I17" s="42">
        <v>11</v>
      </c>
      <c r="J17" s="42">
        <v>6</v>
      </c>
      <c r="K17" s="42">
        <v>10</v>
      </c>
      <c r="L17" s="42">
        <v>6</v>
      </c>
      <c r="M17" s="42">
        <v>2</v>
      </c>
      <c r="N17" s="42">
        <v>8</v>
      </c>
      <c r="O17" s="43"/>
      <c r="P17" s="43">
        <f t="shared" si="0"/>
        <v>7.083333333333333</v>
      </c>
      <c r="Q17" s="44"/>
      <c r="R17" s="41"/>
    </row>
    <row r="18" spans="1:18" ht="18" x14ac:dyDescent="0.2">
      <c r="A18" s="94"/>
      <c r="B18" s="35" t="s">
        <v>17</v>
      </c>
      <c r="C18" s="42">
        <v>23</v>
      </c>
      <c r="D18" s="42">
        <v>25</v>
      </c>
      <c r="E18" s="42">
        <v>19</v>
      </c>
      <c r="F18" s="42">
        <v>11</v>
      </c>
      <c r="G18" s="42">
        <v>15</v>
      </c>
      <c r="H18" s="42">
        <v>9</v>
      </c>
      <c r="I18" s="42">
        <v>20</v>
      </c>
      <c r="J18" s="42">
        <v>11</v>
      </c>
      <c r="K18" s="42">
        <v>12</v>
      </c>
      <c r="L18" s="42">
        <v>9.5</v>
      </c>
      <c r="M18" s="42">
        <v>7</v>
      </c>
      <c r="N18" s="42">
        <v>16</v>
      </c>
      <c r="O18" s="43"/>
      <c r="P18" s="43">
        <f t="shared" si="0"/>
        <v>14.791666666666666</v>
      </c>
      <c r="Q18" s="44"/>
      <c r="R18" s="41"/>
    </row>
    <row r="19" spans="1:18" ht="18" x14ac:dyDescent="0.2">
      <c r="A19" s="94"/>
      <c r="B19" s="35" t="s">
        <v>18</v>
      </c>
      <c r="C19" s="42">
        <v>665</v>
      </c>
      <c r="D19" s="42">
        <v>614</v>
      </c>
      <c r="E19" s="42">
        <v>620</v>
      </c>
      <c r="F19" s="42">
        <v>635</v>
      </c>
      <c r="G19" s="42">
        <v>644</v>
      </c>
      <c r="H19" s="42">
        <v>653</v>
      </c>
      <c r="I19" s="42">
        <v>635</v>
      </c>
      <c r="J19" s="42">
        <v>660</v>
      </c>
      <c r="K19" s="42">
        <v>654</v>
      </c>
      <c r="L19" s="42">
        <v>660.5</v>
      </c>
      <c r="M19" s="42">
        <v>667</v>
      </c>
      <c r="N19" s="42">
        <v>674</v>
      </c>
      <c r="O19" s="43"/>
      <c r="P19" s="43">
        <f t="shared" si="0"/>
        <v>648.45833333333337</v>
      </c>
      <c r="Q19" s="44"/>
      <c r="R19" s="41"/>
    </row>
    <row r="20" spans="1:18" ht="18" x14ac:dyDescent="0.2">
      <c r="A20" s="94"/>
      <c r="B20" s="35" t="s">
        <v>19</v>
      </c>
      <c r="C20" s="42">
        <v>399</v>
      </c>
      <c r="D20" s="42">
        <v>336</v>
      </c>
      <c r="E20" s="42">
        <v>354</v>
      </c>
      <c r="F20" s="42">
        <v>379</v>
      </c>
      <c r="G20" s="42">
        <v>405</v>
      </c>
      <c r="H20" s="42">
        <v>410</v>
      </c>
      <c r="I20" s="42">
        <v>423</v>
      </c>
      <c r="J20" s="42">
        <v>469</v>
      </c>
      <c r="K20" s="42">
        <v>458</v>
      </c>
      <c r="L20" s="42">
        <v>476</v>
      </c>
      <c r="M20" s="42">
        <v>494</v>
      </c>
      <c r="N20" s="42">
        <v>508</v>
      </c>
      <c r="O20" s="43"/>
      <c r="P20" s="43">
        <f t="shared" si="0"/>
        <v>425.91666666666669</v>
      </c>
      <c r="Q20" s="44"/>
      <c r="R20" s="41"/>
    </row>
    <row r="21" spans="1:18" ht="18" x14ac:dyDescent="0.2">
      <c r="A21" s="94"/>
      <c r="B21" s="35" t="s">
        <v>20</v>
      </c>
      <c r="C21" s="42">
        <v>456</v>
      </c>
      <c r="D21" s="42">
        <v>394</v>
      </c>
      <c r="E21" s="42">
        <v>385</v>
      </c>
      <c r="F21" s="42">
        <v>372</v>
      </c>
      <c r="G21" s="42">
        <v>372</v>
      </c>
      <c r="H21" s="42">
        <v>377</v>
      </c>
      <c r="I21" s="42">
        <v>387</v>
      </c>
      <c r="J21" s="42">
        <v>380</v>
      </c>
      <c r="K21" s="42">
        <v>376</v>
      </c>
      <c r="L21" s="42">
        <v>380</v>
      </c>
      <c r="M21" s="42">
        <v>384</v>
      </c>
      <c r="N21" s="42">
        <f>N7-(N19+N20)</f>
        <v>412</v>
      </c>
      <c r="O21" s="43"/>
      <c r="P21" s="43">
        <f t="shared" si="0"/>
        <v>389.58333333333331</v>
      </c>
      <c r="Q21" s="44"/>
      <c r="R21" s="41"/>
    </row>
    <row r="22" spans="1:18" ht="18" x14ac:dyDescent="0.2">
      <c r="A22" s="94"/>
      <c r="B22" s="35" t="s">
        <v>21</v>
      </c>
      <c r="C22" s="42">
        <v>149</v>
      </c>
      <c r="D22" s="42">
        <v>134</v>
      </c>
      <c r="E22" s="42">
        <v>151</v>
      </c>
      <c r="F22" s="42">
        <v>164</v>
      </c>
      <c r="G22" s="42">
        <v>161</v>
      </c>
      <c r="H22" s="42">
        <v>145</v>
      </c>
      <c r="I22" s="42">
        <v>145</v>
      </c>
      <c r="J22" s="42">
        <v>172</v>
      </c>
      <c r="K22" s="42">
        <v>118</v>
      </c>
      <c r="L22" s="42">
        <v>129</v>
      </c>
      <c r="M22" s="42">
        <v>140</v>
      </c>
      <c r="N22" s="42">
        <v>155</v>
      </c>
      <c r="O22" s="43"/>
      <c r="P22" s="43">
        <f t="shared" si="0"/>
        <v>146.91666666666666</v>
      </c>
      <c r="Q22" s="44"/>
      <c r="R22" s="41"/>
    </row>
    <row r="23" spans="1:18" ht="18" x14ac:dyDescent="0.2">
      <c r="A23" s="94"/>
      <c r="B23" s="35" t="s">
        <v>22</v>
      </c>
      <c r="C23" s="42">
        <v>84</v>
      </c>
      <c r="D23" s="42">
        <v>89</v>
      </c>
      <c r="E23" s="42">
        <v>96</v>
      </c>
      <c r="F23" s="42">
        <v>97</v>
      </c>
      <c r="G23" s="42">
        <v>107</v>
      </c>
      <c r="H23" s="42">
        <v>107</v>
      </c>
      <c r="I23" s="42">
        <v>109</v>
      </c>
      <c r="J23" s="42">
        <v>124</v>
      </c>
      <c r="K23" s="42">
        <v>91</v>
      </c>
      <c r="L23" s="42">
        <v>97</v>
      </c>
      <c r="M23" s="57">
        <v>103</v>
      </c>
      <c r="N23" s="42">
        <v>100</v>
      </c>
      <c r="O23" s="43"/>
      <c r="P23" s="43">
        <f t="shared" si="0"/>
        <v>100.33333333333333</v>
      </c>
      <c r="Q23" s="44"/>
      <c r="R23" s="41"/>
    </row>
    <row r="24" spans="1:18" ht="18" x14ac:dyDescent="0.2">
      <c r="A24" s="94"/>
      <c r="B24" s="35" t="s">
        <v>23</v>
      </c>
      <c r="C24" s="42">
        <v>12</v>
      </c>
      <c r="D24" s="42">
        <v>12</v>
      </c>
      <c r="E24" s="42">
        <v>18</v>
      </c>
      <c r="F24" s="42">
        <v>28</v>
      </c>
      <c r="G24" s="42">
        <v>15</v>
      </c>
      <c r="H24" s="42">
        <v>17</v>
      </c>
      <c r="I24" s="42">
        <v>12</v>
      </c>
      <c r="J24" s="42">
        <v>7</v>
      </c>
      <c r="K24" s="42">
        <v>9</v>
      </c>
      <c r="L24" s="42">
        <v>10</v>
      </c>
      <c r="M24" s="57">
        <v>11</v>
      </c>
      <c r="N24" s="42">
        <v>6</v>
      </c>
      <c r="O24" s="43"/>
      <c r="P24" s="43">
        <f t="shared" si="0"/>
        <v>13.083333333333334</v>
      </c>
      <c r="Q24" s="44"/>
      <c r="R24" s="41"/>
    </row>
    <row r="25" spans="1:18" ht="18" x14ac:dyDescent="0.2">
      <c r="A25" s="94"/>
      <c r="B25" s="35" t="s">
        <v>24</v>
      </c>
      <c r="C25" s="42">
        <v>4</v>
      </c>
      <c r="D25" s="42">
        <v>9</v>
      </c>
      <c r="E25" s="42">
        <v>8</v>
      </c>
      <c r="F25" s="42">
        <v>2</v>
      </c>
      <c r="G25" s="42">
        <v>3</v>
      </c>
      <c r="H25" s="42">
        <v>2</v>
      </c>
      <c r="I25" s="42">
        <v>3</v>
      </c>
      <c r="J25" s="42">
        <v>1</v>
      </c>
      <c r="K25" s="42">
        <v>6</v>
      </c>
      <c r="L25" s="42">
        <v>5</v>
      </c>
      <c r="M25" s="57">
        <v>4</v>
      </c>
      <c r="N25" s="42">
        <v>7</v>
      </c>
      <c r="O25" s="43"/>
      <c r="P25" s="43">
        <f t="shared" si="0"/>
        <v>4.5</v>
      </c>
      <c r="Q25" s="44"/>
      <c r="R25" s="41"/>
    </row>
    <row r="26" spans="1:18" ht="18" x14ac:dyDescent="0.2">
      <c r="A26" s="94"/>
      <c r="B26" s="35" t="s">
        <v>25</v>
      </c>
      <c r="C26" s="42">
        <v>3</v>
      </c>
      <c r="D26" s="42">
        <v>3</v>
      </c>
      <c r="E26" s="42">
        <v>4</v>
      </c>
      <c r="F26" s="42">
        <v>3</v>
      </c>
      <c r="G26" s="42">
        <v>3</v>
      </c>
      <c r="H26" s="42">
        <v>4</v>
      </c>
      <c r="I26" s="42">
        <v>3</v>
      </c>
      <c r="J26" s="42">
        <v>7</v>
      </c>
      <c r="K26" s="42">
        <v>5</v>
      </c>
      <c r="L26" s="42">
        <v>4.5</v>
      </c>
      <c r="M26" s="57">
        <v>4</v>
      </c>
      <c r="N26" s="42">
        <v>2</v>
      </c>
      <c r="O26" s="43"/>
      <c r="P26" s="43">
        <f t="shared" si="0"/>
        <v>3.7916666666666665</v>
      </c>
      <c r="Q26" s="44"/>
      <c r="R26" s="41"/>
    </row>
    <row r="27" spans="1:18" ht="18" x14ac:dyDescent="0.2">
      <c r="A27" s="94"/>
      <c r="B27" s="35" t="s">
        <v>26</v>
      </c>
      <c r="C27" s="42">
        <v>10</v>
      </c>
      <c r="D27" s="42">
        <v>15</v>
      </c>
      <c r="E27" s="42">
        <v>7</v>
      </c>
      <c r="F27" s="42">
        <v>5</v>
      </c>
      <c r="G27" s="42">
        <v>5</v>
      </c>
      <c r="H27" s="42">
        <v>5</v>
      </c>
      <c r="I27" s="42">
        <v>8</v>
      </c>
      <c r="J27" s="42">
        <v>2</v>
      </c>
      <c r="K27" s="42">
        <v>3</v>
      </c>
      <c r="L27" s="42">
        <v>7.5</v>
      </c>
      <c r="M27" s="57">
        <v>12</v>
      </c>
      <c r="N27" s="42">
        <v>2</v>
      </c>
      <c r="O27" s="43"/>
      <c r="P27" s="43">
        <f t="shared" si="0"/>
        <v>6.791666666666667</v>
      </c>
      <c r="Q27" s="44"/>
      <c r="R27" s="41"/>
    </row>
    <row r="28" spans="1:18" ht="18" x14ac:dyDescent="0.2">
      <c r="A28" s="94"/>
      <c r="B28" s="35" t="s">
        <v>27</v>
      </c>
      <c r="C28" s="42">
        <v>2</v>
      </c>
      <c r="D28" s="42">
        <v>10</v>
      </c>
      <c r="E28" s="42">
        <v>4</v>
      </c>
      <c r="F28" s="42">
        <v>2</v>
      </c>
      <c r="G28" s="42">
        <v>0</v>
      </c>
      <c r="H28" s="42">
        <v>0</v>
      </c>
      <c r="I28" s="42">
        <v>1</v>
      </c>
      <c r="J28" s="42">
        <v>3</v>
      </c>
      <c r="K28" s="42">
        <v>0</v>
      </c>
      <c r="L28" s="42">
        <v>2</v>
      </c>
      <c r="M28" s="57">
        <v>4</v>
      </c>
      <c r="N28" s="42">
        <v>1</v>
      </c>
      <c r="O28" s="43"/>
      <c r="P28" s="43">
        <f t="shared" si="0"/>
        <v>2.4166666666666665</v>
      </c>
      <c r="Q28" s="44"/>
      <c r="R28" s="41"/>
    </row>
    <row r="29" spans="1:18" ht="18" x14ac:dyDescent="0.2">
      <c r="A29" s="94"/>
      <c r="B29" s="35" t="s">
        <v>28</v>
      </c>
      <c r="C29" s="42">
        <v>29</v>
      </c>
      <c r="D29" s="42">
        <v>36</v>
      </c>
      <c r="E29" s="42">
        <v>42</v>
      </c>
      <c r="F29" s="42">
        <v>25</v>
      </c>
      <c r="G29" s="42">
        <v>28</v>
      </c>
      <c r="H29" s="42">
        <v>28</v>
      </c>
      <c r="I29" s="42">
        <v>35</v>
      </c>
      <c r="J29" s="42">
        <v>19</v>
      </c>
      <c r="K29" s="42">
        <v>20</v>
      </c>
      <c r="L29" s="42">
        <v>16</v>
      </c>
      <c r="M29" s="57">
        <v>12</v>
      </c>
      <c r="N29" s="42">
        <v>27</v>
      </c>
      <c r="O29" s="43"/>
      <c r="P29" s="43">
        <f t="shared" si="0"/>
        <v>26.416666666666668</v>
      </c>
      <c r="Q29" s="44"/>
      <c r="R29" s="41"/>
    </row>
    <row r="30" spans="1:18" ht="18" x14ac:dyDescent="0.2">
      <c r="A30" s="94"/>
      <c r="B30" s="35" t="s">
        <v>29</v>
      </c>
      <c r="C30" s="42">
        <v>75</v>
      </c>
      <c r="D30" s="42">
        <v>65</v>
      </c>
      <c r="E30" s="42">
        <v>70</v>
      </c>
      <c r="F30" s="42">
        <v>77</v>
      </c>
      <c r="G30" s="42">
        <v>79</v>
      </c>
      <c r="H30" s="42">
        <v>85</v>
      </c>
      <c r="I30" s="42">
        <v>61</v>
      </c>
      <c r="J30" s="42">
        <v>64</v>
      </c>
      <c r="K30" s="42">
        <v>67</v>
      </c>
      <c r="L30" s="42">
        <v>59</v>
      </c>
      <c r="M30" s="57">
        <v>67</v>
      </c>
      <c r="N30" s="42">
        <v>64</v>
      </c>
      <c r="O30" s="43"/>
      <c r="P30" s="43">
        <f t="shared" si="0"/>
        <v>69.416666666666671</v>
      </c>
      <c r="Q30" s="44"/>
      <c r="R30" s="41"/>
    </row>
    <row r="31" spans="1:18" ht="18" x14ac:dyDescent="0.2">
      <c r="A31" s="94"/>
      <c r="B31" s="35" t="s">
        <v>30</v>
      </c>
      <c r="C31" s="42">
        <v>52</v>
      </c>
      <c r="D31" s="42">
        <v>42</v>
      </c>
      <c r="E31" s="42">
        <v>82</v>
      </c>
      <c r="F31" s="42">
        <v>64</v>
      </c>
      <c r="G31" s="42">
        <v>86</v>
      </c>
      <c r="H31" s="42">
        <v>81</v>
      </c>
      <c r="I31" s="42">
        <v>77</v>
      </c>
      <c r="J31" s="42">
        <v>26</v>
      </c>
      <c r="K31" s="42">
        <v>36</v>
      </c>
      <c r="L31" s="42">
        <v>58</v>
      </c>
      <c r="M31" s="57">
        <v>80</v>
      </c>
      <c r="N31" s="42">
        <v>88</v>
      </c>
      <c r="O31" s="43"/>
      <c r="P31" s="43">
        <f t="shared" si="0"/>
        <v>64.333333333333329</v>
      </c>
      <c r="Q31" s="44"/>
      <c r="R31" s="41"/>
    </row>
    <row r="32" spans="1:18" ht="18" x14ac:dyDescent="0.2">
      <c r="A32" s="94"/>
      <c r="B32" s="35" t="s">
        <v>31</v>
      </c>
      <c r="C32" s="42">
        <v>7</v>
      </c>
      <c r="D32" s="42">
        <v>10</v>
      </c>
      <c r="E32" s="42">
        <v>6</v>
      </c>
      <c r="F32" s="42">
        <v>9</v>
      </c>
      <c r="G32" s="42">
        <v>10</v>
      </c>
      <c r="H32" s="42">
        <v>1</v>
      </c>
      <c r="I32" s="42">
        <v>5</v>
      </c>
      <c r="J32" s="42">
        <v>3</v>
      </c>
      <c r="K32" s="42">
        <v>4</v>
      </c>
      <c r="L32" s="42">
        <v>4.5</v>
      </c>
      <c r="M32" s="57">
        <v>5</v>
      </c>
      <c r="N32" s="42">
        <v>10</v>
      </c>
      <c r="O32" s="43"/>
      <c r="P32" s="43">
        <f t="shared" si="0"/>
        <v>6.208333333333333</v>
      </c>
      <c r="Q32" s="44"/>
      <c r="R32" s="41"/>
    </row>
    <row r="33" spans="1:18" ht="18" x14ac:dyDescent="0.2">
      <c r="A33" s="94"/>
      <c r="B33" s="35" t="s">
        <v>32</v>
      </c>
      <c r="C33" s="42">
        <v>1076</v>
      </c>
      <c r="D33" s="42">
        <v>1076</v>
      </c>
      <c r="E33" s="42">
        <v>1076</v>
      </c>
      <c r="F33" s="42">
        <v>1076</v>
      </c>
      <c r="G33" s="42">
        <v>1076</v>
      </c>
      <c r="H33" s="42">
        <v>1076</v>
      </c>
      <c r="I33" s="42">
        <v>1076</v>
      </c>
      <c r="J33" s="42">
        <v>1076</v>
      </c>
      <c r="K33" s="42">
        <v>1076</v>
      </c>
      <c r="L33" s="42">
        <v>1076</v>
      </c>
      <c r="M33" s="42">
        <v>1076</v>
      </c>
      <c r="N33" s="42">
        <v>1076</v>
      </c>
      <c r="O33" s="43"/>
      <c r="P33" s="43">
        <f t="shared" si="0"/>
        <v>1076</v>
      </c>
      <c r="Q33" s="44"/>
      <c r="R33" s="41"/>
    </row>
    <row r="34" spans="1:18" ht="18" x14ac:dyDescent="0.2">
      <c r="A34" s="94"/>
      <c r="B34" s="35" t="s">
        <v>33</v>
      </c>
      <c r="C34" s="42">
        <v>126</v>
      </c>
      <c r="D34" s="42">
        <v>126</v>
      </c>
      <c r="E34" s="42">
        <v>126</v>
      </c>
      <c r="F34" s="42">
        <v>126</v>
      </c>
      <c r="G34" s="42">
        <v>126</v>
      </c>
      <c r="H34" s="42">
        <v>126</v>
      </c>
      <c r="I34" s="42">
        <v>126</v>
      </c>
      <c r="J34" s="42">
        <v>126</v>
      </c>
      <c r="K34" s="42">
        <v>126</v>
      </c>
      <c r="L34" s="42">
        <v>126</v>
      </c>
      <c r="M34" s="42">
        <v>126</v>
      </c>
      <c r="N34" s="42">
        <v>126</v>
      </c>
      <c r="O34" s="43"/>
      <c r="P34" s="43">
        <f t="shared" si="0"/>
        <v>126</v>
      </c>
      <c r="Q34" s="44"/>
    </row>
    <row r="35" spans="1:18" ht="18" x14ac:dyDescent="0.2">
      <c r="A35" s="94"/>
      <c r="B35" s="35" t="s">
        <v>34</v>
      </c>
      <c r="C35" s="42">
        <v>742</v>
      </c>
      <c r="D35" s="42">
        <v>742</v>
      </c>
      <c r="E35" s="42">
        <v>742</v>
      </c>
      <c r="F35" s="42">
        <v>742</v>
      </c>
      <c r="G35" s="42">
        <v>742</v>
      </c>
      <c r="H35" s="42">
        <v>742</v>
      </c>
      <c r="I35" s="42">
        <v>742</v>
      </c>
      <c r="J35" s="42">
        <v>742</v>
      </c>
      <c r="K35" s="42">
        <v>742</v>
      </c>
      <c r="L35" s="42">
        <v>742</v>
      </c>
      <c r="M35" s="42">
        <v>742</v>
      </c>
      <c r="N35" s="42">
        <v>742</v>
      </c>
      <c r="O35" s="43"/>
      <c r="P35" s="43">
        <f>AVERAGE(C35:N35)</f>
        <v>742</v>
      </c>
      <c r="Q35" s="44"/>
    </row>
    <row r="36" spans="1:18" ht="18" x14ac:dyDescent="0.2">
      <c r="A36" s="94"/>
      <c r="B36" s="35" t="s">
        <v>35</v>
      </c>
      <c r="C36" s="42">
        <v>40.520000000000003</v>
      </c>
      <c r="D36" s="42">
        <v>39.14</v>
      </c>
      <c r="E36" s="42">
        <v>39.81</v>
      </c>
      <c r="F36" s="42">
        <v>38.770000000000003</v>
      </c>
      <c r="G36" s="42">
        <v>38.799999999999997</v>
      </c>
      <c r="H36" s="42">
        <v>39.299999999999997</v>
      </c>
      <c r="I36" s="42">
        <v>37.549999999999997</v>
      </c>
      <c r="J36" s="42">
        <v>40.479999999999997</v>
      </c>
      <c r="K36" s="42">
        <v>40.799999999999997</v>
      </c>
      <c r="L36" s="42">
        <v>40.799999999999997</v>
      </c>
      <c r="M36" s="42">
        <v>40.799999999999997</v>
      </c>
      <c r="N36" s="42">
        <v>40.5</v>
      </c>
      <c r="O36" s="43"/>
      <c r="P36" s="43">
        <f t="shared" si="0"/>
        <v>39.772500000000008</v>
      </c>
      <c r="Q36" s="44"/>
    </row>
    <row r="37" spans="1:18" ht="18" x14ac:dyDescent="0.2">
      <c r="A37" s="94"/>
      <c r="B37" s="35" t="s">
        <v>36</v>
      </c>
      <c r="C37" s="42">
        <v>128.32</v>
      </c>
      <c r="D37" s="42">
        <v>112.39</v>
      </c>
      <c r="E37" s="42">
        <v>113.7</v>
      </c>
      <c r="F37" s="42">
        <v>112.13</v>
      </c>
      <c r="G37" s="42">
        <v>113.6</v>
      </c>
      <c r="H37" s="42">
        <v>112</v>
      </c>
      <c r="I37" s="42">
        <v>115</v>
      </c>
      <c r="J37" s="42">
        <v>110</v>
      </c>
      <c r="K37" s="42">
        <v>106.9</v>
      </c>
      <c r="L37" s="42">
        <v>106.9</v>
      </c>
      <c r="M37" s="42">
        <v>106.9</v>
      </c>
      <c r="N37" s="42">
        <v>107.4</v>
      </c>
      <c r="O37" s="43"/>
      <c r="P37" s="43">
        <f t="shared" si="0"/>
        <v>112.10333333333335</v>
      </c>
      <c r="Q37" s="44"/>
    </row>
    <row r="38" spans="1:18" ht="19" thickBot="1" x14ac:dyDescent="0.25">
      <c r="A38" s="95"/>
      <c r="B38" s="45" t="s">
        <v>37</v>
      </c>
      <c r="C38" s="46">
        <v>90</v>
      </c>
      <c r="D38" s="46">
        <v>90</v>
      </c>
      <c r="E38" s="46">
        <v>90</v>
      </c>
      <c r="F38" s="46">
        <v>90</v>
      </c>
      <c r="G38" s="46">
        <v>90</v>
      </c>
      <c r="H38" s="46">
        <v>90</v>
      </c>
      <c r="I38" s="46">
        <v>90</v>
      </c>
      <c r="J38" s="46">
        <v>90</v>
      </c>
      <c r="K38" s="46">
        <v>90</v>
      </c>
      <c r="L38" s="46">
        <v>90</v>
      </c>
      <c r="M38" s="46">
        <v>90</v>
      </c>
      <c r="N38" s="46">
        <v>93</v>
      </c>
      <c r="O38" s="47">
        <v>90</v>
      </c>
      <c r="P38" s="47">
        <f>AVERAGE(C38:O38)</f>
        <v>90.230769230769226</v>
      </c>
      <c r="Q38" s="48">
        <v>89</v>
      </c>
    </row>
    <row r="39" spans="1:18" ht="26" thickBot="1" x14ac:dyDescent="0.3">
      <c r="B39" s="35" t="s">
        <v>152</v>
      </c>
      <c r="C39" s="49">
        <f>((C47/C46)*100)-100</f>
        <v>29.346453028389078</v>
      </c>
      <c r="D39" s="49">
        <f t="shared" ref="D39:N39" si="1">((D47/D46)*100)-100</f>
        <v>32.455410775344234</v>
      </c>
      <c r="E39" s="49">
        <f t="shared" si="1"/>
        <v>30.89205534683407</v>
      </c>
      <c r="F39" s="49">
        <f t="shared" si="1"/>
        <v>35.03825643403664</v>
      </c>
      <c r="G39" s="49">
        <f t="shared" si="1"/>
        <v>30.58397224861352</v>
      </c>
      <c r="H39" s="49">
        <f t="shared" si="1"/>
        <v>31.470142866548173</v>
      </c>
      <c r="I39" s="49">
        <f t="shared" si="1"/>
        <v>21.865930631380266</v>
      </c>
      <c r="J39" s="49">
        <f t="shared" si="1"/>
        <v>28.132580467619306</v>
      </c>
      <c r="K39" s="49">
        <f t="shared" si="1"/>
        <v>20.916625100717496</v>
      </c>
      <c r="L39" s="49">
        <f>((L47/L46)*100)-100</f>
        <v>20.954991832059648</v>
      </c>
      <c r="M39" s="49">
        <f t="shared" si="1"/>
        <v>13.313583225417318</v>
      </c>
      <c r="N39" s="49">
        <f t="shared" si="1"/>
        <v>9.2578730219522072</v>
      </c>
      <c r="O39" s="49"/>
      <c r="P39" s="49">
        <f>AVERAGE(C39:N39)</f>
        <v>25.352322914909333</v>
      </c>
      <c r="Q39" s="49"/>
    </row>
    <row r="40" spans="1:18" ht="18" x14ac:dyDescent="0.2">
      <c r="A40" s="90" t="s">
        <v>38</v>
      </c>
      <c r="B40" s="37" t="s">
        <v>39</v>
      </c>
      <c r="C40" s="50">
        <f>IFERROR(C7/C6*100,"")</f>
        <v>87.23684210526315</v>
      </c>
      <c r="D40" s="50">
        <f t="shared" ref="D40:N40" si="2">IFERROR(D7/D6*100,"")</f>
        <v>87.329434697855746</v>
      </c>
      <c r="E40" s="50">
        <f t="shared" si="2"/>
        <v>86.56429942418427</v>
      </c>
      <c r="F40" s="50">
        <f t="shared" si="2"/>
        <v>87.232704402515722</v>
      </c>
      <c r="G40" s="50">
        <f t="shared" si="2"/>
        <v>87.785317705120292</v>
      </c>
      <c r="H40" s="50">
        <f t="shared" si="2"/>
        <v>87.858450274557654</v>
      </c>
      <c r="I40" s="50">
        <f t="shared" si="2"/>
        <v>87.492447129909365</v>
      </c>
      <c r="J40" s="50">
        <f t="shared" si="2"/>
        <v>89.815366289458012</v>
      </c>
      <c r="K40" s="50">
        <f t="shared" si="2"/>
        <v>88.137603795966797</v>
      </c>
      <c r="L40" s="50">
        <f t="shared" si="2"/>
        <v>88.033691548068546</v>
      </c>
      <c r="M40" s="50">
        <f t="shared" si="2"/>
        <v>87.933978372225383</v>
      </c>
      <c r="N40" s="50">
        <f t="shared" si="2"/>
        <v>88.212506917542882</v>
      </c>
      <c r="O40" s="39"/>
      <c r="P40" s="39">
        <f>AVERAGE(C40:N40)</f>
        <v>87.80272022188899</v>
      </c>
      <c r="Q40" s="40"/>
    </row>
    <row r="41" spans="1:18" ht="18" x14ac:dyDescent="0.2">
      <c r="A41" s="91"/>
      <c r="B41" s="35" t="s">
        <v>40</v>
      </c>
      <c r="C41" s="51">
        <f>IFERROR(100-C40,"")</f>
        <v>12.76315789473685</v>
      </c>
      <c r="D41" s="51">
        <f t="shared" ref="D41:N41" si="3">IFERROR(100-D40,"")</f>
        <v>12.670565302144254</v>
      </c>
      <c r="E41" s="51">
        <f t="shared" si="3"/>
        <v>13.43570057581573</v>
      </c>
      <c r="F41" s="51">
        <f t="shared" si="3"/>
        <v>12.767295597484278</v>
      </c>
      <c r="G41" s="51">
        <f t="shared" si="3"/>
        <v>12.214682294879708</v>
      </c>
      <c r="H41" s="51">
        <f t="shared" si="3"/>
        <v>12.141549725442346</v>
      </c>
      <c r="I41" s="51">
        <f t="shared" si="3"/>
        <v>12.507552870090635</v>
      </c>
      <c r="J41" s="51">
        <f t="shared" si="3"/>
        <v>10.184633710541988</v>
      </c>
      <c r="K41" s="51">
        <f t="shared" si="3"/>
        <v>11.862396204033203</v>
      </c>
      <c r="L41" s="51">
        <f t="shared" si="3"/>
        <v>11.966308451931454</v>
      </c>
      <c r="M41" s="51">
        <f t="shared" si="3"/>
        <v>12.066021627774617</v>
      </c>
      <c r="N41" s="51">
        <f t="shared" si="3"/>
        <v>11.787493082457118</v>
      </c>
      <c r="O41" s="43"/>
      <c r="P41" s="43">
        <f t="shared" si="0"/>
        <v>12.197279778111016</v>
      </c>
      <c r="Q41" s="44"/>
    </row>
    <row r="42" spans="1:18" ht="18" x14ac:dyDescent="0.2">
      <c r="A42" s="91"/>
      <c r="B42" s="35" t="s">
        <v>41</v>
      </c>
      <c r="C42" s="51">
        <f>IFERROR(C13/C7*100,"")</f>
        <v>1.9607843137254901</v>
      </c>
      <c r="D42" s="51">
        <f t="shared" ref="D42:N42" si="4">IFERROR(D13/D7*100,"")</f>
        <v>1.9345238095238095</v>
      </c>
      <c r="E42" s="51">
        <f t="shared" si="4"/>
        <v>2.6607538802660753</v>
      </c>
      <c r="F42" s="51">
        <f t="shared" si="4"/>
        <v>1.9466474405191059</v>
      </c>
      <c r="G42" s="51">
        <f t="shared" si="4"/>
        <v>2.1082220660576247</v>
      </c>
      <c r="H42" s="51">
        <f t="shared" si="4"/>
        <v>1.8055555555555554</v>
      </c>
      <c r="I42" s="51">
        <f t="shared" si="4"/>
        <v>2.2790055248618786</v>
      </c>
      <c r="J42" s="51">
        <f t="shared" si="4"/>
        <v>1.7241379310344827</v>
      </c>
      <c r="K42" s="51">
        <f t="shared" si="4"/>
        <v>1.7496635262449527</v>
      </c>
      <c r="L42" s="51">
        <f t="shared" si="4"/>
        <v>2.2434839986803037</v>
      </c>
      <c r="M42" s="51">
        <f t="shared" si="4"/>
        <v>2.7184466019417477</v>
      </c>
      <c r="N42" s="51">
        <f t="shared" si="4"/>
        <v>2.3212045169385194</v>
      </c>
      <c r="O42" s="43"/>
      <c r="P42" s="43">
        <f t="shared" si="0"/>
        <v>2.1210357637791284</v>
      </c>
      <c r="Q42" s="44"/>
    </row>
    <row r="43" spans="1:18" ht="18" x14ac:dyDescent="0.2">
      <c r="A43" s="91"/>
      <c r="B43" s="35" t="s">
        <v>42</v>
      </c>
      <c r="C43" s="51">
        <f>IFERROR(C19/(C19+C20+C21)*100,"")</f>
        <v>43.75</v>
      </c>
      <c r="D43" s="51">
        <f t="shared" ref="D43:N43" si="5">IFERROR(D19/(D19+D20+D21)*100,"")</f>
        <v>45.68452380952381</v>
      </c>
      <c r="E43" s="51">
        <f t="shared" si="5"/>
        <v>45.621780721118469</v>
      </c>
      <c r="F43" s="51">
        <f t="shared" si="5"/>
        <v>45.815295815295812</v>
      </c>
      <c r="G43" s="51">
        <f t="shared" si="5"/>
        <v>45.320197044334975</v>
      </c>
      <c r="H43" s="51">
        <f t="shared" si="5"/>
        <v>45.347222222222221</v>
      </c>
      <c r="I43" s="51">
        <f t="shared" si="5"/>
        <v>43.944636678200695</v>
      </c>
      <c r="J43" s="51">
        <f t="shared" si="5"/>
        <v>43.737574552683895</v>
      </c>
      <c r="K43" s="51">
        <f t="shared" si="5"/>
        <v>43.951612903225808</v>
      </c>
      <c r="L43" s="51">
        <f t="shared" si="5"/>
        <v>43.554236729310915</v>
      </c>
      <c r="M43" s="51">
        <f t="shared" si="5"/>
        <v>43.171521035598701</v>
      </c>
      <c r="N43" s="51">
        <f t="shared" si="5"/>
        <v>42.28356336260979</v>
      </c>
      <c r="O43" s="43">
        <v>40</v>
      </c>
      <c r="P43" s="43">
        <f t="shared" si="0"/>
        <v>44.348513739510423</v>
      </c>
      <c r="Q43" s="44">
        <v>43.96</v>
      </c>
    </row>
    <row r="44" spans="1:18" ht="18" x14ac:dyDescent="0.2">
      <c r="A44" s="91"/>
      <c r="B44" s="35" t="s">
        <v>43</v>
      </c>
      <c r="C44" s="51">
        <f>IFERROR(C20/(C19+C20+C21)*100,"")</f>
        <v>26.25</v>
      </c>
      <c r="D44" s="51">
        <f t="shared" ref="D44:N44" si="6">IFERROR(D20/(D19+D20+D21)*100,"")</f>
        <v>25</v>
      </c>
      <c r="E44" s="51">
        <f t="shared" si="6"/>
        <v>26.048565121412803</v>
      </c>
      <c r="F44" s="51">
        <f t="shared" si="6"/>
        <v>27.344877344877343</v>
      </c>
      <c r="G44" s="51">
        <f t="shared" si="6"/>
        <v>28.501055594651653</v>
      </c>
      <c r="H44" s="51">
        <f t="shared" si="6"/>
        <v>28.472222222222221</v>
      </c>
      <c r="I44" s="51">
        <f t="shared" si="6"/>
        <v>29.273356401384081</v>
      </c>
      <c r="J44" s="51">
        <f t="shared" si="6"/>
        <v>31.080185553346588</v>
      </c>
      <c r="K44" s="51">
        <f t="shared" si="6"/>
        <v>30.77956989247312</v>
      </c>
      <c r="L44" s="51">
        <f t="shared" si="6"/>
        <v>31.388064622485988</v>
      </c>
      <c r="M44" s="51">
        <f t="shared" si="6"/>
        <v>31.974110032362457</v>
      </c>
      <c r="N44" s="51">
        <f t="shared" si="6"/>
        <v>31.869510664993726</v>
      </c>
      <c r="O44" s="43">
        <v>29</v>
      </c>
      <c r="P44" s="43">
        <f t="shared" si="0"/>
        <v>28.998459787517493</v>
      </c>
      <c r="Q44" s="44">
        <v>28.25</v>
      </c>
    </row>
    <row r="45" spans="1:18" ht="18" x14ac:dyDescent="0.2">
      <c r="A45" s="91"/>
      <c r="B45" s="35" t="s">
        <v>44</v>
      </c>
      <c r="C45" s="51">
        <f>IFERROR(C21/(C19+C20+C21)*100,"")</f>
        <v>30</v>
      </c>
      <c r="D45" s="51">
        <f t="shared" ref="D45:N45" si="7">IFERROR(D21/(D19+D20+D21)*100,"")</f>
        <v>29.315476190476193</v>
      </c>
      <c r="E45" s="51">
        <f t="shared" si="7"/>
        <v>28.329654157468724</v>
      </c>
      <c r="F45" s="51">
        <f t="shared" si="7"/>
        <v>26.839826839826841</v>
      </c>
      <c r="G45" s="51">
        <f t="shared" si="7"/>
        <v>26.178747361013372</v>
      </c>
      <c r="H45" s="51">
        <f t="shared" si="7"/>
        <v>26.180555555555557</v>
      </c>
      <c r="I45" s="51">
        <f t="shared" si="7"/>
        <v>26.782006920415224</v>
      </c>
      <c r="J45" s="51">
        <f t="shared" si="7"/>
        <v>25.182239893969516</v>
      </c>
      <c r="K45" s="51">
        <f t="shared" si="7"/>
        <v>25.268817204301076</v>
      </c>
      <c r="L45" s="51">
        <f t="shared" si="7"/>
        <v>25.057698648203097</v>
      </c>
      <c r="M45" s="51">
        <f t="shared" si="7"/>
        <v>24.854368932038835</v>
      </c>
      <c r="N45" s="51">
        <f t="shared" si="7"/>
        <v>25.846925972396491</v>
      </c>
      <c r="O45" s="43">
        <v>31</v>
      </c>
      <c r="P45" s="43">
        <f t="shared" si="0"/>
        <v>26.653026472972076</v>
      </c>
      <c r="Q45" s="44">
        <v>28</v>
      </c>
    </row>
    <row r="46" spans="1:18" ht="18" x14ac:dyDescent="0.2">
      <c r="A46" s="91"/>
      <c r="B46" s="52" t="s">
        <v>45</v>
      </c>
      <c r="C46" s="53">
        <v>45123</v>
      </c>
      <c r="D46" s="53">
        <v>43284</v>
      </c>
      <c r="E46" s="53">
        <v>43652</v>
      </c>
      <c r="F46" s="53">
        <v>43130</v>
      </c>
      <c r="G46" s="53">
        <v>45259</v>
      </c>
      <c r="H46" s="53">
        <v>45567</v>
      </c>
      <c r="I46" s="53">
        <v>49273</v>
      </c>
      <c r="J46" s="53">
        <v>49057</v>
      </c>
      <c r="K46" s="53">
        <v>52126</v>
      </c>
      <c r="L46" s="53">
        <v>53257</v>
      </c>
      <c r="M46" s="53">
        <v>56371</v>
      </c>
      <c r="N46" s="53">
        <v>57443</v>
      </c>
      <c r="O46" s="43"/>
      <c r="P46" s="43"/>
      <c r="Q46" s="44"/>
    </row>
    <row r="47" spans="1:18" ht="18" x14ac:dyDescent="0.2">
      <c r="A47" s="91"/>
      <c r="B47" s="52" t="s">
        <v>153</v>
      </c>
      <c r="C47" s="53">
        <v>58365</v>
      </c>
      <c r="D47" s="53">
        <v>57332</v>
      </c>
      <c r="E47" s="53">
        <v>57137</v>
      </c>
      <c r="F47" s="53">
        <v>58242</v>
      </c>
      <c r="G47" s="53">
        <v>59101</v>
      </c>
      <c r="H47" s="53">
        <v>59907</v>
      </c>
      <c r="I47" s="53">
        <v>60047</v>
      </c>
      <c r="J47" s="53">
        <v>62858</v>
      </c>
      <c r="K47" s="53">
        <v>63029</v>
      </c>
      <c r="L47" s="53">
        <v>64417</v>
      </c>
      <c r="M47" s="53">
        <v>63876</v>
      </c>
      <c r="N47" s="53">
        <v>62761</v>
      </c>
      <c r="O47" s="43"/>
      <c r="P47" s="43"/>
      <c r="Q47" s="44"/>
    </row>
    <row r="48" spans="1:18" ht="18" x14ac:dyDescent="0.2">
      <c r="A48" s="91"/>
      <c r="B48" s="52" t="s">
        <v>46</v>
      </c>
      <c r="C48" s="51">
        <v>41.9</v>
      </c>
      <c r="D48" s="51">
        <v>41.5</v>
      </c>
      <c r="E48" s="51">
        <v>40.299999999999997</v>
      </c>
      <c r="F48" s="51">
        <v>40.5</v>
      </c>
      <c r="G48" s="51">
        <v>41.5</v>
      </c>
      <c r="H48" s="51">
        <v>42.6</v>
      </c>
      <c r="I48" s="51">
        <v>43</v>
      </c>
      <c r="J48" s="51">
        <v>43.5</v>
      </c>
      <c r="K48" s="51">
        <v>44.4</v>
      </c>
      <c r="L48" s="51">
        <v>45.4</v>
      </c>
      <c r="M48" s="51">
        <v>45.9</v>
      </c>
      <c r="N48" s="51">
        <v>47.4</v>
      </c>
      <c r="O48" s="43"/>
      <c r="P48" s="43">
        <f t="shared" si="0"/>
        <v>43.158333333333324</v>
      </c>
      <c r="Q48" s="44"/>
    </row>
    <row r="49" spans="1:17" ht="18" x14ac:dyDescent="0.2">
      <c r="A49" s="91"/>
      <c r="B49" s="35" t="s">
        <v>47</v>
      </c>
      <c r="C49" s="42">
        <v>44.52</v>
      </c>
      <c r="D49" s="42">
        <v>44.7</v>
      </c>
      <c r="E49" s="42">
        <v>43.2</v>
      </c>
      <c r="F49" s="42">
        <v>44.7</v>
      </c>
      <c r="G49" s="42">
        <v>43.9</v>
      </c>
      <c r="H49" s="42">
        <v>44.2</v>
      </c>
      <c r="I49" s="42">
        <v>44</v>
      </c>
      <c r="J49" s="42">
        <v>44.9</v>
      </c>
      <c r="K49" s="42">
        <v>44.2</v>
      </c>
      <c r="L49" s="42">
        <v>45</v>
      </c>
      <c r="M49" s="42">
        <v>43.3</v>
      </c>
      <c r="N49" s="42">
        <v>42</v>
      </c>
      <c r="O49" s="43">
        <v>43</v>
      </c>
      <c r="P49" s="43">
        <f t="shared" si="0"/>
        <v>44.051666666666669</v>
      </c>
      <c r="Q49" s="44">
        <v>40.1</v>
      </c>
    </row>
    <row r="50" spans="1:17" ht="18" x14ac:dyDescent="0.2">
      <c r="A50" s="91"/>
      <c r="B50" s="35" t="s">
        <v>48</v>
      </c>
      <c r="C50" s="42">
        <v>44.5</v>
      </c>
      <c r="D50" s="42">
        <v>43.1</v>
      </c>
      <c r="E50" s="42">
        <v>42.6</v>
      </c>
      <c r="F50" s="42">
        <v>44.7</v>
      </c>
      <c r="G50" s="42">
        <v>43.8</v>
      </c>
      <c r="H50" s="42">
        <v>43</v>
      </c>
      <c r="I50" s="42">
        <v>44.2</v>
      </c>
      <c r="J50" s="42">
        <v>45.4</v>
      </c>
      <c r="K50" s="42">
        <v>43.9</v>
      </c>
      <c r="L50" s="42">
        <v>43</v>
      </c>
      <c r="M50" s="42">
        <v>41.76</v>
      </c>
      <c r="N50" s="42">
        <v>41.2</v>
      </c>
      <c r="O50" s="43">
        <v>39.799999999999997</v>
      </c>
      <c r="P50" s="43">
        <f t="shared" si="0"/>
        <v>43.43</v>
      </c>
      <c r="Q50" s="44">
        <v>38</v>
      </c>
    </row>
    <row r="51" spans="1:17" ht="18" x14ac:dyDescent="0.2">
      <c r="A51" s="91"/>
      <c r="B51" s="35" t="s">
        <v>49</v>
      </c>
      <c r="C51" s="42">
        <v>46.1</v>
      </c>
      <c r="D51" s="42">
        <v>44.6</v>
      </c>
      <c r="E51" s="42">
        <v>43.1</v>
      </c>
      <c r="F51" s="42">
        <v>47.5</v>
      </c>
      <c r="G51" s="42">
        <v>46.8</v>
      </c>
      <c r="H51" s="42">
        <v>46.1</v>
      </c>
      <c r="I51" s="42">
        <v>46.7</v>
      </c>
      <c r="J51" s="42">
        <v>47.3</v>
      </c>
      <c r="K51" s="42">
        <v>45.8</v>
      </c>
      <c r="L51" s="42">
        <v>45</v>
      </c>
      <c r="M51" s="42">
        <v>44.3</v>
      </c>
      <c r="N51" s="42">
        <v>44</v>
      </c>
      <c r="O51" s="43">
        <v>45.1</v>
      </c>
      <c r="P51" s="43">
        <f t="shared" si="0"/>
        <v>45.608333333333341</v>
      </c>
      <c r="Q51" s="44">
        <v>41.3</v>
      </c>
    </row>
    <row r="52" spans="1:17" ht="18" x14ac:dyDescent="0.2">
      <c r="A52" s="91"/>
      <c r="B52" s="35" t="s">
        <v>50</v>
      </c>
      <c r="C52" s="51">
        <f>IFERROR(C50/C51*100,"")</f>
        <v>96.529284164858993</v>
      </c>
      <c r="D52" s="51">
        <f t="shared" ref="D52:N52" si="8">IFERROR(D50/D51*100,"")</f>
        <v>96.63677130044843</v>
      </c>
      <c r="E52" s="51">
        <f t="shared" si="8"/>
        <v>98.83990719257541</v>
      </c>
      <c r="F52" s="51">
        <f t="shared" si="8"/>
        <v>94.105263157894754</v>
      </c>
      <c r="G52" s="51">
        <f t="shared" si="8"/>
        <v>93.589743589743591</v>
      </c>
      <c r="H52" s="51">
        <f t="shared" si="8"/>
        <v>93.275488069414308</v>
      </c>
      <c r="I52" s="51">
        <f t="shared" si="8"/>
        <v>94.646680942184162</v>
      </c>
      <c r="J52" s="51">
        <f t="shared" si="8"/>
        <v>95.983086680761105</v>
      </c>
      <c r="K52" s="51">
        <f t="shared" si="8"/>
        <v>95.851528384279476</v>
      </c>
      <c r="L52" s="51">
        <f t="shared" si="8"/>
        <v>95.555555555555557</v>
      </c>
      <c r="M52" s="51">
        <f t="shared" si="8"/>
        <v>94.266365688487582</v>
      </c>
      <c r="N52" s="51">
        <f t="shared" si="8"/>
        <v>93.63636363636364</v>
      </c>
      <c r="O52" s="43"/>
      <c r="P52" s="43">
        <f t="shared" si="0"/>
        <v>95.243003196880593</v>
      </c>
      <c r="Q52" s="44"/>
    </row>
    <row r="53" spans="1:17" ht="18" x14ac:dyDescent="0.2">
      <c r="A53" s="91"/>
      <c r="B53" s="35" t="s">
        <v>51</v>
      </c>
      <c r="C53" s="42">
        <v>3.19</v>
      </c>
      <c r="D53" s="42">
        <v>3</v>
      </c>
      <c r="E53" s="42">
        <v>3.07</v>
      </c>
      <c r="F53" s="42">
        <v>3.04</v>
      </c>
      <c r="G53" s="42">
        <v>3.12</v>
      </c>
      <c r="H53" s="42">
        <v>3.28</v>
      </c>
      <c r="I53" s="42">
        <v>3.44</v>
      </c>
      <c r="J53" s="42">
        <v>3.46</v>
      </c>
      <c r="K53" s="42">
        <v>3.44</v>
      </c>
      <c r="L53" s="42">
        <v>3.43</v>
      </c>
      <c r="M53" s="42">
        <v>3.43</v>
      </c>
      <c r="N53" s="42">
        <v>3.46</v>
      </c>
      <c r="O53" s="43">
        <v>3.25</v>
      </c>
      <c r="P53" s="43">
        <f t="shared" si="0"/>
        <v>3.2800000000000007</v>
      </c>
      <c r="Q53" s="44">
        <v>3.62</v>
      </c>
    </row>
    <row r="54" spans="1:17" ht="18" x14ac:dyDescent="0.2">
      <c r="A54" s="91"/>
      <c r="B54" s="35" t="s">
        <v>52</v>
      </c>
      <c r="C54" s="42">
        <v>3.32</v>
      </c>
      <c r="D54" s="42">
        <v>3.33</v>
      </c>
      <c r="E54" s="42">
        <v>3.31</v>
      </c>
      <c r="F54" s="42">
        <v>3.28</v>
      </c>
      <c r="G54" s="42">
        <v>3.3</v>
      </c>
      <c r="H54" s="42">
        <v>3.31</v>
      </c>
      <c r="I54" s="42">
        <v>3.32</v>
      </c>
      <c r="J54" s="42">
        <v>3.34</v>
      </c>
      <c r="K54" s="42">
        <v>3.34</v>
      </c>
      <c r="L54" s="42">
        <v>3.37</v>
      </c>
      <c r="M54" s="42">
        <v>3.38</v>
      </c>
      <c r="N54" s="42">
        <v>3.37</v>
      </c>
      <c r="O54" s="43">
        <v>3.29</v>
      </c>
      <c r="P54" s="43">
        <f t="shared" si="0"/>
        <v>3.3308333333333331</v>
      </c>
      <c r="Q54" s="44">
        <v>3.36</v>
      </c>
    </row>
    <row r="55" spans="1:17" ht="18" x14ac:dyDescent="0.2">
      <c r="A55" s="91"/>
      <c r="B55" s="35" t="s">
        <v>53</v>
      </c>
      <c r="C55" s="42">
        <v>11.7</v>
      </c>
      <c r="D55" s="42">
        <v>12.1</v>
      </c>
      <c r="E55" s="42">
        <v>12.1</v>
      </c>
      <c r="F55" s="42">
        <v>10.130000000000001</v>
      </c>
      <c r="G55" s="42">
        <v>11.9</v>
      </c>
      <c r="H55" s="42">
        <v>12.3</v>
      </c>
      <c r="I55" s="42">
        <v>14.3</v>
      </c>
      <c r="J55" s="42">
        <v>15.3</v>
      </c>
      <c r="K55" s="42">
        <v>15</v>
      </c>
      <c r="L55" s="42">
        <v>14.5</v>
      </c>
      <c r="M55" s="42">
        <v>14.6</v>
      </c>
      <c r="N55" s="42">
        <v>14.77</v>
      </c>
      <c r="O55" s="43">
        <v>12.78</v>
      </c>
      <c r="P55" s="43">
        <f t="shared" si="0"/>
        <v>13.225</v>
      </c>
      <c r="Q55" s="44">
        <v>14.44</v>
      </c>
    </row>
    <row r="56" spans="1:17" ht="18" x14ac:dyDescent="0.2">
      <c r="A56" s="91"/>
      <c r="B56" s="35" t="s">
        <v>54</v>
      </c>
      <c r="C56" s="42">
        <v>25.9</v>
      </c>
      <c r="D56" s="42">
        <v>24.5</v>
      </c>
      <c r="E56" s="42">
        <v>24.6</v>
      </c>
      <c r="F56" s="42">
        <v>24.8</v>
      </c>
      <c r="G56" s="42">
        <v>24.3</v>
      </c>
      <c r="H56" s="42">
        <v>25.6</v>
      </c>
      <c r="I56" s="42">
        <v>26</v>
      </c>
      <c r="J56" s="42">
        <v>26.9</v>
      </c>
      <c r="K56" s="42">
        <v>27.2</v>
      </c>
      <c r="L56" s="42">
        <v>27.6</v>
      </c>
      <c r="M56" s="42">
        <v>27.7</v>
      </c>
      <c r="N56" s="42">
        <v>27.3</v>
      </c>
      <c r="O56" s="43">
        <v>25.69</v>
      </c>
      <c r="P56" s="43">
        <f t="shared" si="0"/>
        <v>26.033333333333331</v>
      </c>
      <c r="Q56" s="44">
        <v>24.25</v>
      </c>
    </row>
    <row r="57" spans="1:17" ht="18" x14ac:dyDescent="0.2">
      <c r="A57" s="91"/>
      <c r="B57" s="35" t="s">
        <v>55</v>
      </c>
      <c r="C57" s="42">
        <v>1.43</v>
      </c>
      <c r="D57" s="42">
        <v>1.47</v>
      </c>
      <c r="E57" s="42">
        <v>1.45</v>
      </c>
      <c r="F57" s="42">
        <v>1.44</v>
      </c>
      <c r="G57" s="42">
        <v>1.45</v>
      </c>
      <c r="H57" s="42">
        <v>1.45</v>
      </c>
      <c r="I57" s="42">
        <v>1.37</v>
      </c>
      <c r="J57" s="42">
        <v>1.35</v>
      </c>
      <c r="K57" s="42">
        <v>1.35</v>
      </c>
      <c r="L57" s="42">
        <v>1.4</v>
      </c>
      <c r="M57" s="42">
        <v>1.39</v>
      </c>
      <c r="N57" s="42">
        <v>1.35</v>
      </c>
      <c r="O57" s="43">
        <v>1.46</v>
      </c>
      <c r="P57" s="43">
        <f t="shared" si="0"/>
        <v>1.4083333333333332</v>
      </c>
      <c r="Q57" s="44">
        <v>1.43</v>
      </c>
    </row>
    <row r="58" spans="1:17" ht="18" x14ac:dyDescent="0.2">
      <c r="A58" s="91"/>
      <c r="B58" s="35" t="s">
        <v>56</v>
      </c>
      <c r="C58" s="51">
        <f t="shared" ref="C58:N58" si="9">IFERROR((C49*C5)-(C56*C57),"")</f>
        <v>88.509399999999999</v>
      </c>
      <c r="D58" s="51">
        <f t="shared" si="9"/>
        <v>86.910000000000011</v>
      </c>
      <c r="E58" s="51">
        <f t="shared" si="9"/>
        <v>87.450000000000017</v>
      </c>
      <c r="F58" s="51">
        <f t="shared" si="9"/>
        <v>88.554000000000002</v>
      </c>
      <c r="G58" s="51">
        <f t="shared" si="9"/>
        <v>91.635999999999996</v>
      </c>
      <c r="H58" s="51">
        <f t="shared" si="9"/>
        <v>93.27000000000001</v>
      </c>
      <c r="I58" s="51">
        <f t="shared" si="9"/>
        <v>92.859999999999985</v>
      </c>
      <c r="J58" s="51">
        <f t="shared" si="9"/>
        <v>93.894999999999982</v>
      </c>
      <c r="K58" s="51">
        <f t="shared" si="9"/>
        <v>88.366000000000014</v>
      </c>
      <c r="L58" s="51">
        <f t="shared" si="9"/>
        <v>84.660000000000011</v>
      </c>
      <c r="M58" s="51">
        <f t="shared" si="9"/>
        <v>74.509999999999991</v>
      </c>
      <c r="N58" s="51">
        <f t="shared" si="9"/>
        <v>66.464999999999989</v>
      </c>
      <c r="O58" s="43">
        <v>75.599999999999994</v>
      </c>
      <c r="P58" s="43"/>
      <c r="Q58" s="44">
        <v>71.400000000000006</v>
      </c>
    </row>
    <row r="59" spans="1:17" ht="19" thickBot="1" x14ac:dyDescent="0.25">
      <c r="A59" s="91"/>
      <c r="B59" s="35" t="s">
        <v>57</v>
      </c>
      <c r="C59" s="51">
        <f>IFERROR(C49/C56,"")</f>
        <v>1.7189189189189191</v>
      </c>
      <c r="D59" s="51">
        <f t="shared" ref="D59:N59" si="10">IFERROR(D49/D56,"")</f>
        <v>1.8244897959183675</v>
      </c>
      <c r="E59" s="51">
        <f t="shared" si="10"/>
        <v>1.7560975609756098</v>
      </c>
      <c r="F59" s="51">
        <f t="shared" si="10"/>
        <v>1.8024193548387097</v>
      </c>
      <c r="G59" s="51">
        <f t="shared" si="10"/>
        <v>1.8065843621399176</v>
      </c>
      <c r="H59" s="51">
        <f t="shared" si="10"/>
        <v>1.7265625</v>
      </c>
      <c r="I59" s="51">
        <f t="shared" si="10"/>
        <v>1.6923076923076923</v>
      </c>
      <c r="J59" s="51">
        <f t="shared" si="10"/>
        <v>1.6691449814126393</v>
      </c>
      <c r="K59" s="51">
        <f t="shared" si="10"/>
        <v>1.6250000000000002</v>
      </c>
      <c r="L59" s="51">
        <f t="shared" si="10"/>
        <v>1.6304347826086956</v>
      </c>
      <c r="M59" s="51">
        <f t="shared" si="10"/>
        <v>1.5631768953068592</v>
      </c>
      <c r="N59" s="51">
        <f t="shared" si="10"/>
        <v>1.5384615384615383</v>
      </c>
      <c r="O59" s="43">
        <v>1.67</v>
      </c>
      <c r="P59" s="43">
        <f t="shared" si="0"/>
        <v>1.6961331985740788</v>
      </c>
      <c r="Q59" s="44">
        <v>1.66</v>
      </c>
    </row>
    <row r="60" spans="1:17" ht="18" x14ac:dyDescent="0.2">
      <c r="A60" s="96" t="s">
        <v>58</v>
      </c>
      <c r="B60" s="37" t="s">
        <v>59</v>
      </c>
      <c r="C60" s="38">
        <v>176</v>
      </c>
      <c r="D60" s="38">
        <v>173</v>
      </c>
      <c r="E60" s="38">
        <v>174</v>
      </c>
      <c r="F60" s="38">
        <v>170</v>
      </c>
      <c r="G60" s="38">
        <v>173</v>
      </c>
      <c r="H60" s="38">
        <v>174</v>
      </c>
      <c r="I60" s="38">
        <v>177</v>
      </c>
      <c r="J60" s="38">
        <v>176</v>
      </c>
      <c r="K60" s="38">
        <v>184</v>
      </c>
      <c r="L60" s="38">
        <v>185</v>
      </c>
      <c r="M60" s="38">
        <v>187</v>
      </c>
      <c r="N60" s="38">
        <v>192</v>
      </c>
      <c r="O60" s="39">
        <v>181</v>
      </c>
      <c r="P60" s="39">
        <f t="shared" si="0"/>
        <v>178.41666666666666</v>
      </c>
      <c r="Q60" s="40">
        <v>179</v>
      </c>
    </row>
    <row r="61" spans="1:17" ht="18" x14ac:dyDescent="0.2">
      <c r="A61" s="97"/>
      <c r="B61" s="35" t="s">
        <v>60</v>
      </c>
      <c r="C61" s="51">
        <f>IFERROR(C12/(C6-C13)*100,"")</f>
        <v>55.087014725568942</v>
      </c>
      <c r="D61" s="51">
        <f t="shared" ref="D61:N61" si="11">IFERROR(D12/(D6-D13)*100,"")</f>
        <v>52.34633179114342</v>
      </c>
      <c r="E61" s="51">
        <f t="shared" si="11"/>
        <v>50.622134905042572</v>
      </c>
      <c r="F61" s="51">
        <f t="shared" si="11"/>
        <v>50.479846449136275</v>
      </c>
      <c r="G61" s="51">
        <f t="shared" si="11"/>
        <v>47.957259585166561</v>
      </c>
      <c r="H61" s="51">
        <f t="shared" si="11"/>
        <v>49.907005579665217</v>
      </c>
      <c r="I61" s="51">
        <f t="shared" si="11"/>
        <v>52.342786683107278</v>
      </c>
      <c r="J61" s="51">
        <f t="shared" si="11"/>
        <v>54.506957047791893</v>
      </c>
      <c r="K61" s="51">
        <f t="shared" si="11"/>
        <v>55.180722891566269</v>
      </c>
      <c r="L61" s="51">
        <f t="shared" si="11"/>
        <v>55.4962962962963</v>
      </c>
      <c r="M61" s="51">
        <f t="shared" si="11"/>
        <v>55.801749271137027</v>
      </c>
      <c r="N61" s="51">
        <f t="shared" si="11"/>
        <v>53.728813559322028</v>
      </c>
      <c r="O61" s="43">
        <v>53</v>
      </c>
      <c r="P61" s="43">
        <f t="shared" si="0"/>
        <v>52.788076565411991</v>
      </c>
      <c r="Q61" s="44">
        <v>55.3</v>
      </c>
    </row>
    <row r="62" spans="1:17" ht="18" x14ac:dyDescent="0.2">
      <c r="A62" s="97"/>
      <c r="B62" s="35" t="s">
        <v>61</v>
      </c>
      <c r="C62" s="42">
        <v>68</v>
      </c>
      <c r="D62" s="42">
        <v>68.7</v>
      </c>
      <c r="E62" s="42">
        <v>71</v>
      </c>
      <c r="F62" s="42">
        <v>66.5</v>
      </c>
      <c r="G62" s="42">
        <v>68.099999999999994</v>
      </c>
      <c r="H62" s="42">
        <v>67</v>
      </c>
      <c r="I62" s="42">
        <v>63</v>
      </c>
      <c r="J62" s="42">
        <v>61</v>
      </c>
      <c r="K62" s="42">
        <v>61</v>
      </c>
      <c r="L62" s="42">
        <v>64</v>
      </c>
      <c r="M62" s="42">
        <v>66.400000000000006</v>
      </c>
      <c r="N62" s="42">
        <v>66</v>
      </c>
      <c r="O62" s="43">
        <v>66</v>
      </c>
      <c r="P62" s="43">
        <f t="shared" si="0"/>
        <v>65.891666666666666</v>
      </c>
      <c r="Q62" s="44">
        <v>68.099999999999994</v>
      </c>
    </row>
    <row r="63" spans="1:17" ht="18" x14ac:dyDescent="0.2">
      <c r="A63" s="97"/>
      <c r="B63" s="35" t="s">
        <v>62</v>
      </c>
      <c r="C63" s="51">
        <f>IFERROR(C14/(C7-C13)*100,"")</f>
        <v>11.384615384615385</v>
      </c>
      <c r="D63" s="51">
        <f t="shared" ref="D63:N63" si="12">IFERROR(D14/(D7-D13)*100,"")</f>
        <v>13.732928679817904</v>
      </c>
      <c r="E63" s="51">
        <f t="shared" si="12"/>
        <v>15.869400151860289</v>
      </c>
      <c r="F63" s="51">
        <f t="shared" si="12"/>
        <v>15.294117647058824</v>
      </c>
      <c r="G63" s="51">
        <f t="shared" si="12"/>
        <v>16.367552045944006</v>
      </c>
      <c r="H63" s="51">
        <f t="shared" si="12"/>
        <v>15.770862800565771</v>
      </c>
      <c r="I63" s="51">
        <f t="shared" si="12"/>
        <v>14.558303886925794</v>
      </c>
      <c r="J63" s="51">
        <f t="shared" si="12"/>
        <v>12.145748987854251</v>
      </c>
      <c r="K63" s="51">
        <f t="shared" si="12"/>
        <v>13.219178082191782</v>
      </c>
      <c r="L63" s="51">
        <f t="shared" si="12"/>
        <v>13.364832939588256</v>
      </c>
      <c r="M63" s="51">
        <f t="shared" si="12"/>
        <v>13.506320691949433</v>
      </c>
      <c r="N63" s="51">
        <f t="shared" si="12"/>
        <v>15.285806037251124</v>
      </c>
      <c r="O63" s="43">
        <v>12.5</v>
      </c>
      <c r="P63" s="43">
        <f t="shared" si="0"/>
        <v>14.208305611301903</v>
      </c>
      <c r="Q63" s="44">
        <v>13.4</v>
      </c>
    </row>
    <row r="64" spans="1:17" ht="18" x14ac:dyDescent="0.2">
      <c r="A64" s="97"/>
      <c r="B64" s="35" t="s">
        <v>63</v>
      </c>
      <c r="C64" s="42">
        <v>35.200000000000003</v>
      </c>
      <c r="D64" s="42">
        <v>27.5</v>
      </c>
      <c r="E64" s="42">
        <v>34.96</v>
      </c>
      <c r="F64" s="42">
        <v>31.7</v>
      </c>
      <c r="G64" s="42">
        <v>34.700000000000003</v>
      </c>
      <c r="H64" s="42">
        <v>40.299999999999997</v>
      </c>
      <c r="I64" s="42">
        <v>35.49</v>
      </c>
      <c r="J64" s="42">
        <v>35</v>
      </c>
      <c r="K64" s="42">
        <v>35.799999999999997</v>
      </c>
      <c r="L64" s="42">
        <v>37.299999999999997</v>
      </c>
      <c r="M64" s="42">
        <v>32.92</v>
      </c>
      <c r="N64" s="42">
        <v>30.46</v>
      </c>
      <c r="O64" s="43">
        <v>42.7</v>
      </c>
      <c r="P64" s="43">
        <f t="shared" si="0"/>
        <v>34.277500000000003</v>
      </c>
      <c r="Q64" s="44">
        <v>41.8</v>
      </c>
    </row>
    <row r="65" spans="1:17" ht="18" x14ac:dyDescent="0.2">
      <c r="A65" s="97"/>
      <c r="B65" s="35" t="s">
        <v>64</v>
      </c>
      <c r="C65" s="42">
        <v>39.01</v>
      </c>
      <c r="D65" s="42">
        <v>38.159999999999997</v>
      </c>
      <c r="E65" s="42">
        <v>38.76</v>
      </c>
      <c r="F65" s="42">
        <v>35.9</v>
      </c>
      <c r="G65" s="42">
        <v>36.6</v>
      </c>
      <c r="H65" s="42">
        <v>41.18</v>
      </c>
      <c r="I65" s="42">
        <v>31.4</v>
      </c>
      <c r="J65" s="42">
        <v>32.65</v>
      </c>
      <c r="K65" s="42">
        <v>35.299999999999997</v>
      </c>
      <c r="L65" s="42">
        <v>37.4</v>
      </c>
      <c r="M65" s="42">
        <v>33.93</v>
      </c>
      <c r="N65" s="42">
        <v>26.98</v>
      </c>
      <c r="O65" s="43">
        <v>48</v>
      </c>
      <c r="P65" s="43">
        <f t="shared" si="0"/>
        <v>35.605833333333329</v>
      </c>
      <c r="Q65" s="44">
        <v>47.1</v>
      </c>
    </row>
    <row r="66" spans="1:17" ht="18" x14ac:dyDescent="0.2">
      <c r="A66" s="97"/>
      <c r="B66" s="35" t="s">
        <v>65</v>
      </c>
      <c r="C66" s="42">
        <v>34.56</v>
      </c>
      <c r="D66" s="42">
        <v>37.08</v>
      </c>
      <c r="E66" s="42">
        <v>44.5</v>
      </c>
      <c r="F66" s="42">
        <v>39.049999999999997</v>
      </c>
      <c r="G66" s="42">
        <v>37.9</v>
      </c>
      <c r="H66" s="42">
        <v>44.7</v>
      </c>
      <c r="I66" s="42">
        <v>40.54</v>
      </c>
      <c r="J66" s="42">
        <v>32.4</v>
      </c>
      <c r="K66" s="42">
        <v>37.119999999999997</v>
      </c>
      <c r="L66" s="42">
        <v>39.9</v>
      </c>
      <c r="M66" s="42">
        <v>40.799999999999997</v>
      </c>
      <c r="N66" s="42">
        <v>31.4</v>
      </c>
      <c r="O66" s="43">
        <v>48</v>
      </c>
      <c r="P66" s="43">
        <f t="shared" si="0"/>
        <v>38.329166666666666</v>
      </c>
      <c r="Q66" s="44">
        <v>48</v>
      </c>
    </row>
    <row r="67" spans="1:17" ht="18" x14ac:dyDescent="0.2">
      <c r="A67" s="97"/>
      <c r="B67" s="35" t="s">
        <v>66</v>
      </c>
      <c r="C67" s="42">
        <v>36.54</v>
      </c>
      <c r="D67" s="42">
        <v>45.71</v>
      </c>
      <c r="E67" s="42">
        <v>50</v>
      </c>
      <c r="F67" s="42">
        <v>43.4</v>
      </c>
      <c r="G67" s="42">
        <v>38.299999999999997</v>
      </c>
      <c r="H67" s="42">
        <v>45.6</v>
      </c>
      <c r="I67" s="42">
        <v>33.82</v>
      </c>
      <c r="J67" s="42">
        <v>35.9</v>
      </c>
      <c r="K67" s="42">
        <v>36.799999999999997</v>
      </c>
      <c r="L67" s="42">
        <v>35.9</v>
      </c>
      <c r="M67" s="42">
        <v>33.299999999999997</v>
      </c>
      <c r="N67" s="42">
        <v>32.200000000000003</v>
      </c>
      <c r="O67" s="43"/>
      <c r="P67" s="43">
        <f t="shared" si="0"/>
        <v>38.955833333333331</v>
      </c>
      <c r="Q67" s="44"/>
    </row>
    <row r="68" spans="1:17" ht="18" x14ac:dyDescent="0.2">
      <c r="A68" s="97"/>
      <c r="B68" s="35" t="s">
        <v>67</v>
      </c>
      <c r="C68" s="42">
        <v>35.79</v>
      </c>
      <c r="D68" s="42">
        <v>21.77</v>
      </c>
      <c r="E68" s="42">
        <v>28.08</v>
      </c>
      <c r="F68" s="42">
        <v>26.1</v>
      </c>
      <c r="G68" s="42">
        <v>32.799999999999997</v>
      </c>
      <c r="H68" s="42">
        <v>37.299999999999997</v>
      </c>
      <c r="I68" s="42">
        <v>32.31</v>
      </c>
      <c r="J68" s="42">
        <v>36.700000000000003</v>
      </c>
      <c r="K68" s="42">
        <v>35.11</v>
      </c>
      <c r="L68" s="42">
        <v>35.5</v>
      </c>
      <c r="M68" s="42">
        <v>28.22</v>
      </c>
      <c r="N68" s="42">
        <v>29.81</v>
      </c>
      <c r="O68" s="43">
        <v>39</v>
      </c>
      <c r="P68" s="43">
        <f t="shared" si="0"/>
        <v>31.624166666666671</v>
      </c>
      <c r="Q68" s="44">
        <v>39</v>
      </c>
    </row>
    <row r="69" spans="1:17" ht="18" x14ac:dyDescent="0.2">
      <c r="A69" s="97"/>
      <c r="B69" s="35" t="s">
        <v>68</v>
      </c>
      <c r="C69" s="42">
        <v>40.450000000000003</v>
      </c>
      <c r="D69" s="42">
        <v>31.71</v>
      </c>
      <c r="E69" s="42">
        <v>29.58</v>
      </c>
      <c r="F69" s="42">
        <v>28.5</v>
      </c>
      <c r="G69" s="42">
        <v>35.6</v>
      </c>
      <c r="H69" s="42">
        <v>37.9</v>
      </c>
      <c r="I69" s="42">
        <v>29.81</v>
      </c>
      <c r="J69" s="42">
        <v>29.59</v>
      </c>
      <c r="K69" s="42">
        <v>34.700000000000003</v>
      </c>
      <c r="L69" s="42">
        <v>38.700000000000003</v>
      </c>
      <c r="M69" s="42">
        <v>34.21</v>
      </c>
      <c r="N69" s="42">
        <v>22.39</v>
      </c>
      <c r="O69" s="43"/>
      <c r="P69" s="43">
        <f t="shared" si="0"/>
        <v>32.761666666666663</v>
      </c>
      <c r="Q69" s="44"/>
    </row>
    <row r="70" spans="1:17" ht="18" x14ac:dyDescent="0.2">
      <c r="A70" s="97"/>
      <c r="B70" s="35" t="s">
        <v>69</v>
      </c>
      <c r="C70" s="42">
        <v>50.94</v>
      </c>
      <c r="D70" s="42">
        <v>48.25</v>
      </c>
      <c r="E70" s="42">
        <v>52.89</v>
      </c>
      <c r="F70" s="42">
        <v>47.6</v>
      </c>
      <c r="G70" s="42">
        <v>50</v>
      </c>
      <c r="H70" s="42">
        <v>44.8</v>
      </c>
      <c r="I70" s="42">
        <v>45</v>
      </c>
      <c r="J70" s="42">
        <v>43.37</v>
      </c>
      <c r="K70" s="42">
        <v>44.8</v>
      </c>
      <c r="L70" s="42">
        <v>51.47</v>
      </c>
      <c r="M70" s="42">
        <v>46.89</v>
      </c>
      <c r="N70" s="42">
        <v>45.45</v>
      </c>
      <c r="O70" s="43">
        <v>50</v>
      </c>
      <c r="P70" s="43">
        <f t="shared" si="0"/>
        <v>47.62166666666667</v>
      </c>
      <c r="Q70" s="44">
        <v>51.7</v>
      </c>
    </row>
    <row r="71" spans="1:17" ht="18" x14ac:dyDescent="0.2">
      <c r="A71" s="97"/>
      <c r="B71" s="35" t="s">
        <v>70</v>
      </c>
      <c r="C71" s="42">
        <v>56.14</v>
      </c>
      <c r="D71" s="42">
        <v>53.57</v>
      </c>
      <c r="E71" s="42">
        <v>69.23</v>
      </c>
      <c r="F71" s="42">
        <v>47.1</v>
      </c>
      <c r="G71" s="42">
        <v>51.8</v>
      </c>
      <c r="H71" s="42">
        <v>46.1</v>
      </c>
      <c r="I71" s="42">
        <v>55.17</v>
      </c>
      <c r="J71" s="42">
        <v>51.9</v>
      </c>
      <c r="K71" s="42">
        <v>48.39</v>
      </c>
      <c r="L71" s="42">
        <v>52.63</v>
      </c>
      <c r="M71" s="42">
        <v>43.62</v>
      </c>
      <c r="N71" s="42">
        <v>46.77</v>
      </c>
      <c r="O71" s="43"/>
      <c r="P71" s="43">
        <f t="shared" si="0"/>
        <v>51.868333333333332</v>
      </c>
      <c r="Q71" s="44"/>
    </row>
    <row r="72" spans="1:17" ht="19" thickBot="1" x14ac:dyDescent="0.25">
      <c r="A72" s="97"/>
      <c r="B72" s="35" t="s">
        <v>71</v>
      </c>
      <c r="C72" s="42">
        <v>22.7</v>
      </c>
      <c r="D72" s="42">
        <v>22.2</v>
      </c>
      <c r="E72" s="42">
        <v>22.4</v>
      </c>
      <c r="F72" s="42">
        <v>22.6</v>
      </c>
      <c r="G72" s="42">
        <v>22.6</v>
      </c>
      <c r="H72" s="42">
        <v>22.3</v>
      </c>
      <c r="I72" s="42">
        <v>22.03</v>
      </c>
      <c r="J72" s="42">
        <v>22.3</v>
      </c>
      <c r="K72" s="42">
        <v>22.6</v>
      </c>
      <c r="L72" s="42">
        <v>22.7</v>
      </c>
      <c r="M72" s="42">
        <v>22.7</v>
      </c>
      <c r="N72" s="42">
        <v>22</v>
      </c>
      <c r="O72" s="43">
        <v>22.6</v>
      </c>
      <c r="P72" s="43">
        <f t="shared" si="0"/>
        <v>22.427499999999998</v>
      </c>
      <c r="Q72" s="44">
        <v>24.1</v>
      </c>
    </row>
    <row r="73" spans="1:17" ht="18" x14ac:dyDescent="0.2">
      <c r="A73" s="98" t="s">
        <v>72</v>
      </c>
      <c r="B73" s="37" t="s">
        <v>73</v>
      </c>
      <c r="C73" s="50">
        <f>IFERROR(C23/C22*100,"")</f>
        <v>56.375838926174495</v>
      </c>
      <c r="D73" s="50">
        <f t="shared" ref="D73:N73" si="13">IFERROR(D23/D22*100,"")</f>
        <v>66.417910447761201</v>
      </c>
      <c r="E73" s="50">
        <f t="shared" si="13"/>
        <v>63.576158940397356</v>
      </c>
      <c r="F73" s="50">
        <f t="shared" si="13"/>
        <v>59.146341463414629</v>
      </c>
      <c r="G73" s="50">
        <f t="shared" si="13"/>
        <v>66.459627329192557</v>
      </c>
      <c r="H73" s="50">
        <f t="shared" si="13"/>
        <v>73.793103448275872</v>
      </c>
      <c r="I73" s="50">
        <f t="shared" si="13"/>
        <v>75.172413793103445</v>
      </c>
      <c r="J73" s="50">
        <f t="shared" si="13"/>
        <v>72.093023255813947</v>
      </c>
      <c r="K73" s="50">
        <f t="shared" si="13"/>
        <v>77.118644067796609</v>
      </c>
      <c r="L73" s="50">
        <f t="shared" si="13"/>
        <v>75.193798449612402</v>
      </c>
      <c r="M73" s="50">
        <f t="shared" si="13"/>
        <v>73.571428571428584</v>
      </c>
      <c r="N73" s="50">
        <f t="shared" si="13"/>
        <v>64.516129032258064</v>
      </c>
      <c r="O73" s="39">
        <v>67.5</v>
      </c>
      <c r="P73" s="39">
        <f t="shared" si="0"/>
        <v>68.619534810435752</v>
      </c>
      <c r="Q73" s="40">
        <v>67</v>
      </c>
    </row>
    <row r="74" spans="1:17" ht="18" x14ac:dyDescent="0.2">
      <c r="A74" s="99"/>
      <c r="B74" s="35" t="s">
        <v>74</v>
      </c>
      <c r="C74" s="51">
        <f>IFERROR(C24/C22*100,"")</f>
        <v>8.0536912751677843</v>
      </c>
      <c r="D74" s="51">
        <f t="shared" ref="D74:N74" si="14">IFERROR(D24/D22*100,"")</f>
        <v>8.9552238805970141</v>
      </c>
      <c r="E74" s="51">
        <f t="shared" si="14"/>
        <v>11.920529801324504</v>
      </c>
      <c r="F74" s="51">
        <f t="shared" si="14"/>
        <v>17.073170731707318</v>
      </c>
      <c r="G74" s="51">
        <f t="shared" si="14"/>
        <v>9.316770186335404</v>
      </c>
      <c r="H74" s="51">
        <f t="shared" si="14"/>
        <v>11.724137931034482</v>
      </c>
      <c r="I74" s="51">
        <f t="shared" si="14"/>
        <v>8.2758620689655178</v>
      </c>
      <c r="J74" s="51">
        <f t="shared" si="14"/>
        <v>4.0697674418604652</v>
      </c>
      <c r="K74" s="51">
        <f t="shared" si="14"/>
        <v>7.6271186440677967</v>
      </c>
      <c r="L74" s="51">
        <f t="shared" si="14"/>
        <v>7.7519379844961236</v>
      </c>
      <c r="M74" s="51">
        <f t="shared" si="14"/>
        <v>7.8571428571428568</v>
      </c>
      <c r="N74" s="51">
        <f t="shared" si="14"/>
        <v>3.870967741935484</v>
      </c>
      <c r="O74" s="43">
        <v>6.7</v>
      </c>
      <c r="P74" s="43">
        <f t="shared" si="0"/>
        <v>8.874693378719563</v>
      </c>
      <c r="Q74" s="44">
        <v>4.74</v>
      </c>
    </row>
    <row r="75" spans="1:17" ht="18" x14ac:dyDescent="0.2">
      <c r="A75" s="99"/>
      <c r="B75" s="35" t="s">
        <v>75</v>
      </c>
      <c r="C75" s="51">
        <f>IFERROR(C25/C22*100,"")</f>
        <v>2.6845637583892619</v>
      </c>
      <c r="D75" s="51">
        <f t="shared" ref="D75:N75" si="15">IFERROR(D25/D22*100,"")</f>
        <v>6.7164179104477615</v>
      </c>
      <c r="E75" s="51">
        <f t="shared" si="15"/>
        <v>5.298013245033113</v>
      </c>
      <c r="F75" s="51">
        <f t="shared" si="15"/>
        <v>1.2195121951219512</v>
      </c>
      <c r="G75" s="51">
        <f t="shared" si="15"/>
        <v>1.8633540372670807</v>
      </c>
      <c r="H75" s="51">
        <f t="shared" si="15"/>
        <v>1.3793103448275863</v>
      </c>
      <c r="I75" s="51">
        <f t="shared" si="15"/>
        <v>2.0689655172413794</v>
      </c>
      <c r="J75" s="51">
        <f t="shared" si="15"/>
        <v>0.58139534883720934</v>
      </c>
      <c r="K75" s="51">
        <f t="shared" si="15"/>
        <v>5.0847457627118651</v>
      </c>
      <c r="L75" s="51">
        <f t="shared" si="15"/>
        <v>3.8759689922480618</v>
      </c>
      <c r="M75" s="51">
        <f t="shared" si="15"/>
        <v>2.8571428571428572</v>
      </c>
      <c r="N75" s="51">
        <f t="shared" si="15"/>
        <v>4.5161290322580641</v>
      </c>
      <c r="O75" s="43">
        <v>3.7</v>
      </c>
      <c r="P75" s="43">
        <f t="shared" si="0"/>
        <v>3.1787932501271823</v>
      </c>
      <c r="Q75" s="44">
        <v>5.5</v>
      </c>
    </row>
    <row r="76" spans="1:17" ht="18" x14ac:dyDescent="0.2">
      <c r="A76" s="99"/>
      <c r="B76" s="35" t="s">
        <v>76</v>
      </c>
      <c r="C76" s="51">
        <f>IFERROR(C26/C22*100,"")</f>
        <v>2.0134228187919461</v>
      </c>
      <c r="D76" s="51">
        <f t="shared" ref="D76:N76" si="16">IFERROR(D26/D22*100,"")</f>
        <v>2.2388059701492535</v>
      </c>
      <c r="E76" s="51">
        <f t="shared" si="16"/>
        <v>2.6490066225165565</v>
      </c>
      <c r="F76" s="51">
        <f t="shared" si="16"/>
        <v>1.8292682926829267</v>
      </c>
      <c r="G76" s="51">
        <f t="shared" si="16"/>
        <v>1.8633540372670807</v>
      </c>
      <c r="H76" s="51">
        <f t="shared" si="16"/>
        <v>2.7586206896551726</v>
      </c>
      <c r="I76" s="51">
        <f t="shared" si="16"/>
        <v>2.0689655172413794</v>
      </c>
      <c r="J76" s="51">
        <f t="shared" si="16"/>
        <v>4.0697674418604652</v>
      </c>
      <c r="K76" s="51">
        <f t="shared" si="16"/>
        <v>4.2372881355932197</v>
      </c>
      <c r="L76" s="51">
        <f t="shared" si="16"/>
        <v>3.4883720930232558</v>
      </c>
      <c r="M76" s="51">
        <f t="shared" si="16"/>
        <v>2.8571428571428572</v>
      </c>
      <c r="N76" s="51">
        <f t="shared" si="16"/>
        <v>1.2903225806451613</v>
      </c>
      <c r="O76" s="43">
        <v>4</v>
      </c>
      <c r="P76" s="43">
        <f t="shared" si="0"/>
        <v>2.6136947547141056</v>
      </c>
      <c r="Q76" s="44">
        <v>4.7</v>
      </c>
    </row>
    <row r="77" spans="1:17" ht="18" x14ac:dyDescent="0.2">
      <c r="A77" s="99"/>
      <c r="B77" s="35" t="s">
        <v>77</v>
      </c>
      <c r="C77" s="51">
        <f>IFERROR(C27/C22*100,"")</f>
        <v>6.7114093959731544</v>
      </c>
      <c r="D77" s="51">
        <f t="shared" ref="D77:N77" si="17">IFERROR(D27/D22*100,"")</f>
        <v>11.194029850746269</v>
      </c>
      <c r="E77" s="51">
        <f t="shared" si="17"/>
        <v>4.6357615894039732</v>
      </c>
      <c r="F77" s="51">
        <f t="shared" si="17"/>
        <v>3.0487804878048781</v>
      </c>
      <c r="G77" s="51">
        <f t="shared" si="17"/>
        <v>3.1055900621118013</v>
      </c>
      <c r="H77" s="51">
        <f t="shared" si="17"/>
        <v>3.4482758620689653</v>
      </c>
      <c r="I77" s="51">
        <f t="shared" si="17"/>
        <v>5.5172413793103452</v>
      </c>
      <c r="J77" s="51">
        <f t="shared" si="17"/>
        <v>1.1627906976744187</v>
      </c>
      <c r="K77" s="51">
        <f t="shared" si="17"/>
        <v>2.5423728813559325</v>
      </c>
      <c r="L77" s="51">
        <f t="shared" si="17"/>
        <v>5.8139534883720927</v>
      </c>
      <c r="M77" s="51">
        <f t="shared" si="17"/>
        <v>8.5714285714285712</v>
      </c>
      <c r="N77" s="51">
        <f t="shared" si="17"/>
        <v>1.2903225806451613</v>
      </c>
      <c r="O77" s="43">
        <v>5.6</v>
      </c>
      <c r="P77" s="43">
        <f t="shared" si="0"/>
        <v>4.7534964039079632</v>
      </c>
      <c r="Q77" s="44">
        <v>7.92</v>
      </c>
    </row>
    <row r="78" spans="1:17" ht="18" x14ac:dyDescent="0.2">
      <c r="A78" s="99"/>
      <c r="B78" s="35" t="s">
        <v>78</v>
      </c>
      <c r="C78" s="51">
        <f>IFERROR(C28/C22*100,"")</f>
        <v>1.3422818791946309</v>
      </c>
      <c r="D78" s="51">
        <f t="shared" ref="D78:N78" si="18">IFERROR(D28/D22*100,"")</f>
        <v>7.4626865671641784</v>
      </c>
      <c r="E78" s="51">
        <f t="shared" si="18"/>
        <v>2.6490066225165565</v>
      </c>
      <c r="F78" s="51">
        <f t="shared" si="18"/>
        <v>1.2195121951219512</v>
      </c>
      <c r="G78" s="51">
        <f t="shared" si="18"/>
        <v>0</v>
      </c>
      <c r="H78" s="51">
        <f t="shared" si="18"/>
        <v>0</v>
      </c>
      <c r="I78" s="51">
        <f t="shared" si="18"/>
        <v>0.68965517241379315</v>
      </c>
      <c r="J78" s="51">
        <f t="shared" si="18"/>
        <v>1.7441860465116279</v>
      </c>
      <c r="K78" s="51">
        <f t="shared" si="18"/>
        <v>0</v>
      </c>
      <c r="L78" s="51">
        <f t="shared" si="18"/>
        <v>1.5503875968992249</v>
      </c>
      <c r="M78" s="51">
        <f t="shared" si="18"/>
        <v>2.8571428571428572</v>
      </c>
      <c r="N78" s="51">
        <f t="shared" si="18"/>
        <v>0.64516129032258063</v>
      </c>
      <c r="O78" s="43">
        <v>1.3</v>
      </c>
      <c r="P78" s="43">
        <f>AVERAGE(C78:N78)</f>
        <v>1.6800016856072835</v>
      </c>
      <c r="Q78" s="44">
        <v>1.26</v>
      </c>
    </row>
    <row r="79" spans="1:17" ht="19" thickBot="1" x14ac:dyDescent="0.25">
      <c r="A79" s="99"/>
      <c r="B79" s="35" t="s">
        <v>79</v>
      </c>
      <c r="C79" s="51">
        <f>IFERROR(C29/C22*100,"")</f>
        <v>19.463087248322147</v>
      </c>
      <c r="D79" s="51">
        <f t="shared" ref="D79:N79" si="19">IFERROR(D29/D22*100,"")</f>
        <v>26.865671641791046</v>
      </c>
      <c r="E79" s="51">
        <f t="shared" si="19"/>
        <v>27.814569536423839</v>
      </c>
      <c r="F79" s="51">
        <f t="shared" si="19"/>
        <v>15.24390243902439</v>
      </c>
      <c r="G79" s="51">
        <f t="shared" si="19"/>
        <v>17.391304347826086</v>
      </c>
      <c r="H79" s="51">
        <f t="shared" si="19"/>
        <v>19.310344827586206</v>
      </c>
      <c r="I79" s="51">
        <f t="shared" si="19"/>
        <v>24.137931034482758</v>
      </c>
      <c r="J79" s="51">
        <f t="shared" si="19"/>
        <v>11.046511627906977</v>
      </c>
      <c r="K79" s="51">
        <f t="shared" si="19"/>
        <v>16.949152542372879</v>
      </c>
      <c r="L79" s="51">
        <f t="shared" si="19"/>
        <v>12.403100775193799</v>
      </c>
      <c r="M79" s="51">
        <f t="shared" si="19"/>
        <v>8.5714285714285712</v>
      </c>
      <c r="N79" s="51">
        <f t="shared" si="19"/>
        <v>17.419354838709676</v>
      </c>
      <c r="O79" s="43">
        <v>13.2</v>
      </c>
      <c r="P79" s="43">
        <f>AVERAGE(C79:N79)</f>
        <v>18.051363285922363</v>
      </c>
      <c r="Q79" s="44">
        <v>9.9</v>
      </c>
    </row>
    <row r="80" spans="1:17" ht="18" x14ac:dyDescent="0.2">
      <c r="A80" s="100" t="s">
        <v>80</v>
      </c>
      <c r="B80" s="37" t="s">
        <v>81</v>
      </c>
      <c r="C80" s="50">
        <f t="shared" ref="C80:M80" si="20">IFERROR(C37,"")</f>
        <v>128.32</v>
      </c>
      <c r="D80" s="50">
        <f t="shared" si="20"/>
        <v>112.39</v>
      </c>
      <c r="E80" s="50">
        <f t="shared" si="20"/>
        <v>113.7</v>
      </c>
      <c r="F80" s="50">
        <f t="shared" si="20"/>
        <v>112.13</v>
      </c>
      <c r="G80" s="50">
        <f t="shared" si="20"/>
        <v>113.6</v>
      </c>
      <c r="H80" s="50">
        <f t="shared" si="20"/>
        <v>112</v>
      </c>
      <c r="I80" s="50">
        <f t="shared" si="20"/>
        <v>115</v>
      </c>
      <c r="J80" s="50">
        <f t="shared" si="20"/>
        <v>110</v>
      </c>
      <c r="K80" s="50">
        <f t="shared" si="20"/>
        <v>106.9</v>
      </c>
      <c r="L80" s="50">
        <f t="shared" si="20"/>
        <v>106.9</v>
      </c>
      <c r="M80" s="50">
        <f t="shared" si="20"/>
        <v>106.9</v>
      </c>
      <c r="N80" s="50">
        <f>IFERROR(N37,"")</f>
        <v>107.4</v>
      </c>
      <c r="O80" s="39">
        <v>116</v>
      </c>
      <c r="P80" s="39"/>
      <c r="Q80" s="40">
        <v>117.8</v>
      </c>
    </row>
    <row r="81" spans="1:18" ht="18" x14ac:dyDescent="0.2">
      <c r="A81" s="101"/>
      <c r="B81" s="35" t="s">
        <v>82</v>
      </c>
      <c r="C81" s="51">
        <f t="shared" ref="C81:M81" si="21">(C80-C36)/C38</f>
        <v>0.9755555555555554</v>
      </c>
      <c r="D81" s="51">
        <f t="shared" si="21"/>
        <v>0.81388888888888888</v>
      </c>
      <c r="E81" s="51">
        <f t="shared" si="21"/>
        <v>0.82099999999999995</v>
      </c>
      <c r="F81" s="51">
        <f t="shared" si="21"/>
        <v>0.8151111111111109</v>
      </c>
      <c r="G81" s="51">
        <f t="shared" si="21"/>
        <v>0.83111111111111113</v>
      </c>
      <c r="H81" s="51">
        <f t="shared" si="21"/>
        <v>0.80777777777777782</v>
      </c>
      <c r="I81" s="51">
        <f t="shared" si="21"/>
        <v>0.86055555555555563</v>
      </c>
      <c r="J81" s="51">
        <f t="shared" si="21"/>
        <v>0.7724444444444446</v>
      </c>
      <c r="K81" s="51">
        <f t="shared" si="21"/>
        <v>0.73444444444444457</v>
      </c>
      <c r="L81" s="51">
        <f t="shared" si="21"/>
        <v>0.73444444444444457</v>
      </c>
      <c r="M81" s="51">
        <f t="shared" si="21"/>
        <v>0.73444444444444457</v>
      </c>
      <c r="N81" s="51">
        <f>(N80-N36)/N38</f>
        <v>0.71935483870967754</v>
      </c>
      <c r="O81" s="43">
        <v>0.85</v>
      </c>
      <c r="P81" s="43"/>
      <c r="Q81" s="44">
        <v>0.89</v>
      </c>
    </row>
    <row r="82" spans="1:18" ht="18" x14ac:dyDescent="0.2">
      <c r="A82" s="101"/>
      <c r="B82" s="35" t="s">
        <v>83</v>
      </c>
      <c r="C82" s="42">
        <v>667</v>
      </c>
      <c r="D82" s="42">
        <v>645</v>
      </c>
      <c r="E82" s="42">
        <v>645</v>
      </c>
      <c r="F82" s="42">
        <v>645</v>
      </c>
      <c r="G82" s="42">
        <v>654</v>
      </c>
      <c r="H82" s="42">
        <v>649</v>
      </c>
      <c r="I82" s="42">
        <v>638</v>
      </c>
      <c r="J82" s="42">
        <v>643</v>
      </c>
      <c r="K82" s="42">
        <v>636</v>
      </c>
      <c r="L82" s="42">
        <v>634</v>
      </c>
      <c r="M82" s="42">
        <v>634</v>
      </c>
      <c r="N82" s="42">
        <v>619</v>
      </c>
      <c r="O82" s="43">
        <v>652</v>
      </c>
      <c r="P82" s="43">
        <f>AVERAGE(C82:N82)</f>
        <v>642.41666666666663</v>
      </c>
      <c r="Q82" s="44">
        <v>641</v>
      </c>
    </row>
    <row r="83" spans="1:18" ht="18" x14ac:dyDescent="0.2">
      <c r="A83" s="101"/>
      <c r="B83" s="35" t="s">
        <v>84</v>
      </c>
      <c r="C83" s="51">
        <f t="shared" ref="C83:M83" si="22">(C82-C37)/((C72*30.5)-C38)</f>
        <v>0.89429733543620826</v>
      </c>
      <c r="D83" s="51">
        <f t="shared" si="22"/>
        <v>0.9071878725941066</v>
      </c>
      <c r="E83" s="51">
        <f t="shared" si="22"/>
        <v>0.89565070802427516</v>
      </c>
      <c r="F83" s="51">
        <f t="shared" si="22"/>
        <v>0.88915401301518426</v>
      </c>
      <c r="G83" s="51">
        <f t="shared" si="22"/>
        <v>0.90171867178374754</v>
      </c>
      <c r="H83" s="51">
        <f t="shared" si="22"/>
        <v>0.9099381513174617</v>
      </c>
      <c r="I83" s="51">
        <f t="shared" si="22"/>
        <v>0.89875669126934332</v>
      </c>
      <c r="J83" s="51">
        <f t="shared" si="22"/>
        <v>0.90316021350504117</v>
      </c>
      <c r="K83" s="51">
        <f t="shared" si="22"/>
        <v>0.88286334056399129</v>
      </c>
      <c r="L83" s="51">
        <f t="shared" si="22"/>
        <v>0.87507263219058684</v>
      </c>
      <c r="M83" s="51">
        <f t="shared" si="22"/>
        <v>0.87507263219058684</v>
      </c>
      <c r="N83" s="51">
        <f>(N82-N37)/((N72*30.5)-N38)</f>
        <v>0.885121107266436</v>
      </c>
      <c r="O83" s="43">
        <v>1.0879359252461203</v>
      </c>
      <c r="P83" s="43"/>
      <c r="Q83" s="44">
        <v>0.86</v>
      </c>
    </row>
    <row r="84" spans="1:18" ht="18" x14ac:dyDescent="0.2">
      <c r="A84" s="101"/>
      <c r="B84" s="35" t="s">
        <v>85</v>
      </c>
      <c r="C84" s="51">
        <f t="shared" ref="C84:M84" si="23">IFERROR((C10+C11)/(C6+C10+C11)*100,"")</f>
        <v>48.924731182795696</v>
      </c>
      <c r="D84" s="51">
        <f t="shared" si="23"/>
        <v>47.865853658536587</v>
      </c>
      <c r="E84" s="51">
        <f t="shared" si="23"/>
        <v>47.830440587449935</v>
      </c>
      <c r="F84" s="51">
        <f t="shared" si="23"/>
        <v>47.281167108753316</v>
      </c>
      <c r="G84" s="51">
        <f t="shared" si="23"/>
        <v>47.095300261096604</v>
      </c>
      <c r="H84" s="51">
        <f t="shared" si="23"/>
        <v>47.060723514211887</v>
      </c>
      <c r="I84" s="51">
        <f t="shared" si="23"/>
        <v>47.939603648946211</v>
      </c>
      <c r="J84" s="51">
        <f t="shared" si="23"/>
        <v>48.528510116492953</v>
      </c>
      <c r="K84" s="51">
        <f t="shared" si="23"/>
        <v>48.298068077276909</v>
      </c>
      <c r="L84" s="51">
        <f t="shared" si="23"/>
        <v>48.022342995169083</v>
      </c>
      <c r="M84" s="51">
        <f t="shared" si="23"/>
        <v>47.75498067201903</v>
      </c>
      <c r="N84" s="51">
        <f>IFERROR((N10+N11)/(N6+N10+N11)*100,"")</f>
        <v>47.531939605110338</v>
      </c>
      <c r="O84" s="43"/>
      <c r="P84" s="43"/>
      <c r="Q84" s="44"/>
    </row>
    <row r="85" spans="1:18" ht="19" thickBot="1" x14ac:dyDescent="0.25">
      <c r="A85" s="101"/>
      <c r="B85" s="35" t="s">
        <v>86</v>
      </c>
      <c r="C85" s="51">
        <f t="shared" ref="C85:L85" si="24">100-((AVERAGE(C89)*12)*(AVERAGE(C72)/12))</f>
        <v>64.141483516483518</v>
      </c>
      <c r="D85" s="51">
        <f t="shared" si="24"/>
        <v>60.721868365180462</v>
      </c>
      <c r="E85" s="51">
        <f t="shared" si="24"/>
        <v>70.300069783670622</v>
      </c>
      <c r="F85" s="51">
        <f t="shared" si="24"/>
        <v>82.56661991584852</v>
      </c>
      <c r="G85" s="51">
        <f t="shared" si="24"/>
        <v>76.507276507276501</v>
      </c>
      <c r="H85" s="51">
        <f t="shared" si="24"/>
        <v>86.225120109814696</v>
      </c>
      <c r="I85" s="51">
        <f t="shared" si="24"/>
        <v>71.089238845144351</v>
      </c>
      <c r="J85" s="51">
        <f t="shared" si="24"/>
        <v>84.504106127605809</v>
      </c>
      <c r="K85" s="51">
        <f t="shared" si="24"/>
        <v>82.780952380952385</v>
      </c>
      <c r="L85" s="51">
        <f t="shared" si="24"/>
        <v>86.441370638164102</v>
      </c>
      <c r="M85" s="51">
        <f>100-((AVERAGE(M89)*12)*(AVERAGE(M72)/12))</f>
        <v>90.105853051058531</v>
      </c>
      <c r="N85" s="51">
        <f>100-((AVERAGE(N89)*12)*(AVERAGE(N72)/12))</f>
        <v>78.497251069028721</v>
      </c>
      <c r="O85" s="43"/>
      <c r="P85" s="43"/>
      <c r="Q85" s="44"/>
    </row>
    <row r="86" spans="1:18" ht="18" x14ac:dyDescent="0.2">
      <c r="A86" s="85" t="s">
        <v>87</v>
      </c>
      <c r="B86" s="37" t="s">
        <v>88</v>
      </c>
      <c r="C86" s="50">
        <f t="shared" ref="C86:N86" si="25">IFERROR(C15/C6*100,"")</f>
        <v>2.3026315789473681</v>
      </c>
      <c r="D86" s="50">
        <f t="shared" si="25"/>
        <v>2.5990903183885639</v>
      </c>
      <c r="E86" s="50">
        <f t="shared" si="25"/>
        <v>2.4952015355086372</v>
      </c>
      <c r="F86" s="50">
        <f t="shared" si="25"/>
        <v>2.4528301886792456</v>
      </c>
      <c r="G86" s="50">
        <f t="shared" si="25"/>
        <v>3.2078963602714374</v>
      </c>
      <c r="H86" s="50">
        <f t="shared" si="25"/>
        <v>2.5625381330079318</v>
      </c>
      <c r="I86" s="50">
        <f t="shared" si="25"/>
        <v>2.0543806646525682</v>
      </c>
      <c r="J86" s="50">
        <f t="shared" si="25"/>
        <v>2.501488981536629</v>
      </c>
      <c r="K86" s="50">
        <f t="shared" si="25"/>
        <v>2.2538552787663106</v>
      </c>
      <c r="L86" s="50">
        <f t="shared" si="25"/>
        <v>1.6845774034272436</v>
      </c>
      <c r="M86" s="50">
        <f t="shared" si="25"/>
        <v>1.1383039271485487</v>
      </c>
      <c r="N86" s="50">
        <f t="shared" si="25"/>
        <v>2.6563364692861096</v>
      </c>
      <c r="O86" s="39">
        <v>2.6</v>
      </c>
      <c r="P86" s="39">
        <f>AVERAGE(C86:N86)</f>
        <v>2.3257609033017164</v>
      </c>
      <c r="Q86" s="40">
        <v>2.625</v>
      </c>
    </row>
    <row r="87" spans="1:18" ht="18" x14ac:dyDescent="0.2">
      <c r="A87" s="86"/>
      <c r="B87" s="52" t="s">
        <v>89</v>
      </c>
      <c r="C87" s="54">
        <f t="shared" ref="C87:N87" si="26">(C16/C6*100)*12</f>
        <v>11.052631578947366</v>
      </c>
      <c r="D87" s="54">
        <f t="shared" si="26"/>
        <v>14.814814814814813</v>
      </c>
      <c r="E87" s="54">
        <f t="shared" si="26"/>
        <v>11.516314779270632</v>
      </c>
      <c r="F87" s="54">
        <f t="shared" si="26"/>
        <v>7.5471698113207557</v>
      </c>
      <c r="G87" s="54">
        <f t="shared" si="26"/>
        <v>14.065391733497844</v>
      </c>
      <c r="H87" s="54">
        <f t="shared" si="26"/>
        <v>11.714460036607687</v>
      </c>
      <c r="I87" s="54">
        <f t="shared" si="26"/>
        <v>5.0755287009063439</v>
      </c>
      <c r="J87" s="54">
        <f t="shared" si="26"/>
        <v>7.1471113758189393</v>
      </c>
      <c r="K87" s="54">
        <f t="shared" si="26"/>
        <v>12.09964412811388</v>
      </c>
      <c r="L87" s="54">
        <f t="shared" si="26"/>
        <v>9.0618646529189668</v>
      </c>
      <c r="M87" s="54">
        <f t="shared" si="26"/>
        <v>6.1468412066021632</v>
      </c>
      <c r="N87" s="54">
        <f t="shared" si="26"/>
        <v>13.281682346430546</v>
      </c>
      <c r="O87" s="43"/>
      <c r="P87" s="43"/>
      <c r="Q87" s="44"/>
    </row>
    <row r="88" spans="1:18" ht="18" x14ac:dyDescent="0.2">
      <c r="A88" s="86"/>
      <c r="B88" s="35" t="s">
        <v>149</v>
      </c>
      <c r="C88" s="51">
        <f>C86*12</f>
        <v>27.631578947368418</v>
      </c>
      <c r="D88" s="51">
        <f>AVERAGE(C86:D86)*12</f>
        <v>29.410331384015592</v>
      </c>
      <c r="E88" s="51">
        <f>AVERAGE(C86:E86)*12</f>
        <v>29.587693731378273</v>
      </c>
      <c r="F88" s="51">
        <f>AVERAGE(C86:F86)*12</f>
        <v>29.549260864571444</v>
      </c>
      <c r="G88" s="51">
        <f>AVERAGE(C86:G86)*12</f>
        <v>31.338359956308604</v>
      </c>
      <c r="H88" s="51">
        <f>AVERAGE(C86:H86)*12</f>
        <v>31.240376229606369</v>
      </c>
      <c r="I88" s="51">
        <f>AVERAGE(C86:I86)*12</f>
        <v>30.299260764781291</v>
      </c>
      <c r="J88" s="51">
        <f>AVERAGE(C86:J86)*12</f>
        <v>30.264086641488575</v>
      </c>
      <c r="K88" s="51">
        <f>AVERAGE(C86:K86)*12</f>
        <v>29.906550719678258</v>
      </c>
      <c r="L88" s="51">
        <f>AVERAGE(C86:L86)*12</f>
        <v>28.937388531823121</v>
      </c>
      <c r="M88" s="51">
        <f>AVERAGE(C86:M86)*12</f>
        <v>27.548502949455802</v>
      </c>
      <c r="N88" s="51">
        <f>AVERAGE(C86:N86)*12</f>
        <v>27.909130839620595</v>
      </c>
      <c r="O88" s="43">
        <v>31.2</v>
      </c>
      <c r="P88" s="43"/>
      <c r="Q88" s="44">
        <v>31.5</v>
      </c>
    </row>
    <row r="89" spans="1:18" ht="18" x14ac:dyDescent="0.2">
      <c r="A89" s="86"/>
      <c r="B89" s="35" t="s">
        <v>90</v>
      </c>
      <c r="C89" s="51">
        <f t="shared" ref="C89:N89" si="27">IFERROR(C18/(C10+C11)*100,"")</f>
        <v>1.5796703296703296</v>
      </c>
      <c r="D89" s="51">
        <f t="shared" si="27"/>
        <v>1.7692852087756548</v>
      </c>
      <c r="E89" s="51">
        <f t="shared" si="27"/>
        <v>1.3258897418004187</v>
      </c>
      <c r="F89" s="51">
        <f t="shared" si="27"/>
        <v>0.77138849929873765</v>
      </c>
      <c r="G89" s="51">
        <f t="shared" si="27"/>
        <v>1.0395010395010396</v>
      </c>
      <c r="H89" s="51">
        <f t="shared" si="27"/>
        <v>0.61770761839396016</v>
      </c>
      <c r="I89" s="51">
        <f t="shared" si="27"/>
        <v>1.3123359580052494</v>
      </c>
      <c r="J89" s="51">
        <f t="shared" si="27"/>
        <v>0.6948831332912192</v>
      </c>
      <c r="K89" s="51">
        <f t="shared" si="27"/>
        <v>0.76190476190476186</v>
      </c>
      <c r="L89" s="51">
        <f t="shared" si="27"/>
        <v>0.59729644765796919</v>
      </c>
      <c r="M89" s="51">
        <f t="shared" si="27"/>
        <v>0.43586550435865506</v>
      </c>
      <c r="N89" s="51">
        <f t="shared" si="27"/>
        <v>0.97739767868051319</v>
      </c>
      <c r="O89" s="43">
        <v>0.73</v>
      </c>
      <c r="P89" s="43">
        <f>AVERAGE(C89:N89)</f>
        <v>0.99026049344487566</v>
      </c>
      <c r="Q89" s="44">
        <v>0.97</v>
      </c>
    </row>
    <row r="90" spans="1:18" ht="19" thickBot="1" x14ac:dyDescent="0.25">
      <c r="A90" s="86"/>
      <c r="B90" s="35" t="s">
        <v>91</v>
      </c>
      <c r="C90" s="51">
        <f t="shared" ref="C90:N90" si="28">IFERROR(C17/C9*100,"")</f>
        <v>5.809128630705394</v>
      </c>
      <c r="D90" s="51">
        <f t="shared" si="28"/>
        <v>5.8823529411764701</v>
      </c>
      <c r="E90" s="51">
        <f t="shared" si="28"/>
        <v>2.7272727272727271</v>
      </c>
      <c r="F90" s="51">
        <f t="shared" si="28"/>
        <v>1.0416666666666665</v>
      </c>
      <c r="G90" s="51">
        <f t="shared" si="28"/>
        <v>1.1627906976744187</v>
      </c>
      <c r="H90" s="51">
        <f t="shared" si="28"/>
        <v>1.5037593984962405</v>
      </c>
      <c r="I90" s="51">
        <f t="shared" si="28"/>
        <v>4.0441176470588234</v>
      </c>
      <c r="J90" s="51">
        <f t="shared" si="28"/>
        <v>2.1428571428571428</v>
      </c>
      <c r="K90" s="51">
        <f t="shared" si="28"/>
        <v>3.6496350364963499</v>
      </c>
      <c r="L90" s="51">
        <f t="shared" si="28"/>
        <v>2.2099447513812152</v>
      </c>
      <c r="M90" s="51">
        <f t="shared" si="28"/>
        <v>0.74349442379182151</v>
      </c>
      <c r="N90" s="51">
        <f t="shared" si="28"/>
        <v>2.9739776951672861</v>
      </c>
      <c r="O90" s="43">
        <v>1.3</v>
      </c>
      <c r="P90" s="43">
        <f>AVERAGE(C90:N90)</f>
        <v>2.8242498132287128</v>
      </c>
      <c r="Q90" s="44">
        <v>2.7</v>
      </c>
    </row>
    <row r="91" spans="1:18" ht="18" x14ac:dyDescent="0.2">
      <c r="A91" s="87" t="s">
        <v>92</v>
      </c>
      <c r="B91" s="37" t="s">
        <v>93</v>
      </c>
      <c r="C91" s="38">
        <v>173</v>
      </c>
      <c r="D91" s="38">
        <v>176</v>
      </c>
      <c r="E91" s="38">
        <v>188</v>
      </c>
      <c r="F91" s="38">
        <v>202.7</v>
      </c>
      <c r="G91" s="38">
        <v>204</v>
      </c>
      <c r="H91" s="38">
        <v>197</v>
      </c>
      <c r="I91" s="38">
        <v>192</v>
      </c>
      <c r="J91" s="38">
        <v>188</v>
      </c>
      <c r="K91" s="38">
        <v>193</v>
      </c>
      <c r="L91" s="38">
        <v>190</v>
      </c>
      <c r="M91" s="38">
        <v>183</v>
      </c>
      <c r="N91" s="38">
        <v>185</v>
      </c>
      <c r="O91" s="39">
        <v>207</v>
      </c>
      <c r="P91" s="39">
        <f>AVERAGE(C91:N91)</f>
        <v>189.30833333333331</v>
      </c>
      <c r="Q91" s="40">
        <v>245</v>
      </c>
    </row>
    <row r="92" spans="1:18" ht="18" x14ac:dyDescent="0.2">
      <c r="A92" s="88"/>
      <c r="B92" s="35" t="s">
        <v>94</v>
      </c>
      <c r="C92" s="51">
        <f>IFERROR(C8/C6*100,"")</f>
        <v>2.3684210526315792</v>
      </c>
      <c r="D92" s="51">
        <f t="shared" ref="D92:N92" si="29">IFERROR(D8/D6*100,"")</f>
        <v>2.0142949967511372</v>
      </c>
      <c r="E92" s="51">
        <f t="shared" si="29"/>
        <v>2.3032629558541267</v>
      </c>
      <c r="F92" s="51">
        <f t="shared" si="29"/>
        <v>2.4528301886792456</v>
      </c>
      <c r="G92" s="51">
        <f t="shared" si="29"/>
        <v>2.2208513263417644</v>
      </c>
      <c r="H92" s="51">
        <f t="shared" si="29"/>
        <v>2.5625381330079318</v>
      </c>
      <c r="I92" s="51">
        <f t="shared" si="29"/>
        <v>1.8126888217522661</v>
      </c>
      <c r="J92" s="51">
        <f t="shared" si="29"/>
        <v>2.0250148898153664</v>
      </c>
      <c r="K92" s="51">
        <f t="shared" si="29"/>
        <v>1.3641755634638197</v>
      </c>
      <c r="L92" s="51">
        <f t="shared" si="29"/>
        <v>1.5974440894568689</v>
      </c>
      <c r="M92" s="51">
        <f t="shared" si="29"/>
        <v>1.821286283437678</v>
      </c>
      <c r="N92" s="51">
        <f t="shared" si="29"/>
        <v>2.7</v>
      </c>
      <c r="O92" s="43">
        <v>3.7</v>
      </c>
      <c r="P92" s="43">
        <f>AVERAGE(C92:N92)</f>
        <v>2.1035673584326484</v>
      </c>
      <c r="Q92" s="44">
        <v>3.1</v>
      </c>
    </row>
    <row r="93" spans="1:18" ht="18" x14ac:dyDescent="0.2">
      <c r="A93" s="88"/>
      <c r="B93" s="35" t="s">
        <v>95</v>
      </c>
      <c r="C93" s="51">
        <f t="shared" ref="C93:N93" si="30">IFERROR(C30/C7*100,"")</f>
        <v>5.6561085972850682</v>
      </c>
      <c r="D93" s="51">
        <f t="shared" si="30"/>
        <v>4.8363095238095237</v>
      </c>
      <c r="E93" s="51">
        <f t="shared" si="30"/>
        <v>5.1736881005173689</v>
      </c>
      <c r="F93" s="51">
        <f t="shared" si="30"/>
        <v>5.5515501081470795</v>
      </c>
      <c r="G93" s="51">
        <f t="shared" si="30"/>
        <v>5.5516514406184116</v>
      </c>
      <c r="H93" s="51">
        <f t="shared" si="30"/>
        <v>5.9027777777777777</v>
      </c>
      <c r="I93" s="51">
        <f t="shared" si="30"/>
        <v>4.2127071823204423</v>
      </c>
      <c r="J93" s="51">
        <f t="shared" si="30"/>
        <v>4.2440318302387263</v>
      </c>
      <c r="K93" s="51">
        <f t="shared" si="30"/>
        <v>4.5087483176312251</v>
      </c>
      <c r="L93" s="51">
        <f t="shared" si="30"/>
        <v>3.8931045859452325</v>
      </c>
      <c r="M93" s="51">
        <f t="shared" si="30"/>
        <v>4.3365695792880254</v>
      </c>
      <c r="N93" s="51">
        <f t="shared" si="30"/>
        <v>4.0150564617314926</v>
      </c>
      <c r="O93" s="43">
        <v>5.5</v>
      </c>
      <c r="P93" s="43">
        <f>AVERAGE(C93:N93)</f>
        <v>4.8235252921091964</v>
      </c>
      <c r="Q93" s="44">
        <v>5.0999999999999996</v>
      </c>
    </row>
    <row r="94" spans="1:18" ht="18" x14ac:dyDescent="0.2">
      <c r="A94" s="88"/>
      <c r="B94" s="35" t="s">
        <v>96</v>
      </c>
      <c r="C94" s="51">
        <f t="shared" ref="C94:N94" si="31">IFERROR(C7/C33*100,"")</f>
        <v>123.23420074349443</v>
      </c>
      <c r="D94" s="51">
        <f t="shared" si="31"/>
        <v>124.90706319702602</v>
      </c>
      <c r="E94" s="51">
        <f t="shared" si="31"/>
        <v>125.74349442379183</v>
      </c>
      <c r="F94" s="51">
        <f t="shared" si="31"/>
        <v>128.90334572490707</v>
      </c>
      <c r="G94" s="51">
        <f t="shared" si="31"/>
        <v>132.24907063197026</v>
      </c>
      <c r="H94" s="51">
        <f t="shared" si="31"/>
        <v>133.8289962825279</v>
      </c>
      <c r="I94" s="51">
        <f t="shared" si="31"/>
        <v>134.57249070631968</v>
      </c>
      <c r="J94" s="51">
        <f t="shared" si="31"/>
        <v>140.14869888475835</v>
      </c>
      <c r="K94" s="51">
        <f t="shared" si="31"/>
        <v>138.10408921933086</v>
      </c>
      <c r="L94" s="51">
        <f t="shared" si="31"/>
        <v>140.84572490706319</v>
      </c>
      <c r="M94" s="51">
        <f t="shared" si="31"/>
        <v>143.58736059479554</v>
      </c>
      <c r="N94" s="51">
        <f t="shared" si="31"/>
        <v>148.14126394052045</v>
      </c>
      <c r="O94" s="43">
        <v>127</v>
      </c>
      <c r="P94" s="43"/>
      <c r="Q94" s="44">
        <v>106</v>
      </c>
    </row>
    <row r="95" spans="1:18" ht="19" thickBot="1" x14ac:dyDescent="0.25">
      <c r="A95" s="89"/>
      <c r="B95" s="45" t="s">
        <v>97</v>
      </c>
      <c r="C95" s="55">
        <f t="shared" ref="C95:N95" si="32">IFERROR(C35/C7,"")</f>
        <v>0.55957767722473606</v>
      </c>
      <c r="D95" s="55">
        <f t="shared" si="32"/>
        <v>0.55208333333333337</v>
      </c>
      <c r="E95" s="55">
        <f t="shared" si="32"/>
        <v>0.54841093865484114</v>
      </c>
      <c r="F95" s="55">
        <f t="shared" si="32"/>
        <v>0.53496755587599132</v>
      </c>
      <c r="G95" s="55">
        <f t="shared" si="32"/>
        <v>0.52143359100491915</v>
      </c>
      <c r="H95" s="55">
        <f t="shared" si="32"/>
        <v>0.51527777777777772</v>
      </c>
      <c r="I95" s="55">
        <f t="shared" si="32"/>
        <v>0.51243093922651939</v>
      </c>
      <c r="J95" s="55">
        <f t="shared" si="32"/>
        <v>0.49204244031830241</v>
      </c>
      <c r="K95" s="55">
        <f t="shared" si="32"/>
        <v>0.49932705248990578</v>
      </c>
      <c r="L95" s="55">
        <f t="shared" si="32"/>
        <v>0.48960739030023093</v>
      </c>
      <c r="M95" s="55">
        <f t="shared" si="32"/>
        <v>0.48025889967637542</v>
      </c>
      <c r="N95" s="55">
        <f t="shared" si="32"/>
        <v>0.46549560853199501</v>
      </c>
      <c r="O95" s="47">
        <v>0.56000000000000005</v>
      </c>
      <c r="P95" s="47">
        <f>AVERAGE(C95:N95)</f>
        <v>0.51424276703457739</v>
      </c>
      <c r="Q95" s="48">
        <v>0.7</v>
      </c>
    </row>
    <row r="96" spans="1:18" ht="18" customHeight="1" x14ac:dyDescent="0.2">
      <c r="A96" s="90" t="s">
        <v>98</v>
      </c>
      <c r="B96" s="37" t="s">
        <v>99</v>
      </c>
      <c r="C96" s="38">
        <v>31.472727272727273</v>
      </c>
      <c r="D96" s="38">
        <v>28.22</v>
      </c>
      <c r="E96" s="38">
        <v>31.030392156862742</v>
      </c>
      <c r="F96" s="38">
        <v>33.769230769230766</v>
      </c>
      <c r="G96" s="38">
        <f>AVERAGE(F96,H96)</f>
        <v>34.539878542510117</v>
      </c>
      <c r="H96" s="38">
        <v>35.310526315789467</v>
      </c>
      <c r="I96" s="38">
        <f>AVERAGE(H96,J96)</f>
        <v>34.737081339712915</v>
      </c>
      <c r="J96" s="38">
        <v>34.163636363636357</v>
      </c>
      <c r="K96" s="38">
        <v>36.344230769230776</v>
      </c>
      <c r="L96" s="38">
        <v>34.153247460087087</v>
      </c>
      <c r="M96" s="38">
        <v>31.962264150943398</v>
      </c>
      <c r="N96" s="38"/>
      <c r="O96" s="39"/>
      <c r="P96" s="39"/>
      <c r="Q96" s="40"/>
      <c r="R96" s="41"/>
    </row>
    <row r="97" spans="1:18" ht="18" x14ac:dyDescent="0.2">
      <c r="A97" s="91"/>
      <c r="B97" s="35" t="s">
        <v>100</v>
      </c>
      <c r="C97" s="42">
        <v>42.407407407407405</v>
      </c>
      <c r="D97" s="42">
        <v>39.953125</v>
      </c>
      <c r="E97" s="42">
        <v>40.925083333333333</v>
      </c>
      <c r="F97" s="42">
        <v>37.349230769230779</v>
      </c>
      <c r="G97" s="42">
        <f t="shared" ref="G97:G121" si="33">AVERAGE(F97,H97)</f>
        <v>40.067168576104748</v>
      </c>
      <c r="H97" s="42">
        <v>42.785106382978718</v>
      </c>
      <c r="I97" s="42">
        <f t="shared" ref="I97:I121" si="34">AVERAGE(H97,J97)</f>
        <v>42.970623366927953</v>
      </c>
      <c r="J97" s="42">
        <v>43.156140350877195</v>
      </c>
      <c r="K97" s="42">
        <v>41.818750000000001</v>
      </c>
      <c r="L97" s="42">
        <v>41.385565476190479</v>
      </c>
      <c r="M97" s="42">
        <v>40.952380952380949</v>
      </c>
      <c r="N97" s="42"/>
      <c r="O97" s="43"/>
      <c r="P97" s="43"/>
      <c r="Q97" s="44"/>
      <c r="R97" s="41"/>
    </row>
    <row r="98" spans="1:18" ht="18" x14ac:dyDescent="0.2">
      <c r="A98" s="91"/>
      <c r="B98" s="35" t="s">
        <v>101</v>
      </c>
      <c r="C98" s="42">
        <v>45.083333333333336</v>
      </c>
      <c r="D98" s="42">
        <v>45.203703703703702</v>
      </c>
      <c r="E98" s="42">
        <v>42.612301886792451</v>
      </c>
      <c r="F98" s="42">
        <v>45.062711864406772</v>
      </c>
      <c r="G98" s="42">
        <f t="shared" si="33"/>
        <v>43.686740547587988</v>
      </c>
      <c r="H98" s="42">
        <v>42.31076923076921</v>
      </c>
      <c r="I98" s="42">
        <f t="shared" si="34"/>
        <v>44.419319041614116</v>
      </c>
      <c r="J98" s="42">
        <v>46.527868852459015</v>
      </c>
      <c r="K98" s="42">
        <v>47.282000000000011</v>
      </c>
      <c r="L98" s="42">
        <v>44.881</v>
      </c>
      <c r="M98" s="42">
        <v>42.48</v>
      </c>
      <c r="N98" s="42"/>
      <c r="O98" s="43"/>
      <c r="P98" s="43"/>
      <c r="Q98" s="44"/>
      <c r="R98" s="41"/>
    </row>
    <row r="99" spans="1:18" ht="18" x14ac:dyDescent="0.2">
      <c r="A99" s="91"/>
      <c r="B99" s="35" t="s">
        <v>102</v>
      </c>
      <c r="C99" s="42">
        <v>49.116279069767444</v>
      </c>
      <c r="D99" s="42">
        <v>49.54</v>
      </c>
      <c r="E99" s="42">
        <v>49.778228070175437</v>
      </c>
      <c r="F99" s="42">
        <v>46.545312499999987</v>
      </c>
      <c r="G99" s="42">
        <f t="shared" si="33"/>
        <v>47.344474431818171</v>
      </c>
      <c r="H99" s="42">
        <v>48.143636363636347</v>
      </c>
      <c r="I99" s="42">
        <f t="shared" si="34"/>
        <v>49.043246753246741</v>
      </c>
      <c r="J99" s="42">
        <v>49.942857142857136</v>
      </c>
      <c r="K99" s="42">
        <v>48.365000000000009</v>
      </c>
      <c r="L99" s="42">
        <v>46.047884615384618</v>
      </c>
      <c r="M99" s="42">
        <v>43.730769230769234</v>
      </c>
      <c r="N99" s="42"/>
      <c r="O99" s="43"/>
      <c r="P99" s="43"/>
      <c r="Q99" s="44"/>
      <c r="R99" s="41"/>
    </row>
    <row r="100" spans="1:18" ht="18" x14ac:dyDescent="0.2">
      <c r="A100" s="91"/>
      <c r="B100" s="35" t="s">
        <v>103</v>
      </c>
      <c r="C100" s="42">
        <v>47.527777777777779</v>
      </c>
      <c r="D100" s="42">
        <v>46.022727272727273</v>
      </c>
      <c r="E100" s="42">
        <v>49.188176470588232</v>
      </c>
      <c r="F100" s="42">
        <v>47.838181818181816</v>
      </c>
      <c r="G100" s="42">
        <f t="shared" si="33"/>
        <v>47.396959761549923</v>
      </c>
      <c r="H100" s="42">
        <v>46.955737704918036</v>
      </c>
      <c r="I100" s="42">
        <f t="shared" si="34"/>
        <v>46.882484237074394</v>
      </c>
      <c r="J100" s="42">
        <v>46.809230769230759</v>
      </c>
      <c r="K100" s="42">
        <v>49.805660377358485</v>
      </c>
      <c r="L100" s="42">
        <v>47.137524066230263</v>
      </c>
      <c r="M100" s="42">
        <v>44.469387755102041</v>
      </c>
      <c r="N100" s="42"/>
      <c r="O100" s="43"/>
      <c r="P100" s="43"/>
      <c r="Q100" s="44"/>
      <c r="R100" s="41"/>
    </row>
    <row r="101" spans="1:18" ht="18" x14ac:dyDescent="0.2">
      <c r="A101" s="91"/>
      <c r="B101" s="35" t="s">
        <v>104</v>
      </c>
      <c r="C101" s="42">
        <v>48.706896551724135</v>
      </c>
      <c r="D101" s="42">
        <v>47.685714285714283</v>
      </c>
      <c r="E101" s="42">
        <v>47.106827586206897</v>
      </c>
      <c r="F101" s="42">
        <v>48.975555555555559</v>
      </c>
      <c r="G101" s="42">
        <f t="shared" si="33"/>
        <v>48.863216374269008</v>
      </c>
      <c r="H101" s="42">
        <v>48.750877192982458</v>
      </c>
      <c r="I101" s="42">
        <f t="shared" si="34"/>
        <v>48.384529505582137</v>
      </c>
      <c r="J101" s="42">
        <v>48.018181818181823</v>
      </c>
      <c r="K101" s="42">
        <v>46.530303030303045</v>
      </c>
      <c r="L101" s="42">
        <v>46.797760210803702</v>
      </c>
      <c r="M101" s="42">
        <v>47.065217391304351</v>
      </c>
      <c r="N101" s="42"/>
      <c r="O101" s="43"/>
      <c r="P101" s="43"/>
      <c r="Q101" s="44"/>
      <c r="R101" s="41"/>
    </row>
    <row r="102" spans="1:18" ht="18" x14ac:dyDescent="0.2">
      <c r="A102" s="91"/>
      <c r="B102" s="35" t="s">
        <v>105</v>
      </c>
      <c r="C102" s="42">
        <v>48.542372881355931</v>
      </c>
      <c r="D102" s="42">
        <v>47.763636363636365</v>
      </c>
      <c r="E102" s="42">
        <v>47.184785714285709</v>
      </c>
      <c r="F102" s="42">
        <v>47.218181818181826</v>
      </c>
      <c r="G102" s="42">
        <f t="shared" si="33"/>
        <v>47.761013986013978</v>
      </c>
      <c r="H102" s="42">
        <v>48.303846153846138</v>
      </c>
      <c r="I102" s="42">
        <f t="shared" si="34"/>
        <v>47.792548076923069</v>
      </c>
      <c r="J102" s="42">
        <v>47.28125</v>
      </c>
      <c r="K102" s="42">
        <v>47.209433962264143</v>
      </c>
      <c r="L102" s="42">
        <v>46.621383647798737</v>
      </c>
      <c r="M102" s="42">
        <v>46.033333333333331</v>
      </c>
      <c r="N102" s="42"/>
      <c r="O102" s="43"/>
      <c r="P102" s="43"/>
      <c r="Q102" s="44"/>
      <c r="R102" s="41"/>
    </row>
    <row r="103" spans="1:18" ht="18" x14ac:dyDescent="0.2">
      <c r="A103" s="91"/>
      <c r="B103" s="35" t="s">
        <v>106</v>
      </c>
      <c r="C103" s="42">
        <v>47.488888888888887</v>
      </c>
      <c r="D103" s="42">
        <v>45.698113207547166</v>
      </c>
      <c r="E103" s="42">
        <v>46.403710144927537</v>
      </c>
      <c r="F103" s="42">
        <v>48.64852941176472</v>
      </c>
      <c r="G103" s="42">
        <f t="shared" si="33"/>
        <v>45.985375816993475</v>
      </c>
      <c r="H103" s="42">
        <v>43.32222222222223</v>
      </c>
      <c r="I103" s="42">
        <f t="shared" si="34"/>
        <v>47.114814814814821</v>
      </c>
      <c r="J103" s="42">
        <v>50.907407407407419</v>
      </c>
      <c r="K103" s="42">
        <v>43.716666666666683</v>
      </c>
      <c r="L103" s="42">
        <v>45.067424242424252</v>
      </c>
      <c r="M103" s="42">
        <v>46.418181818181822</v>
      </c>
      <c r="N103" s="42"/>
      <c r="O103" s="43"/>
      <c r="P103" s="43"/>
      <c r="Q103" s="44"/>
      <c r="R103" s="41"/>
    </row>
    <row r="104" spans="1:18" ht="18" x14ac:dyDescent="0.2">
      <c r="A104" s="91"/>
      <c r="B104" s="35" t="s">
        <v>107</v>
      </c>
      <c r="C104" s="42">
        <v>46.927272727272729</v>
      </c>
      <c r="D104" s="42">
        <v>45.7</v>
      </c>
      <c r="E104" s="42">
        <v>42.918464285714279</v>
      </c>
      <c r="F104" s="42">
        <v>49.598148148148141</v>
      </c>
      <c r="G104" s="42">
        <f t="shared" si="33"/>
        <v>46.784557945041811</v>
      </c>
      <c r="H104" s="42">
        <v>43.970967741935482</v>
      </c>
      <c r="I104" s="42">
        <f t="shared" si="34"/>
        <v>46.131995498874716</v>
      </c>
      <c r="J104" s="42">
        <v>48.293023255813942</v>
      </c>
      <c r="K104" s="42">
        <v>46.734000000000016</v>
      </c>
      <c r="L104" s="42">
        <v>44.148250000000004</v>
      </c>
      <c r="M104" s="42">
        <v>41.5625</v>
      </c>
      <c r="N104" s="42"/>
      <c r="O104" s="43"/>
      <c r="P104" s="43"/>
      <c r="Q104" s="44"/>
      <c r="R104" s="41"/>
    </row>
    <row r="105" spans="1:18" ht="18" x14ac:dyDescent="0.2">
      <c r="A105" s="91"/>
      <c r="B105" s="35" t="s">
        <v>108</v>
      </c>
      <c r="C105" s="42">
        <v>41.729729729729726</v>
      </c>
      <c r="D105" s="42">
        <v>43.244444444444447</v>
      </c>
      <c r="E105" s="42">
        <v>41.706886792452828</v>
      </c>
      <c r="F105" s="42">
        <v>44.751020408163271</v>
      </c>
      <c r="G105" s="42">
        <f t="shared" si="33"/>
        <v>43.537466725820764</v>
      </c>
      <c r="H105" s="42">
        <v>42.323913043478264</v>
      </c>
      <c r="I105" s="42">
        <f t="shared" si="34"/>
        <v>44.445289855072467</v>
      </c>
      <c r="J105" s="42">
        <v>46.56666666666667</v>
      </c>
      <c r="K105" s="42">
        <v>43.539024390243902</v>
      </c>
      <c r="L105" s="42">
        <v>42.858401084010836</v>
      </c>
      <c r="M105" s="42">
        <v>42.177777777777777</v>
      </c>
      <c r="N105" s="42"/>
      <c r="O105" s="43"/>
      <c r="P105" s="43"/>
      <c r="Q105" s="44"/>
      <c r="R105" s="41"/>
    </row>
    <row r="106" spans="1:18" ht="18" x14ac:dyDescent="0.2">
      <c r="A106" s="91"/>
      <c r="B106" s="35" t="s">
        <v>109</v>
      </c>
      <c r="C106" s="42">
        <v>48.35</v>
      </c>
      <c r="D106" s="42">
        <v>39.884615384615387</v>
      </c>
      <c r="E106" s="42">
        <v>40.309079999999994</v>
      </c>
      <c r="F106" s="42">
        <v>44.321428571428577</v>
      </c>
      <c r="G106" s="42">
        <f t="shared" si="33"/>
        <v>40.996428571428581</v>
      </c>
      <c r="H106" s="42">
        <v>37.671428571428578</v>
      </c>
      <c r="I106" s="42">
        <f t="shared" si="34"/>
        <v>39.687276785714289</v>
      </c>
      <c r="J106" s="42">
        <v>41.703125</v>
      </c>
      <c r="K106" s="42">
        <v>40.590000000000011</v>
      </c>
      <c r="L106" s="42">
        <v>40.662647058823538</v>
      </c>
      <c r="M106" s="42">
        <v>40.735294117647058</v>
      </c>
      <c r="N106" s="42"/>
      <c r="O106" s="43"/>
      <c r="P106" s="43"/>
      <c r="Q106" s="44"/>
      <c r="R106" s="41"/>
    </row>
    <row r="107" spans="1:18" ht="18" x14ac:dyDescent="0.2">
      <c r="A107" s="91"/>
      <c r="B107" s="35" t="s">
        <v>110</v>
      </c>
      <c r="C107" s="42">
        <v>41.133333333333333</v>
      </c>
      <c r="D107" s="42">
        <v>45.266666666666666</v>
      </c>
      <c r="E107" s="42">
        <v>40.985857142857142</v>
      </c>
      <c r="F107" s="42">
        <v>48.653846153846153</v>
      </c>
      <c r="G107" s="42">
        <f t="shared" si="33"/>
        <v>43.60817307692308</v>
      </c>
      <c r="H107" s="42">
        <v>38.5625</v>
      </c>
      <c r="I107" s="42">
        <f t="shared" si="34"/>
        <v>40.179398148148152</v>
      </c>
      <c r="J107" s="42">
        <v>41.796296296296298</v>
      </c>
      <c r="K107" s="42">
        <v>39.575000000000003</v>
      </c>
      <c r="L107" s="42">
        <v>40.120833333333337</v>
      </c>
      <c r="M107" s="42">
        <v>40.666666666666664</v>
      </c>
      <c r="N107" s="42"/>
      <c r="O107" s="43"/>
      <c r="P107" s="43"/>
      <c r="Q107" s="44"/>
      <c r="R107" s="41"/>
    </row>
    <row r="108" spans="1:18" ht="18" x14ac:dyDescent="0.2">
      <c r="A108" s="91"/>
      <c r="B108" s="35" t="s">
        <v>111</v>
      </c>
      <c r="C108" s="42">
        <v>34.114285714285714</v>
      </c>
      <c r="D108" s="42">
        <v>30.125</v>
      </c>
      <c r="E108" s="42">
        <v>32.514923076923075</v>
      </c>
      <c r="F108" s="42">
        <v>37.821428571428577</v>
      </c>
      <c r="G108" s="42">
        <f t="shared" si="33"/>
        <v>34.953105590062108</v>
      </c>
      <c r="H108" s="42">
        <v>32.084782608695647</v>
      </c>
      <c r="I108" s="42">
        <f t="shared" si="34"/>
        <v>34.14466403162055</v>
      </c>
      <c r="J108" s="42">
        <v>36.20454545454546</v>
      </c>
      <c r="K108" s="42">
        <v>34.382758620689657</v>
      </c>
      <c r="L108" s="42">
        <v>35.036967545638944</v>
      </c>
      <c r="M108" s="42">
        <v>35.691176470588232</v>
      </c>
      <c r="N108" s="42"/>
      <c r="O108" s="43"/>
      <c r="P108" s="43"/>
      <c r="Q108" s="44"/>
      <c r="R108" s="41"/>
    </row>
    <row r="109" spans="1:18" ht="18" x14ac:dyDescent="0.2">
      <c r="A109" s="91"/>
      <c r="B109" s="35" t="s">
        <v>112</v>
      </c>
      <c r="C109" s="42">
        <v>43.236842105263158</v>
      </c>
      <c r="D109" s="42">
        <v>38.333333333333336</v>
      </c>
      <c r="E109" s="42">
        <v>37.064986842105263</v>
      </c>
      <c r="F109" s="42">
        <v>46.081012658227856</v>
      </c>
      <c r="G109" s="42">
        <f t="shared" si="33"/>
        <v>46.692728551336145</v>
      </c>
      <c r="H109" s="42">
        <v>47.304444444444442</v>
      </c>
      <c r="I109" s="42">
        <f t="shared" si="34"/>
        <v>47.804420024420011</v>
      </c>
      <c r="J109" s="42">
        <v>48.30439560439558</v>
      </c>
      <c r="K109" s="42">
        <v>47.584090909090918</v>
      </c>
      <c r="L109" s="42">
        <v>45.493344155844156</v>
      </c>
      <c r="M109" s="42">
        <v>43.402597402597401</v>
      </c>
      <c r="N109" s="42"/>
      <c r="O109" s="43"/>
      <c r="P109" s="43"/>
      <c r="Q109" s="44"/>
      <c r="R109" s="41"/>
    </row>
    <row r="110" spans="1:18" ht="18" x14ac:dyDescent="0.2">
      <c r="A110" s="91"/>
      <c r="B110" s="35" t="s">
        <v>113</v>
      </c>
      <c r="C110" s="42">
        <v>57.887323943661968</v>
      </c>
      <c r="D110" s="42">
        <v>54.961038961038959</v>
      </c>
      <c r="E110" s="42">
        <v>53.322084507042248</v>
      </c>
      <c r="F110" s="42">
        <v>53.45624999999999</v>
      </c>
      <c r="G110" s="42">
        <f t="shared" si="33"/>
        <v>54.849320652173908</v>
      </c>
      <c r="H110" s="42">
        <v>56.242391304347827</v>
      </c>
      <c r="I110" s="42">
        <f t="shared" si="34"/>
        <v>54.798338509316764</v>
      </c>
      <c r="J110" s="42">
        <v>53.354285714285709</v>
      </c>
      <c r="K110" s="42">
        <v>54.817045454545443</v>
      </c>
      <c r="L110" s="42">
        <v>53.408522727272725</v>
      </c>
      <c r="M110" s="42">
        <v>52</v>
      </c>
      <c r="N110" s="42"/>
      <c r="O110" s="43"/>
      <c r="P110" s="43"/>
      <c r="Q110" s="44"/>
      <c r="R110" s="41"/>
    </row>
    <row r="111" spans="1:18" ht="18" x14ac:dyDescent="0.2">
      <c r="A111" s="91"/>
      <c r="B111" s="35" t="s">
        <v>114</v>
      </c>
      <c r="C111" s="42">
        <v>59.62903225806452</v>
      </c>
      <c r="D111" s="42">
        <v>56</v>
      </c>
      <c r="E111" s="42">
        <v>56.055390243902437</v>
      </c>
      <c r="F111" s="42">
        <v>58.489393939393942</v>
      </c>
      <c r="G111" s="42">
        <f t="shared" si="33"/>
        <v>56.316407496012758</v>
      </c>
      <c r="H111" s="42">
        <v>54.143421052631574</v>
      </c>
      <c r="I111" s="42">
        <f t="shared" si="34"/>
        <v>55.365758145363401</v>
      </c>
      <c r="J111" s="42">
        <v>56.588095238095235</v>
      </c>
      <c r="K111" s="42">
        <v>53.113846153846161</v>
      </c>
      <c r="L111" s="42">
        <v>53.411995540691194</v>
      </c>
      <c r="M111" s="42">
        <v>53.710144927536234</v>
      </c>
      <c r="N111" s="42"/>
      <c r="O111" s="43"/>
      <c r="P111" s="43"/>
      <c r="Q111" s="44"/>
      <c r="R111" s="41"/>
    </row>
    <row r="112" spans="1:18" ht="18" x14ac:dyDescent="0.2">
      <c r="A112" s="91"/>
      <c r="B112" s="35" t="s">
        <v>115</v>
      </c>
      <c r="C112" s="42">
        <v>55.988235294117644</v>
      </c>
      <c r="D112" s="42">
        <v>56.568965517241381</v>
      </c>
      <c r="E112" s="42">
        <v>49.994389830508467</v>
      </c>
      <c r="F112" s="42">
        <v>53.998550724637681</v>
      </c>
      <c r="G112" s="42">
        <f t="shared" si="33"/>
        <v>54.683890746934225</v>
      </c>
      <c r="H112" s="42">
        <v>55.369230769230768</v>
      </c>
      <c r="I112" s="42">
        <f t="shared" si="34"/>
        <v>55.296961063627741</v>
      </c>
      <c r="J112" s="42">
        <v>55.224691358024714</v>
      </c>
      <c r="K112" s="42">
        <v>53.23026315789474</v>
      </c>
      <c r="L112" s="42">
        <v>53.551913188142777</v>
      </c>
      <c r="M112" s="42">
        <v>53.873563218390807</v>
      </c>
      <c r="N112" s="42"/>
      <c r="O112" s="43"/>
      <c r="P112" s="43"/>
      <c r="Q112" s="44"/>
      <c r="R112" s="41"/>
    </row>
    <row r="113" spans="1:18" ht="18" x14ac:dyDescent="0.2">
      <c r="A113" s="91"/>
      <c r="B113" s="35" t="s">
        <v>116</v>
      </c>
      <c r="C113" s="42">
        <v>48.25</v>
      </c>
      <c r="D113" s="42">
        <v>51.108433734939759</v>
      </c>
      <c r="E113" s="42">
        <v>53.028187499999994</v>
      </c>
      <c r="F113" s="42">
        <v>53.324193548387086</v>
      </c>
      <c r="G113" s="42">
        <f t="shared" si="33"/>
        <v>52.02514025245442</v>
      </c>
      <c r="H113" s="42">
        <v>50.726086956521748</v>
      </c>
      <c r="I113" s="42">
        <f t="shared" si="34"/>
        <v>49.466421856639244</v>
      </c>
      <c r="J113" s="42">
        <v>48.206756756756747</v>
      </c>
      <c r="K113" s="42">
        <v>50.96842105263157</v>
      </c>
      <c r="L113" s="42">
        <v>51.309791921664626</v>
      </c>
      <c r="M113" s="42">
        <v>51.651162790697676</v>
      </c>
      <c r="N113" s="42"/>
      <c r="O113" s="43"/>
      <c r="P113" s="43"/>
      <c r="Q113" s="44"/>
      <c r="R113" s="41"/>
    </row>
    <row r="114" spans="1:18" ht="18" x14ac:dyDescent="0.2">
      <c r="A114" s="91"/>
      <c r="B114" s="35" t="s">
        <v>117</v>
      </c>
      <c r="C114" s="42">
        <v>46.473684210526315</v>
      </c>
      <c r="D114" s="42">
        <v>45.357142857142854</v>
      </c>
      <c r="E114" s="42">
        <v>43.25327272727273</v>
      </c>
      <c r="F114" s="42">
        <v>51.777777777777779</v>
      </c>
      <c r="G114" s="42">
        <f t="shared" si="33"/>
        <v>49.558716475095778</v>
      </c>
      <c r="H114" s="42">
        <v>47.339655172413785</v>
      </c>
      <c r="I114" s="42">
        <f t="shared" si="34"/>
        <v>48.963009404388714</v>
      </c>
      <c r="J114" s="42">
        <v>50.586363636363636</v>
      </c>
      <c r="K114" s="42">
        <v>45.146153846153858</v>
      </c>
      <c r="L114" s="42">
        <v>46.096153846153854</v>
      </c>
      <c r="M114" s="42">
        <v>47.04615384615385</v>
      </c>
      <c r="N114" s="42"/>
      <c r="O114" s="43"/>
      <c r="P114" s="43"/>
      <c r="Q114" s="44"/>
      <c r="R114" s="41"/>
    </row>
    <row r="115" spans="1:18" ht="18" x14ac:dyDescent="0.2">
      <c r="A115" s="91"/>
      <c r="B115" s="35" t="s">
        <v>118</v>
      </c>
      <c r="C115" s="42">
        <v>43.781818181818181</v>
      </c>
      <c r="D115" s="42">
        <v>45.657142857142858</v>
      </c>
      <c r="E115" s="42">
        <v>45.388090909090906</v>
      </c>
      <c r="F115" s="42">
        <v>48.882857142857134</v>
      </c>
      <c r="G115" s="42">
        <f t="shared" si="33"/>
        <v>45.613650793650791</v>
      </c>
      <c r="H115" s="42">
        <v>42.344444444444441</v>
      </c>
      <c r="I115" s="42">
        <f t="shared" si="34"/>
        <v>45.072222222222216</v>
      </c>
      <c r="J115" s="42">
        <v>47.79999999999999</v>
      </c>
      <c r="K115" s="42">
        <v>44.671212121212115</v>
      </c>
      <c r="L115" s="42">
        <v>44.552997364953882</v>
      </c>
      <c r="M115" s="42">
        <v>44.434782608695649</v>
      </c>
      <c r="N115" s="42"/>
      <c r="O115" s="43"/>
      <c r="P115" s="43"/>
      <c r="Q115" s="44"/>
      <c r="R115" s="41"/>
    </row>
    <row r="116" spans="1:18" ht="18" x14ac:dyDescent="0.2">
      <c r="A116" s="91"/>
      <c r="B116" s="35" t="s">
        <v>119</v>
      </c>
      <c r="C116" s="42">
        <v>42</v>
      </c>
      <c r="D116" s="42">
        <v>43.305084745762713</v>
      </c>
      <c r="E116" s="42">
        <v>40.814474999999995</v>
      </c>
      <c r="F116" s="42">
        <v>42.911538461538463</v>
      </c>
      <c r="G116" s="42">
        <f t="shared" si="33"/>
        <v>42.340328054298638</v>
      </c>
      <c r="H116" s="42">
        <v>41.76911764705882</v>
      </c>
      <c r="I116" s="42">
        <f t="shared" si="34"/>
        <v>43.665593306288031</v>
      </c>
      <c r="J116" s="42">
        <v>45.562068965517248</v>
      </c>
      <c r="K116" s="42">
        <v>42.818867924528305</v>
      </c>
      <c r="L116" s="42">
        <v>43.209433962264157</v>
      </c>
      <c r="M116" s="42">
        <v>43.6</v>
      </c>
      <c r="N116" s="42"/>
      <c r="O116" s="43"/>
      <c r="P116" s="43"/>
      <c r="Q116" s="44"/>
      <c r="R116" s="41"/>
    </row>
    <row r="117" spans="1:18" ht="18" x14ac:dyDescent="0.2">
      <c r="A117" s="91"/>
      <c r="B117" s="35" t="s">
        <v>120</v>
      </c>
      <c r="C117" s="42">
        <v>39.607843137254903</v>
      </c>
      <c r="D117" s="42">
        <v>39.282608695652172</v>
      </c>
      <c r="E117" s="42">
        <v>38.833824561403503</v>
      </c>
      <c r="F117" s="42">
        <v>42.303703703703704</v>
      </c>
      <c r="G117" s="42">
        <f t="shared" si="33"/>
        <v>40.464895330112725</v>
      </c>
      <c r="H117" s="42">
        <v>38.626086956521746</v>
      </c>
      <c r="I117" s="42">
        <f t="shared" si="34"/>
        <v>39.26172768878719</v>
      </c>
      <c r="J117" s="42">
        <v>39.897368421052626</v>
      </c>
      <c r="K117" s="42">
        <v>43.04901960784315</v>
      </c>
      <c r="L117" s="42">
        <v>41.355392156862749</v>
      </c>
      <c r="M117" s="42">
        <v>39.661764705882355</v>
      </c>
      <c r="N117" s="42"/>
      <c r="O117" s="43"/>
      <c r="P117" s="43"/>
      <c r="Q117" s="44"/>
      <c r="R117" s="41"/>
    </row>
    <row r="118" spans="1:18" ht="18" x14ac:dyDescent="0.2">
      <c r="A118" s="91"/>
      <c r="B118" s="35" t="s">
        <v>121</v>
      </c>
      <c r="C118" s="42">
        <v>36.085106382978722</v>
      </c>
      <c r="D118" s="42">
        <v>33.888888888888886</v>
      </c>
      <c r="E118" s="42">
        <v>32.461794117647052</v>
      </c>
      <c r="F118" s="42">
        <v>40.388888888888886</v>
      </c>
      <c r="G118" s="42">
        <f t="shared" si="33"/>
        <v>40.17962962962963</v>
      </c>
      <c r="H118" s="42">
        <v>39.970370370370375</v>
      </c>
      <c r="I118" s="42">
        <f t="shared" si="34"/>
        <v>39.58688010043943</v>
      </c>
      <c r="J118" s="42">
        <v>39.203389830508485</v>
      </c>
      <c r="K118" s="42">
        <v>33.591666666666669</v>
      </c>
      <c r="L118" s="42">
        <v>36.126190476190473</v>
      </c>
      <c r="M118" s="42">
        <v>38.660714285714285</v>
      </c>
      <c r="N118" s="42"/>
      <c r="O118" s="43"/>
      <c r="P118" s="43"/>
      <c r="Q118" s="44"/>
      <c r="R118" s="41"/>
    </row>
    <row r="119" spans="1:18" ht="18" x14ac:dyDescent="0.2">
      <c r="A119" s="91"/>
      <c r="B119" s="35" t="s">
        <v>122</v>
      </c>
      <c r="C119" s="42">
        <v>32.307692307692307</v>
      </c>
      <c r="D119" s="42">
        <v>32.969696969696969</v>
      </c>
      <c r="E119" s="42">
        <v>28.460374999999999</v>
      </c>
      <c r="F119" s="42">
        <v>39.383333333333333</v>
      </c>
      <c r="G119" s="42">
        <f t="shared" si="33"/>
        <v>36.717666666666666</v>
      </c>
      <c r="H119" s="42">
        <v>34.052</v>
      </c>
      <c r="I119" s="42">
        <f t="shared" si="34"/>
        <v>35.413499999999999</v>
      </c>
      <c r="J119" s="42">
        <v>36.774999999999999</v>
      </c>
      <c r="K119" s="42">
        <v>34.321428571428569</v>
      </c>
      <c r="L119" s="42">
        <v>34.49894957983193</v>
      </c>
      <c r="M119" s="42">
        <v>34.676470588235297</v>
      </c>
      <c r="N119" s="42"/>
      <c r="O119" s="43"/>
      <c r="P119" s="43"/>
      <c r="Q119" s="44"/>
      <c r="R119" s="41"/>
    </row>
    <row r="120" spans="1:18" ht="18" x14ac:dyDescent="0.2">
      <c r="A120" s="91"/>
      <c r="B120" s="35" t="s">
        <v>123</v>
      </c>
      <c r="C120" s="42">
        <v>32</v>
      </c>
      <c r="D120" s="42">
        <v>29</v>
      </c>
      <c r="E120" s="42">
        <v>27.099041666666665</v>
      </c>
      <c r="F120" s="42">
        <v>35.570588235294117</v>
      </c>
      <c r="G120" s="42">
        <f t="shared" si="33"/>
        <v>34.351960784313725</v>
      </c>
      <c r="H120" s="42">
        <v>33.133333333333333</v>
      </c>
      <c r="I120" s="42">
        <f t="shared" si="34"/>
        <v>35.521212121212116</v>
      </c>
      <c r="J120" s="42">
        <v>37.909090909090907</v>
      </c>
      <c r="K120" s="42">
        <v>33.208695652173908</v>
      </c>
      <c r="L120" s="42">
        <v>33.323097826086951</v>
      </c>
      <c r="M120" s="42">
        <v>33.4375</v>
      </c>
      <c r="N120" s="42"/>
      <c r="O120" s="43"/>
      <c r="P120" s="43"/>
      <c r="Q120" s="44"/>
      <c r="R120" s="41"/>
    </row>
    <row r="121" spans="1:18" ht="19" thickBot="1" x14ac:dyDescent="0.25">
      <c r="A121" s="92"/>
      <c r="B121" s="45" t="s">
        <v>124</v>
      </c>
      <c r="C121" s="46">
        <v>27.893939393939394</v>
      </c>
      <c r="D121" s="46">
        <v>27.166666666666668</v>
      </c>
      <c r="E121" s="46">
        <v>24.830152777777773</v>
      </c>
      <c r="F121" s="46">
        <v>28.826229508196722</v>
      </c>
      <c r="G121" s="46">
        <f t="shared" si="33"/>
        <v>27.12402384500745</v>
      </c>
      <c r="H121" s="46">
        <v>25.421818181818182</v>
      </c>
      <c r="I121" s="46">
        <f t="shared" si="34"/>
        <v>28.225075757575759</v>
      </c>
      <c r="J121" s="46">
        <v>31.02833333333334</v>
      </c>
      <c r="K121" s="46">
        <v>30.777551020408165</v>
      </c>
      <c r="L121" s="46">
        <v>29.132823129251701</v>
      </c>
      <c r="M121" s="46">
        <v>27.488095238095237</v>
      </c>
      <c r="N121" s="46"/>
      <c r="O121" s="47"/>
      <c r="P121" s="47"/>
      <c r="Q121" s="48"/>
      <c r="R121" s="41"/>
    </row>
  </sheetData>
  <mergeCells count="9">
    <mergeCell ref="A86:A90"/>
    <mergeCell ref="A91:A95"/>
    <mergeCell ref="A96:A121"/>
    <mergeCell ref="A1:Q3"/>
    <mergeCell ref="A5:A38"/>
    <mergeCell ref="A40:A59"/>
    <mergeCell ref="A60:A72"/>
    <mergeCell ref="A73:A79"/>
    <mergeCell ref="A80:A85"/>
  </mergeCells>
  <pageMargins left="0.511811024" right="0.511811024" top="0.78740157499999996" bottom="0.78740157499999996" header="0.31496062000000002" footer="0.31496062000000002"/>
  <pageSetup paperSize="9" scale="2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9CD5-3F5E-2549-B76F-661904566761}">
  <dimension ref="A1"/>
  <sheetViews>
    <sheetView showGridLines="0" showRowColHeaders="0" showRuler="0" showWhiteSpace="0" view="pageBreakPreview" topLeftCell="A440" zoomScale="50" zoomScaleNormal="75" zoomScaleSheetLayoutView="100" zoomScalePageLayoutView="37" workbookViewId="0">
      <selection activeCell="H594" sqref="H594"/>
    </sheetView>
  </sheetViews>
  <sheetFormatPr baseColWidth="10" defaultColWidth="11" defaultRowHeight="16" x14ac:dyDescent="0.2"/>
  <cols>
    <col min="1" max="1" width="11" customWidth="1"/>
    <col min="10" max="11" width="11" customWidth="1"/>
  </cols>
  <sheetData/>
  <pageMargins left="0.7" right="0.7" top="0.75" bottom="0.75" header="0.3" footer="0.3"/>
  <pageSetup paperSize="9" scale="95" orientation="portrait" r:id="rId1"/>
  <headerFooter scaleWithDoc="0" alignWithMargins="0"/>
  <rowBreaks count="1" manualBreakCount="1">
    <brk id="846" max="1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5BC9-FA2B-7E48-995B-7B73AE58BCEA}">
  <dimension ref="A1"/>
  <sheetViews>
    <sheetView showRowColHeaders="0" view="pageBreakPreview" zoomScaleNormal="100" zoomScaleSheetLayoutView="100" workbookViewId="0">
      <selection activeCell="P266" sqref="P266"/>
    </sheetView>
  </sheetViews>
  <sheetFormatPr baseColWidth="10" defaultRowHeight="16" x14ac:dyDescent="0.2"/>
  <sheetData/>
  <pageMargins left="0.25" right="0.25" top="2" bottom="0.75" header="0.3" footer="0.3"/>
  <pageSetup paperSize="9" scale="85" orientation="landscape" horizontalDpi="0" verticalDpi="0"/>
  <rowBreaks count="11" manualBreakCount="11">
    <brk id="23" max="16383" man="1"/>
    <brk id="47" max="16383" man="1"/>
    <brk id="72" max="13" man="1"/>
    <brk id="96" max="13" man="1"/>
    <brk id="121" max="13" man="1"/>
    <brk id="144" max="13" man="1"/>
    <brk id="167" max="13" man="1"/>
    <brk id="190" max="13" man="1"/>
    <brk id="214" max="13" man="1"/>
    <brk id="238" max="13" man="1"/>
    <brk id="261" max="13" man="1"/>
  </rowBreaks>
  <colBreaks count="2" manualBreakCount="2">
    <brk id="14" max="1048575" man="1"/>
    <brk id="15" max="1048575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249C-B85D-BC46-B6A5-105822045A46}">
  <dimension ref="A1:P15"/>
  <sheetViews>
    <sheetView workbookViewId="0">
      <selection activeCell="P16" sqref="P16"/>
    </sheetView>
  </sheetViews>
  <sheetFormatPr baseColWidth="10" defaultRowHeight="16" x14ac:dyDescent="0.2"/>
  <cols>
    <col min="1" max="16384" width="10.83203125" style="59"/>
  </cols>
  <sheetData>
    <row r="1" spans="1:16" x14ac:dyDescent="0.2">
      <c r="B1" s="102" t="s">
        <v>162</v>
      </c>
      <c r="C1" s="102"/>
      <c r="D1" s="102"/>
      <c r="G1" s="102" t="s">
        <v>165</v>
      </c>
      <c r="H1" s="102"/>
      <c r="I1" s="102"/>
      <c r="M1" s="102" t="s">
        <v>168</v>
      </c>
      <c r="N1" s="102"/>
      <c r="O1" s="102"/>
    </row>
    <row r="2" spans="1:16" x14ac:dyDescent="0.2">
      <c r="B2" s="59" t="s">
        <v>158</v>
      </c>
      <c r="C2" s="59" t="s">
        <v>159</v>
      </c>
      <c r="D2" s="59" t="s">
        <v>160</v>
      </c>
      <c r="G2" s="59" t="s">
        <v>158</v>
      </c>
      <c r="H2" s="59" t="s">
        <v>159</v>
      </c>
      <c r="I2" s="59" t="s">
        <v>160</v>
      </c>
      <c r="M2" s="59" t="s">
        <v>158</v>
      </c>
      <c r="N2" s="59" t="s">
        <v>159</v>
      </c>
      <c r="O2" s="59" t="s">
        <v>160</v>
      </c>
    </row>
    <row r="3" spans="1:16" x14ac:dyDescent="0.2">
      <c r="A3" s="59" t="s">
        <v>161</v>
      </c>
      <c r="B3" s="59">
        <v>311</v>
      </c>
      <c r="D3" s="59">
        <v>27</v>
      </c>
      <c r="F3" s="59" t="s">
        <v>161</v>
      </c>
      <c r="G3" s="59">
        <v>127</v>
      </c>
      <c r="I3" s="59">
        <v>29.1</v>
      </c>
      <c r="L3" s="59" t="s">
        <v>169</v>
      </c>
      <c r="O3" s="59">
        <v>23.6</v>
      </c>
    </row>
    <row r="4" spans="1:16" x14ac:dyDescent="0.2">
      <c r="A4" s="59" t="s">
        <v>163</v>
      </c>
      <c r="B4" s="59">
        <v>213</v>
      </c>
      <c r="D4" s="59">
        <v>33.6</v>
      </c>
      <c r="F4" s="59" t="s">
        <v>163</v>
      </c>
      <c r="G4" s="59">
        <v>99</v>
      </c>
      <c r="I4" s="59">
        <v>37</v>
      </c>
      <c r="L4" s="59" t="s">
        <v>170</v>
      </c>
    </row>
    <row r="5" spans="1:16" x14ac:dyDescent="0.2">
      <c r="A5" s="59" t="s">
        <v>164</v>
      </c>
      <c r="B5" s="59">
        <v>239</v>
      </c>
      <c r="D5" s="59">
        <v>38</v>
      </c>
      <c r="F5" s="59" t="s">
        <v>164</v>
      </c>
      <c r="G5" s="59">
        <v>83</v>
      </c>
      <c r="I5" s="59">
        <v>32</v>
      </c>
      <c r="L5" s="59" t="s">
        <v>171</v>
      </c>
      <c r="O5" s="59">
        <v>32.700000000000003</v>
      </c>
    </row>
    <row r="7" spans="1:16" x14ac:dyDescent="0.2">
      <c r="B7" s="59" t="s">
        <v>158</v>
      </c>
      <c r="C7" s="59" t="s">
        <v>159</v>
      </c>
      <c r="D7" s="59" t="s">
        <v>160</v>
      </c>
      <c r="E7" s="102" t="s">
        <v>166</v>
      </c>
      <c r="G7" s="59" t="s">
        <v>158</v>
      </c>
      <c r="H7" s="59" t="s">
        <v>159</v>
      </c>
      <c r="I7" s="59" t="s">
        <v>160</v>
      </c>
      <c r="J7" s="102" t="s">
        <v>166</v>
      </c>
      <c r="M7" s="59" t="s">
        <v>158</v>
      </c>
      <c r="N7" s="59" t="s">
        <v>159</v>
      </c>
      <c r="O7" s="59" t="s">
        <v>160</v>
      </c>
    </row>
    <row r="8" spans="1:16" x14ac:dyDescent="0.2">
      <c r="A8" s="59" t="s">
        <v>161</v>
      </c>
      <c r="B8" s="59">
        <v>92</v>
      </c>
      <c r="D8" s="59">
        <v>18</v>
      </c>
      <c r="E8" s="102"/>
      <c r="F8" s="59" t="s">
        <v>161</v>
      </c>
      <c r="G8" s="59">
        <v>80</v>
      </c>
      <c r="I8" s="59">
        <v>25</v>
      </c>
      <c r="J8" s="102"/>
      <c r="L8" s="59" t="s">
        <v>169</v>
      </c>
      <c r="O8" s="59">
        <v>22</v>
      </c>
      <c r="P8" s="102" t="s">
        <v>166</v>
      </c>
    </row>
    <row r="9" spans="1:16" x14ac:dyDescent="0.2">
      <c r="A9" s="59" t="s">
        <v>163</v>
      </c>
      <c r="B9" s="59">
        <v>83</v>
      </c>
      <c r="D9" s="59">
        <v>35.299999999999997</v>
      </c>
      <c r="E9" s="102"/>
      <c r="F9" s="59" t="s">
        <v>163</v>
      </c>
      <c r="G9" s="59">
        <v>62</v>
      </c>
      <c r="I9" s="59">
        <v>37</v>
      </c>
      <c r="J9" s="102"/>
      <c r="L9" s="59" t="s">
        <v>170</v>
      </c>
      <c r="P9" s="102"/>
    </row>
    <row r="10" spans="1:16" x14ac:dyDescent="0.2">
      <c r="A10" s="59" t="s">
        <v>164</v>
      </c>
      <c r="B10" s="59">
        <v>92</v>
      </c>
      <c r="D10" s="59">
        <v>35.799999999999997</v>
      </c>
      <c r="E10" s="102"/>
      <c r="F10" s="59" t="s">
        <v>164</v>
      </c>
      <c r="G10" s="59">
        <v>49</v>
      </c>
      <c r="I10" s="59">
        <v>35</v>
      </c>
      <c r="J10" s="102"/>
      <c r="L10" s="59" t="s">
        <v>171</v>
      </c>
      <c r="O10" s="59">
        <v>32.03</v>
      </c>
      <c r="P10" s="102"/>
    </row>
    <row r="12" spans="1:16" x14ac:dyDescent="0.2">
      <c r="B12" s="59" t="s">
        <v>158</v>
      </c>
      <c r="C12" s="59" t="s">
        <v>159</v>
      </c>
      <c r="D12" s="59" t="s">
        <v>160</v>
      </c>
      <c r="E12" s="102" t="s">
        <v>167</v>
      </c>
      <c r="G12" s="59" t="s">
        <v>158</v>
      </c>
      <c r="H12" s="59" t="s">
        <v>159</v>
      </c>
      <c r="I12" s="59" t="s">
        <v>160</v>
      </c>
      <c r="J12" s="102" t="s">
        <v>167</v>
      </c>
      <c r="M12" s="59" t="s">
        <v>158</v>
      </c>
      <c r="N12" s="59" t="s">
        <v>159</v>
      </c>
      <c r="O12" s="59" t="s">
        <v>160</v>
      </c>
    </row>
    <row r="13" spans="1:16" x14ac:dyDescent="0.2">
      <c r="A13" s="59" t="s">
        <v>161</v>
      </c>
      <c r="B13" s="59">
        <v>219</v>
      </c>
      <c r="D13" s="59">
        <v>30.8</v>
      </c>
      <c r="E13" s="102"/>
      <c r="F13" s="59" t="s">
        <v>161</v>
      </c>
      <c r="G13" s="59">
        <v>47</v>
      </c>
      <c r="I13" s="59">
        <v>36</v>
      </c>
      <c r="J13" s="102"/>
      <c r="L13" s="59" t="s">
        <v>169</v>
      </c>
      <c r="O13" s="59">
        <v>25</v>
      </c>
      <c r="P13" s="102" t="s">
        <v>167</v>
      </c>
    </row>
    <row r="14" spans="1:16" x14ac:dyDescent="0.2">
      <c r="A14" s="59" t="s">
        <v>163</v>
      </c>
      <c r="B14" s="59">
        <v>130</v>
      </c>
      <c r="D14" s="59">
        <v>32.5</v>
      </c>
      <c r="E14" s="102"/>
      <c r="F14" s="59" t="s">
        <v>163</v>
      </c>
      <c r="G14" s="59">
        <v>37</v>
      </c>
      <c r="I14" s="59">
        <v>38</v>
      </c>
      <c r="J14" s="102"/>
      <c r="L14" s="59" t="s">
        <v>170</v>
      </c>
      <c r="P14" s="102"/>
    </row>
    <row r="15" spans="1:16" x14ac:dyDescent="0.2">
      <c r="A15" s="59" t="s">
        <v>164</v>
      </c>
      <c r="B15" s="59">
        <v>147</v>
      </c>
      <c r="D15" s="59">
        <v>39.299999999999997</v>
      </c>
      <c r="E15" s="102"/>
      <c r="F15" s="59" t="s">
        <v>164</v>
      </c>
      <c r="G15" s="59">
        <v>34</v>
      </c>
      <c r="I15" s="59">
        <v>27</v>
      </c>
      <c r="J15" s="102"/>
      <c r="L15" s="59" t="s">
        <v>171</v>
      </c>
      <c r="O15" s="59">
        <v>35.18</v>
      </c>
      <c r="P15" s="102"/>
    </row>
  </sheetData>
  <mergeCells count="9">
    <mergeCell ref="M1:O1"/>
    <mergeCell ref="P8:P10"/>
    <mergeCell ref="P13:P15"/>
    <mergeCell ref="B1:D1"/>
    <mergeCell ref="G1:I1"/>
    <mergeCell ref="J7:J10"/>
    <mergeCell ref="J12:J15"/>
    <mergeCell ref="E7:E10"/>
    <mergeCell ref="E12:E15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2026</vt:lpstr>
      <vt:lpstr>2025</vt:lpstr>
      <vt:lpstr>Gráficos</vt:lpstr>
      <vt:lpstr>Impresssão</vt:lpstr>
      <vt:lpstr>Planilha1</vt:lpstr>
      <vt:lpstr>'2026'!Area_de_impressao</vt:lpstr>
      <vt:lpstr>Gráficos!Area_de_impressao</vt:lpstr>
      <vt:lpstr>Impresssão!Area_de_impressao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Henrique</dc:creator>
  <cp:lastModifiedBy>Evelise Spinardi</cp:lastModifiedBy>
  <cp:lastPrinted>2026-08-20T20:54:28Z</cp:lastPrinted>
  <dcterms:created xsi:type="dcterms:W3CDTF">2025-12-16T13:36:25Z</dcterms:created>
  <dcterms:modified xsi:type="dcterms:W3CDTF">2026-09-24T23:15:50Z</dcterms:modified>
</cp:coreProperties>
</file>