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"/>
    </mc:Choice>
  </mc:AlternateContent>
  <xr:revisionPtr revIDLastSave="0" documentId="13_ncr:1_{8317D4E2-E4FD-47BA-BB4C-92DB5FEACE84}" xr6:coauthVersionLast="47" xr6:coauthVersionMax="47" xr10:uidLastSave="{00000000-0000-0000-0000-000000000000}"/>
  <bookViews>
    <workbookView xWindow="-120" yWindow="-120" windowWidth="29040" windowHeight="15720" xr2:uid="{E829B792-F364-4F82-8813-5500DCBA638B}"/>
  </bookViews>
  <sheets>
    <sheet name="Instruções" sheetId="11" r:id="rId1"/>
    <sheet name="Parâmetros" sheetId="3" r:id="rId2"/>
    <sheet name="Receita Prevista" sheetId="4" r:id="rId3"/>
    <sheet name="Marcadores de linha" sheetId="12" state="hidden" r:id="rId4"/>
    <sheet name="Receita Arrecadada" sheetId="1" r:id="rId5"/>
    <sheet name="Despesa Liquidada" sheetId="6" r:id="rId6"/>
    <sheet name="RP Não Processados" sheetId="7" r:id="rId7"/>
    <sheet name="RCL" sheetId="2" r:id="rId8"/>
    <sheet name="DTP" sheetId="5" r:id="rId9"/>
    <sheet name="Aux Dash" sheetId="8" state="hidden" r:id="rId10"/>
    <sheet name="Dashboard" sheetId="9" r:id="rId11"/>
    <sheet name="Dashboard Dark" sheetId="10" r:id="rId12"/>
  </sheets>
  <definedNames>
    <definedName name="_xlchart.v1.0" hidden="1">'Aux Dash'!$G$5:$G$16</definedName>
    <definedName name="_xlchart.v1.1" hidden="1">'Aux Dash'!$L$4</definedName>
    <definedName name="_xlchart.v1.2" hidden="1">'Aux Dash'!$L$5:$L$16</definedName>
    <definedName name="_xlnm.Print_Area" localSheetId="10">Dashboard!$A$1:$AK$75</definedName>
    <definedName name="_xlnm.Print_Area" localSheetId="11">'Dashboard Dark'!$A$1:$AK$75</definedName>
    <definedName name="_xlnm.Print_Area" localSheetId="8">DTP!$C$1:$Q$41</definedName>
    <definedName name="_xlnm.Print_Area" localSheetId="7">RCL!$D$1:$R$48</definedName>
    <definedName name="paramDataBase">Parâmetros!$C$6</definedName>
    <definedName name="paramEnte">Parâmetros!$C$3</definedName>
    <definedName name="paramLimiteMaximoDTP">Parâmetros!$C$5</definedName>
    <definedName name="paramOrgao">Parâmetros!$C$4</definedName>
    <definedName name="paramSistema">Parâmetros!$C$7</definedName>
    <definedName name="paramUnidadeResponsavel">Parâmetros!$C$8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" i="1" l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B2" i="8"/>
  <c r="B75" i="10"/>
  <c r="AE48" i="8"/>
  <c r="AD48" i="8"/>
  <c r="AC48" i="8"/>
  <c r="AB48" i="8"/>
  <c r="AA48" i="8"/>
  <c r="Z48" i="8"/>
  <c r="Y48" i="8"/>
  <c r="X48" i="8"/>
  <c r="W48" i="8"/>
  <c r="V48" i="8"/>
  <c r="U48" i="8"/>
  <c r="T48" i="8"/>
  <c r="B15" i="8" l="1" a="1"/>
  <c r="B15" i="8" s="1"/>
  <c r="B75" i="9"/>
  <c r="AE51" i="8"/>
  <c r="AD51" i="8"/>
  <c r="AC51" i="8"/>
  <c r="AB51" i="8"/>
  <c r="AA51" i="8"/>
  <c r="Z51" i="8"/>
  <c r="Y51" i="8"/>
  <c r="X51" i="8"/>
  <c r="W51" i="8"/>
  <c r="V51" i="8"/>
  <c r="U51" i="8"/>
  <c r="AE50" i="8"/>
  <c r="AD50" i="8"/>
  <c r="AC50" i="8"/>
  <c r="AB50" i="8"/>
  <c r="AA50" i="8"/>
  <c r="Z50" i="8"/>
  <c r="Y50" i="8"/>
  <c r="X50" i="8"/>
  <c r="W50" i="8"/>
  <c r="V50" i="8"/>
  <c r="U50" i="8"/>
  <c r="T51" i="8"/>
  <c r="T50" i="8"/>
  <c r="C52" i="1"/>
  <c r="C60" i="1"/>
  <c r="C59" i="1"/>
  <c r="C58" i="1"/>
  <c r="C57" i="1"/>
  <c r="C56" i="1"/>
  <c r="C55" i="1"/>
  <c r="C54" i="1"/>
  <c r="C53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38" i="5"/>
  <c r="O35" i="5"/>
  <c r="O36" i="5" s="1"/>
  <c r="D7" i="8" s="1"/>
  <c r="R43" i="2"/>
  <c r="R41" i="2"/>
  <c r="R39" i="2"/>
  <c r="C3" i="5"/>
  <c r="O12" i="5"/>
  <c r="N12" i="5"/>
  <c r="M12" i="5"/>
  <c r="L12" i="5"/>
  <c r="K12" i="5"/>
  <c r="J12" i="5"/>
  <c r="I12" i="5"/>
  <c r="H12" i="5"/>
  <c r="G12" i="5"/>
  <c r="F12" i="5"/>
  <c r="E12" i="5"/>
  <c r="D12" i="5"/>
  <c r="C2" i="5"/>
  <c r="D31" i="4"/>
  <c r="D30" i="4"/>
  <c r="D29" i="4"/>
  <c r="D28" i="4"/>
  <c r="D27" i="4"/>
  <c r="D26" i="4"/>
  <c r="R37" i="2" s="1"/>
  <c r="D25" i="4"/>
  <c r="R34" i="2" s="1"/>
  <c r="D24" i="4"/>
  <c r="R32" i="2" s="1"/>
  <c r="D23" i="4"/>
  <c r="R31" i="2" s="1"/>
  <c r="D22" i="4"/>
  <c r="R28" i="2" s="1"/>
  <c r="D21" i="4"/>
  <c r="R27" i="2" s="1"/>
  <c r="D20" i="4"/>
  <c r="R30" i="2" s="1"/>
  <c r="D19" i="4"/>
  <c r="R29" i="2" s="1"/>
  <c r="D18" i="4"/>
  <c r="D17" i="4"/>
  <c r="D16" i="4"/>
  <c r="D15" i="4"/>
  <c r="R25" i="2" s="1"/>
  <c r="D14" i="4"/>
  <c r="R24" i="2" s="1"/>
  <c r="D13" i="4"/>
  <c r="R23" i="2" s="1"/>
  <c r="D12" i="4"/>
  <c r="R22" i="2" s="1"/>
  <c r="D11" i="4"/>
  <c r="R38" i="2" s="1"/>
  <c r="D10" i="4"/>
  <c r="R20" i="2" s="1"/>
  <c r="D9" i="4"/>
  <c r="R19" i="2" s="1"/>
  <c r="D8" i="4"/>
  <c r="R36" i="2" s="1"/>
  <c r="D7" i="4"/>
  <c r="R18" i="2" s="1"/>
  <c r="D6" i="4"/>
  <c r="R14" i="2" s="1"/>
  <c r="D5" i="4"/>
  <c r="R15" i="2" s="1"/>
  <c r="D4" i="4"/>
  <c r="D3" i="4"/>
  <c r="R16" i="2" s="1"/>
  <c r="D2" i="4"/>
  <c r="R12" i="2" s="1"/>
  <c r="R13" i="2" l="1"/>
  <c r="R17" i="2" s="1"/>
  <c r="R26" i="2"/>
  <c r="D26" i="5"/>
  <c r="D25" i="5"/>
  <c r="D24" i="5"/>
  <c r="D23" i="5"/>
  <c r="D21" i="5"/>
  <c r="D20" i="5"/>
  <c r="D19" i="5"/>
  <c r="D18" i="5"/>
  <c r="D16" i="5"/>
  <c r="D15" i="5"/>
  <c r="E26" i="5"/>
  <c r="E25" i="5"/>
  <c r="E24" i="5"/>
  <c r="E23" i="5"/>
  <c r="E21" i="5"/>
  <c r="E20" i="5"/>
  <c r="E19" i="5"/>
  <c r="E18" i="5"/>
  <c r="E16" i="5"/>
  <c r="E15" i="5"/>
  <c r="K26" i="5"/>
  <c r="K25" i="5"/>
  <c r="K24" i="5"/>
  <c r="K23" i="5"/>
  <c r="K21" i="5"/>
  <c r="K20" i="5"/>
  <c r="K19" i="5"/>
  <c r="K18" i="5"/>
  <c r="K16" i="5"/>
  <c r="K15" i="5"/>
  <c r="F23" i="5"/>
  <c r="F19" i="5"/>
  <c r="F15" i="5"/>
  <c r="F24" i="5"/>
  <c r="F20" i="5"/>
  <c r="F16" i="5"/>
  <c r="F25" i="5"/>
  <c r="F21" i="5"/>
  <c r="F18" i="5"/>
  <c r="F26" i="5"/>
  <c r="M24" i="5"/>
  <c r="M20" i="5"/>
  <c r="M16" i="5"/>
  <c r="M25" i="5"/>
  <c r="M21" i="5"/>
  <c r="M18" i="5"/>
  <c r="M23" i="5"/>
  <c r="M26" i="5"/>
  <c r="M19" i="5"/>
  <c r="M15" i="5"/>
  <c r="N26" i="5"/>
  <c r="N25" i="5"/>
  <c r="N24" i="5"/>
  <c r="N23" i="5"/>
  <c r="N21" i="5"/>
  <c r="N20" i="5"/>
  <c r="N19" i="5"/>
  <c r="N18" i="5"/>
  <c r="N16" i="5"/>
  <c r="N15" i="5"/>
  <c r="L24" i="5"/>
  <c r="L16" i="5"/>
  <c r="L25" i="5"/>
  <c r="L21" i="5"/>
  <c r="L18" i="5"/>
  <c r="L26" i="5"/>
  <c r="L23" i="5"/>
  <c r="L19" i="5"/>
  <c r="L15" i="5"/>
  <c r="L20" i="5"/>
  <c r="G26" i="5"/>
  <c r="G23" i="5"/>
  <c r="G19" i="5"/>
  <c r="G15" i="5"/>
  <c r="G25" i="5"/>
  <c r="G18" i="5"/>
  <c r="G24" i="5"/>
  <c r="G20" i="5"/>
  <c r="G16" i="5"/>
  <c r="G21" i="5"/>
  <c r="H26" i="5"/>
  <c r="H25" i="5"/>
  <c r="H24" i="5"/>
  <c r="H23" i="5"/>
  <c r="H21" i="5"/>
  <c r="H20" i="5"/>
  <c r="H19" i="5"/>
  <c r="H18" i="5"/>
  <c r="H16" i="5"/>
  <c r="H15" i="5"/>
  <c r="I26" i="5"/>
  <c r="I25" i="5"/>
  <c r="I24" i="5"/>
  <c r="I23" i="5"/>
  <c r="I21" i="5"/>
  <c r="I20" i="5"/>
  <c r="I19" i="5"/>
  <c r="I18" i="5"/>
  <c r="I16" i="5"/>
  <c r="I15" i="5"/>
  <c r="Q20" i="5"/>
  <c r="Q26" i="5"/>
  <c r="Q25" i="5"/>
  <c r="Q24" i="5"/>
  <c r="Q16" i="5"/>
  <c r="Q23" i="5"/>
  <c r="Q15" i="5"/>
  <c r="Q21" i="5"/>
  <c r="O26" i="5"/>
  <c r="O25" i="5"/>
  <c r="O24" i="5"/>
  <c r="O23" i="5"/>
  <c r="O21" i="5"/>
  <c r="O20" i="5"/>
  <c r="O19" i="5"/>
  <c r="O18" i="5"/>
  <c r="O16" i="5"/>
  <c r="O15" i="5"/>
  <c r="Q19" i="5"/>
  <c r="Q18" i="5"/>
  <c r="J26" i="5"/>
  <c r="J25" i="5"/>
  <c r="J24" i="5"/>
  <c r="J23" i="5"/>
  <c r="J21" i="5"/>
  <c r="J20" i="5"/>
  <c r="J19" i="5"/>
  <c r="J18" i="5"/>
  <c r="J16" i="5"/>
  <c r="J15" i="5"/>
  <c r="O37" i="5"/>
  <c r="D8" i="8" s="1"/>
  <c r="D6" i="8"/>
  <c r="B110" i="8"/>
  <c r="B104" i="8"/>
  <c r="B98" i="8"/>
  <c r="B92" i="8"/>
  <c r="B86" i="8"/>
  <c r="B80" i="8"/>
  <c r="B74" i="8"/>
  <c r="B68" i="8"/>
  <c r="B62" i="8"/>
  <c r="B56" i="8"/>
  <c r="B50" i="8"/>
  <c r="B44" i="8"/>
  <c r="B38" i="8"/>
  <c r="B32" i="8"/>
  <c r="B26" i="8"/>
  <c r="B20" i="8"/>
  <c r="B109" i="8"/>
  <c r="B103" i="8"/>
  <c r="B97" i="8"/>
  <c r="B91" i="8"/>
  <c r="B85" i="8"/>
  <c r="B79" i="8"/>
  <c r="B73" i="8"/>
  <c r="B67" i="8"/>
  <c r="B61" i="8"/>
  <c r="B55" i="8"/>
  <c r="B49" i="8"/>
  <c r="B43" i="8"/>
  <c r="B37" i="8"/>
  <c r="B31" i="8"/>
  <c r="B25" i="8"/>
  <c r="B19" i="8"/>
  <c r="B108" i="8"/>
  <c r="B102" i="8"/>
  <c r="B96" i="8"/>
  <c r="B90" i="8"/>
  <c r="B84" i="8"/>
  <c r="B78" i="8"/>
  <c r="B72" i="8"/>
  <c r="B66" i="8"/>
  <c r="B60" i="8"/>
  <c r="B54" i="8"/>
  <c r="B48" i="8"/>
  <c r="B42" i="8"/>
  <c r="B36" i="8"/>
  <c r="B30" i="8"/>
  <c r="B24" i="8"/>
  <c r="B18" i="8"/>
  <c r="B113" i="8"/>
  <c r="B107" i="8"/>
  <c r="B101" i="8"/>
  <c r="B95" i="8"/>
  <c r="B89" i="8"/>
  <c r="B83" i="8"/>
  <c r="B77" i="8"/>
  <c r="B71" i="8"/>
  <c r="B65" i="8"/>
  <c r="B59" i="8"/>
  <c r="B53" i="8"/>
  <c r="B47" i="8"/>
  <c r="B41" i="8"/>
  <c r="B35" i="8"/>
  <c r="B29" i="8"/>
  <c r="B23" i="8"/>
  <c r="B17" i="8"/>
  <c r="B112" i="8"/>
  <c r="B106" i="8"/>
  <c r="B100" i="8"/>
  <c r="B94" i="8"/>
  <c r="B88" i="8"/>
  <c r="B82" i="8"/>
  <c r="B76" i="8"/>
  <c r="B70" i="8"/>
  <c r="B64" i="8"/>
  <c r="B58" i="8"/>
  <c r="B52" i="8"/>
  <c r="B46" i="8"/>
  <c r="B40" i="8"/>
  <c r="B34" i="8"/>
  <c r="B28" i="8"/>
  <c r="B22" i="8"/>
  <c r="B16" i="8"/>
  <c r="B111" i="8"/>
  <c r="B105" i="8"/>
  <c r="B99" i="8"/>
  <c r="B93" i="8"/>
  <c r="B87" i="8"/>
  <c r="B81" i="8"/>
  <c r="B75" i="8"/>
  <c r="B69" i="8"/>
  <c r="B63" i="8"/>
  <c r="B57" i="8"/>
  <c r="B51" i="8"/>
  <c r="B45" i="8"/>
  <c r="B39" i="8"/>
  <c r="B33" i="8"/>
  <c r="B27" i="8"/>
  <c r="B21" i="8"/>
  <c r="R21" i="2"/>
  <c r="R35" i="2"/>
  <c r="R33" i="2"/>
  <c r="C7" i="5"/>
  <c r="R11" i="2"/>
  <c r="N10" i="2"/>
  <c r="M10" i="2"/>
  <c r="L10" i="2"/>
  <c r="K10" i="2"/>
  <c r="J10" i="2"/>
  <c r="I10" i="2"/>
  <c r="H10" i="2"/>
  <c r="G10" i="2"/>
  <c r="F10" i="2"/>
  <c r="E10" i="2"/>
  <c r="O10" i="2"/>
  <c r="P10" i="2"/>
  <c r="R40" i="2" l="1"/>
  <c r="R42" i="2" s="1"/>
  <c r="R44" i="2" s="1"/>
  <c r="AE36" i="8"/>
  <c r="O36" i="8" s="1"/>
  <c r="O43" i="8" s="1"/>
  <c r="E43" i="2"/>
  <c r="E41" i="2"/>
  <c r="E39" i="2"/>
  <c r="E38" i="2"/>
  <c r="E37" i="2"/>
  <c r="E36" i="2"/>
  <c r="E34" i="2"/>
  <c r="E32" i="2"/>
  <c r="E31" i="2"/>
  <c r="E30" i="2"/>
  <c r="E29" i="2"/>
  <c r="E28" i="2"/>
  <c r="E27" i="2"/>
  <c r="E26" i="2"/>
  <c r="E25" i="2"/>
  <c r="E24" i="2"/>
  <c r="E23" i="2"/>
  <c r="E22" i="2"/>
  <c r="E20" i="2"/>
  <c r="E19" i="2"/>
  <c r="E18" i="2"/>
  <c r="E16" i="2"/>
  <c r="E15" i="2"/>
  <c r="E14" i="2"/>
  <c r="E13" i="2"/>
  <c r="E12" i="2"/>
  <c r="K43" i="2"/>
  <c r="K41" i="2"/>
  <c r="K39" i="2"/>
  <c r="K38" i="2"/>
  <c r="K37" i="2"/>
  <c r="K36" i="2"/>
  <c r="K34" i="2"/>
  <c r="K32" i="2"/>
  <c r="K31" i="2"/>
  <c r="K30" i="2"/>
  <c r="K29" i="2"/>
  <c r="K28" i="2"/>
  <c r="K27" i="2"/>
  <c r="K26" i="2"/>
  <c r="K25" i="2"/>
  <c r="K24" i="2"/>
  <c r="K23" i="2"/>
  <c r="K22" i="2"/>
  <c r="K20" i="2"/>
  <c r="K19" i="2"/>
  <c r="K18" i="2"/>
  <c r="K16" i="2"/>
  <c r="K15" i="2"/>
  <c r="K14" i="2"/>
  <c r="K13" i="2"/>
  <c r="K12" i="2"/>
  <c r="L32" i="2"/>
  <c r="L31" i="2"/>
  <c r="L28" i="2"/>
  <c r="L26" i="2"/>
  <c r="L24" i="2"/>
  <c r="L19" i="2"/>
  <c r="L12" i="2"/>
  <c r="L43" i="2"/>
  <c r="L39" i="2"/>
  <c r="L38" i="2"/>
  <c r="L37" i="2"/>
  <c r="L36" i="2"/>
  <c r="L30" i="2"/>
  <c r="L27" i="2"/>
  <c r="L23" i="2"/>
  <c r="L18" i="2"/>
  <c r="L16" i="2"/>
  <c r="L15" i="2"/>
  <c r="L13" i="2"/>
  <c r="L41" i="2"/>
  <c r="L34" i="2"/>
  <c r="L29" i="2"/>
  <c r="L25" i="2"/>
  <c r="L22" i="2"/>
  <c r="L20" i="2"/>
  <c r="L14" i="2"/>
  <c r="M43" i="2"/>
  <c r="M41" i="2"/>
  <c r="M39" i="2"/>
  <c r="M38" i="2"/>
  <c r="M37" i="2"/>
  <c r="M36" i="2"/>
  <c r="M34" i="2"/>
  <c r="M32" i="2"/>
  <c r="M31" i="2"/>
  <c r="M30" i="2"/>
  <c r="M29" i="2"/>
  <c r="M28" i="2"/>
  <c r="M27" i="2"/>
  <c r="M26" i="2"/>
  <c r="M25" i="2"/>
  <c r="M24" i="2"/>
  <c r="M23" i="2"/>
  <c r="M22" i="2"/>
  <c r="M20" i="2"/>
  <c r="M19" i="2"/>
  <c r="M18" i="2"/>
  <c r="M16" i="2"/>
  <c r="M15" i="2"/>
  <c r="M14" i="2"/>
  <c r="M13" i="2"/>
  <c r="M12" i="2"/>
  <c r="H43" i="2"/>
  <c r="H41" i="2"/>
  <c r="H39" i="2"/>
  <c r="H38" i="2"/>
  <c r="H37" i="2"/>
  <c r="H36" i="2"/>
  <c r="H34" i="2"/>
  <c r="H32" i="2"/>
  <c r="H31" i="2"/>
  <c r="H30" i="2"/>
  <c r="H29" i="2"/>
  <c r="H28" i="2"/>
  <c r="H27" i="2"/>
  <c r="H26" i="2"/>
  <c r="H25" i="2"/>
  <c r="H24" i="2"/>
  <c r="H23" i="2"/>
  <c r="H22" i="2"/>
  <c r="H20" i="2"/>
  <c r="H19" i="2"/>
  <c r="H18" i="2"/>
  <c r="H16" i="2"/>
  <c r="H15" i="2"/>
  <c r="H14" i="2"/>
  <c r="H13" i="2"/>
  <c r="H12" i="2"/>
  <c r="F43" i="2"/>
  <c r="F41" i="2"/>
  <c r="F39" i="2"/>
  <c r="F38" i="2"/>
  <c r="F37" i="2"/>
  <c r="F36" i="2"/>
  <c r="F30" i="2"/>
  <c r="F28" i="2"/>
  <c r="F23" i="2"/>
  <c r="F18" i="2"/>
  <c r="F15" i="2"/>
  <c r="F34" i="2"/>
  <c r="F32" i="2"/>
  <c r="F29" i="2"/>
  <c r="F26" i="2"/>
  <c r="F25" i="2"/>
  <c r="F22" i="2"/>
  <c r="F20" i="2"/>
  <c r="F12" i="2"/>
  <c r="F31" i="2"/>
  <c r="F27" i="2"/>
  <c r="F24" i="2"/>
  <c r="F19" i="2"/>
  <c r="F16" i="2"/>
  <c r="F14" i="2"/>
  <c r="F13" i="2"/>
  <c r="N43" i="2"/>
  <c r="N41" i="2"/>
  <c r="N39" i="2"/>
  <c r="N38" i="2"/>
  <c r="N37" i="2"/>
  <c r="N36" i="2"/>
  <c r="N34" i="2"/>
  <c r="N32" i="2"/>
  <c r="N31" i="2"/>
  <c r="N30" i="2"/>
  <c r="N29" i="2"/>
  <c r="N28" i="2"/>
  <c r="N27" i="2"/>
  <c r="N26" i="2"/>
  <c r="N25" i="2"/>
  <c r="N24" i="2"/>
  <c r="N23" i="2"/>
  <c r="N22" i="2"/>
  <c r="N20" i="2"/>
  <c r="N19" i="2"/>
  <c r="N18" i="2"/>
  <c r="N16" i="2"/>
  <c r="N15" i="2"/>
  <c r="N14" i="2"/>
  <c r="N13" i="2"/>
  <c r="N12" i="2"/>
  <c r="P43" i="2"/>
  <c r="P41" i="2"/>
  <c r="P39" i="2"/>
  <c r="P38" i="2"/>
  <c r="P37" i="2"/>
  <c r="P36" i="2"/>
  <c r="P34" i="2"/>
  <c r="P32" i="2"/>
  <c r="P31" i="2"/>
  <c r="P30" i="2"/>
  <c r="P29" i="2"/>
  <c r="P28" i="2"/>
  <c r="P27" i="2"/>
  <c r="P26" i="2"/>
  <c r="P25" i="2"/>
  <c r="P24" i="2"/>
  <c r="P23" i="2"/>
  <c r="P22" i="2"/>
  <c r="P20" i="2"/>
  <c r="P19" i="2"/>
  <c r="P18" i="2"/>
  <c r="P16" i="2"/>
  <c r="P15" i="2"/>
  <c r="P14" i="2"/>
  <c r="P13" i="2"/>
  <c r="P12" i="2"/>
  <c r="I43" i="2"/>
  <c r="I41" i="2"/>
  <c r="I39" i="2"/>
  <c r="I38" i="2"/>
  <c r="I37" i="2"/>
  <c r="I36" i="2"/>
  <c r="I34" i="2"/>
  <c r="I32" i="2"/>
  <c r="I31" i="2"/>
  <c r="I30" i="2"/>
  <c r="I29" i="2"/>
  <c r="I28" i="2"/>
  <c r="I27" i="2"/>
  <c r="I26" i="2"/>
  <c r="I25" i="2"/>
  <c r="I24" i="2"/>
  <c r="I23" i="2"/>
  <c r="I22" i="2"/>
  <c r="I20" i="2"/>
  <c r="I19" i="2"/>
  <c r="I18" i="2"/>
  <c r="I16" i="2"/>
  <c r="I15" i="2"/>
  <c r="I14" i="2"/>
  <c r="I13" i="2"/>
  <c r="I12" i="2"/>
  <c r="G43" i="2"/>
  <c r="G41" i="2"/>
  <c r="G39" i="2"/>
  <c r="G38" i="2"/>
  <c r="G37" i="2"/>
  <c r="G36" i="2"/>
  <c r="G34" i="2"/>
  <c r="G32" i="2"/>
  <c r="G31" i="2"/>
  <c r="G30" i="2"/>
  <c r="G29" i="2"/>
  <c r="G28" i="2"/>
  <c r="G27" i="2"/>
  <c r="G26" i="2"/>
  <c r="G25" i="2"/>
  <c r="G24" i="2"/>
  <c r="G23" i="2"/>
  <c r="G22" i="2"/>
  <c r="G20" i="2"/>
  <c r="G19" i="2"/>
  <c r="G18" i="2"/>
  <c r="G16" i="2"/>
  <c r="G15" i="2"/>
  <c r="G14" i="2"/>
  <c r="G13" i="2"/>
  <c r="G12" i="2"/>
  <c r="O43" i="2"/>
  <c r="O41" i="2"/>
  <c r="O39" i="2"/>
  <c r="O38" i="2"/>
  <c r="O37" i="2"/>
  <c r="O36" i="2"/>
  <c r="O34" i="2"/>
  <c r="O32" i="2"/>
  <c r="O31" i="2"/>
  <c r="O30" i="2"/>
  <c r="O29" i="2"/>
  <c r="O28" i="2"/>
  <c r="O27" i="2"/>
  <c r="O26" i="2"/>
  <c r="O25" i="2"/>
  <c r="O24" i="2"/>
  <c r="O23" i="2"/>
  <c r="O22" i="2"/>
  <c r="O20" i="2"/>
  <c r="O19" i="2"/>
  <c r="O18" i="2"/>
  <c r="O16" i="2"/>
  <c r="O15" i="2"/>
  <c r="O14" i="2"/>
  <c r="O13" i="2"/>
  <c r="O12" i="2"/>
  <c r="J43" i="2"/>
  <c r="J41" i="2"/>
  <c r="J39" i="2"/>
  <c r="J38" i="2"/>
  <c r="J37" i="2"/>
  <c r="J36" i="2"/>
  <c r="J34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6" i="2"/>
  <c r="J15" i="2"/>
  <c r="J14" i="2"/>
  <c r="J13" i="2"/>
  <c r="J12" i="2"/>
  <c r="L17" i="5"/>
  <c r="Q17" i="5"/>
  <c r="F17" i="5"/>
  <c r="J17" i="5"/>
  <c r="Q22" i="5"/>
  <c r="Q14" i="5"/>
  <c r="O17" i="5"/>
  <c r="K17" i="5"/>
  <c r="H14" i="5"/>
  <c r="E17" i="5"/>
  <c r="N17" i="5"/>
  <c r="J14" i="5"/>
  <c r="I14" i="5"/>
  <c r="F14" i="5"/>
  <c r="N14" i="5"/>
  <c r="J22" i="5"/>
  <c r="I22" i="5"/>
  <c r="O14" i="5"/>
  <c r="I17" i="5"/>
  <c r="D17" i="5"/>
  <c r="O22" i="5"/>
  <c r="G14" i="5"/>
  <c r="D14" i="5"/>
  <c r="M14" i="5"/>
  <c r="H22" i="5"/>
  <c r="K14" i="5"/>
  <c r="H17" i="5"/>
  <c r="F22" i="5"/>
  <c r="L14" i="5"/>
  <c r="E22" i="5"/>
  <c r="N22" i="5"/>
  <c r="G17" i="5"/>
  <c r="P21" i="5"/>
  <c r="H23" i="8" s="1"/>
  <c r="L23" i="8" s="1"/>
  <c r="E14" i="5"/>
  <c r="P25" i="5"/>
  <c r="H26" i="8" s="1"/>
  <c r="L26" i="8" s="1"/>
  <c r="L22" i="5"/>
  <c r="P26" i="5"/>
  <c r="H27" i="8" s="1"/>
  <c r="L27" i="8" s="1"/>
  <c r="P23" i="5"/>
  <c r="H24" i="8" s="1"/>
  <c r="L24" i="8" s="1"/>
  <c r="D22" i="5"/>
  <c r="P15" i="5"/>
  <c r="G22" i="5"/>
  <c r="M22" i="5"/>
  <c r="K22" i="5"/>
  <c r="P19" i="5"/>
  <c r="P16" i="5"/>
  <c r="P18" i="5"/>
  <c r="M17" i="5"/>
  <c r="P24" i="5"/>
  <c r="H25" i="8" s="1"/>
  <c r="L25" i="8" s="1"/>
  <c r="P20" i="5"/>
  <c r="H22" i="8" s="1"/>
  <c r="L22" i="8" s="1"/>
  <c r="D6" i="2"/>
  <c r="D45" i="2"/>
  <c r="D2" i="2"/>
  <c r="R36" i="8" l="1"/>
  <c r="U36" i="8"/>
  <c r="U42" i="8" s="1"/>
  <c r="I36" i="8"/>
  <c r="I43" i="8" s="1"/>
  <c r="M36" i="8"/>
  <c r="N36" i="8"/>
  <c r="N43" i="8" s="1"/>
  <c r="T36" i="8"/>
  <c r="T43" i="8" s="1"/>
  <c r="L36" i="8"/>
  <c r="AE37" i="8"/>
  <c r="X36" i="8"/>
  <c r="X42" i="8" s="1"/>
  <c r="Y36" i="8"/>
  <c r="Y42" i="8" s="1"/>
  <c r="AE43" i="8"/>
  <c r="P36" i="8"/>
  <c r="P42" i="8" s="1"/>
  <c r="AA36" i="8"/>
  <c r="AA42" i="8" s="1"/>
  <c r="K36" i="8"/>
  <c r="K42" i="8" s="1"/>
  <c r="AE38" i="8"/>
  <c r="AD36" i="8"/>
  <c r="AD38" i="8" s="1"/>
  <c r="Q36" i="8"/>
  <c r="Q43" i="8" s="1"/>
  <c r="J36" i="8"/>
  <c r="J42" i="8" s="1"/>
  <c r="W36" i="8"/>
  <c r="W42" i="8" s="1"/>
  <c r="V36" i="8"/>
  <c r="V43" i="8" s="1"/>
  <c r="H36" i="8"/>
  <c r="H37" i="8" s="1"/>
  <c r="AC36" i="8"/>
  <c r="AC37" i="8" s="1"/>
  <c r="S36" i="8"/>
  <c r="S42" i="8" s="1"/>
  <c r="Z36" i="8"/>
  <c r="Z43" i="8" s="1"/>
  <c r="AB36" i="8"/>
  <c r="AB38" i="8" s="1"/>
  <c r="AE42" i="8"/>
  <c r="O42" i="8"/>
  <c r="M42" i="8"/>
  <c r="M43" i="8"/>
  <c r="R43" i="8"/>
  <c r="R42" i="8"/>
  <c r="H42" i="8"/>
  <c r="W43" i="8"/>
  <c r="L43" i="8"/>
  <c r="L42" i="8"/>
  <c r="J27" i="8"/>
  <c r="I27" i="8" s="1"/>
  <c r="J25" i="8"/>
  <c r="I25" i="8" s="1"/>
  <c r="J26" i="8"/>
  <c r="I26" i="8" s="1"/>
  <c r="J24" i="8"/>
  <c r="I24" i="8" s="1"/>
  <c r="AA37" i="8"/>
  <c r="AA38" i="8"/>
  <c r="H13" i="5"/>
  <c r="H27" i="5" s="1"/>
  <c r="E13" i="5"/>
  <c r="E27" i="5" s="1"/>
  <c r="L13" i="5"/>
  <c r="L27" i="5" s="1"/>
  <c r="Q13" i="5"/>
  <c r="Q27" i="5" s="1"/>
  <c r="F13" i="5"/>
  <c r="F27" i="5" s="1"/>
  <c r="K13" i="5"/>
  <c r="K27" i="5" s="1"/>
  <c r="J13" i="5"/>
  <c r="J27" i="5" s="1"/>
  <c r="O13" i="5"/>
  <c r="O27" i="5" s="1"/>
  <c r="N13" i="5"/>
  <c r="N27" i="5" s="1"/>
  <c r="I13" i="5"/>
  <c r="I27" i="5" s="1"/>
  <c r="D13" i="5"/>
  <c r="D27" i="5" s="1"/>
  <c r="G13" i="5"/>
  <c r="G27" i="5" s="1"/>
  <c r="P14" i="5"/>
  <c r="H20" i="8" s="1"/>
  <c r="L20" i="8" s="1"/>
  <c r="P22" i="5"/>
  <c r="P17" i="5"/>
  <c r="H21" i="8" s="1"/>
  <c r="L21" i="8" s="1"/>
  <c r="M13" i="5"/>
  <c r="M27" i="5" s="1"/>
  <c r="E35" i="2"/>
  <c r="K35" i="2"/>
  <c r="I17" i="2"/>
  <c r="H17" i="2"/>
  <c r="H11" i="2"/>
  <c r="E17" i="2"/>
  <c r="M11" i="2"/>
  <c r="F21" i="2"/>
  <c r="E11" i="2"/>
  <c r="F35" i="2"/>
  <c r="Q12" i="2"/>
  <c r="H5" i="8" s="1"/>
  <c r="L5" i="8" s="1"/>
  <c r="L11" i="2"/>
  <c r="Q43" i="2"/>
  <c r="H32" i="5" s="1"/>
  <c r="F33" i="2"/>
  <c r="F17" i="2"/>
  <c r="M17" i="2"/>
  <c r="L17" i="2"/>
  <c r="K17" i="2"/>
  <c r="G11" i="2"/>
  <c r="Q37" i="2"/>
  <c r="H14" i="8" s="1"/>
  <c r="L14" i="8" s="1"/>
  <c r="F11" i="2"/>
  <c r="L21" i="2"/>
  <c r="M21" i="2"/>
  <c r="Q32" i="2"/>
  <c r="E33" i="2"/>
  <c r="G17" i="2"/>
  <c r="L35" i="2"/>
  <c r="Q26" i="2"/>
  <c r="P21" i="2"/>
  <c r="O17" i="2"/>
  <c r="O21" i="2"/>
  <c r="N17" i="2"/>
  <c r="N21" i="2"/>
  <c r="Q31" i="2"/>
  <c r="K11" i="2"/>
  <c r="Q24" i="2"/>
  <c r="H10" i="8" s="1"/>
  <c r="L10" i="8" s="1"/>
  <c r="O11" i="2"/>
  <c r="J17" i="2"/>
  <c r="I11" i="2"/>
  <c r="J35" i="2"/>
  <c r="I35" i="2"/>
  <c r="H35" i="2"/>
  <c r="J11" i="2"/>
  <c r="E21" i="2"/>
  <c r="G33" i="2"/>
  <c r="G21" i="2"/>
  <c r="G35" i="2"/>
  <c r="Q13" i="2"/>
  <c r="Q39" i="2"/>
  <c r="H16" i="8" s="1"/>
  <c r="L16" i="8" s="1"/>
  <c r="Q38" i="2"/>
  <c r="H15" i="8" s="1"/>
  <c r="L15" i="8" s="1"/>
  <c r="Q14" i="2"/>
  <c r="Q22" i="2"/>
  <c r="H8" i="8" s="1"/>
  <c r="L8" i="8" s="1"/>
  <c r="N11" i="2"/>
  <c r="J21" i="2"/>
  <c r="J33" i="2"/>
  <c r="I21" i="2"/>
  <c r="I33" i="2"/>
  <c r="H21" i="2"/>
  <c r="H33" i="2"/>
  <c r="Q27" i="2"/>
  <c r="Q18" i="2"/>
  <c r="H6" i="8" s="1"/>
  <c r="L6" i="8" s="1"/>
  <c r="Q15" i="2"/>
  <c r="N33" i="2"/>
  <c r="Q25" i="2"/>
  <c r="H11" i="8" s="1"/>
  <c r="L11" i="8" s="1"/>
  <c r="Q41" i="2"/>
  <c r="H31" i="5" s="1"/>
  <c r="Q28" i="2"/>
  <c r="Q36" i="2"/>
  <c r="H13" i="8" s="1"/>
  <c r="L13" i="8" s="1"/>
  <c r="L33" i="2"/>
  <c r="P33" i="2"/>
  <c r="Q29" i="2"/>
  <c r="Q16" i="2"/>
  <c r="Q34" i="2"/>
  <c r="H12" i="8" s="1"/>
  <c r="L12" i="8" s="1"/>
  <c r="O33" i="2"/>
  <c r="Q19" i="2"/>
  <c r="H7" i="8" s="1"/>
  <c r="L7" i="8" s="1"/>
  <c r="P35" i="2"/>
  <c r="O35" i="2"/>
  <c r="N35" i="2"/>
  <c r="P11" i="2"/>
  <c r="P17" i="2"/>
  <c r="K21" i="2"/>
  <c r="K33" i="2"/>
  <c r="Q30" i="2"/>
  <c r="Q20" i="2"/>
  <c r="M35" i="2"/>
  <c r="M33" i="2"/>
  <c r="Q23" i="2"/>
  <c r="H9" i="8" s="1"/>
  <c r="L9" i="8" s="1"/>
  <c r="AA43" i="8" l="1"/>
  <c r="AA44" i="8" s="1"/>
  <c r="AB42" i="8"/>
  <c r="H43" i="8"/>
  <c r="Y43" i="8"/>
  <c r="N42" i="8"/>
  <c r="U43" i="8"/>
  <c r="I42" i="8"/>
  <c r="AD37" i="8"/>
  <c r="AD39" i="8" s="1"/>
  <c r="X43" i="8"/>
  <c r="T42" i="8"/>
  <c r="J43" i="8"/>
  <c r="P43" i="8"/>
  <c r="AE39" i="8"/>
  <c r="AE44" i="8"/>
  <c r="K43" i="8"/>
  <c r="V42" i="8"/>
  <c r="AC38" i="8"/>
  <c r="AC39" i="8" s="1"/>
  <c r="AC43" i="8"/>
  <c r="AC42" i="8"/>
  <c r="AD43" i="8"/>
  <c r="Q42" i="8"/>
  <c r="Z42" i="8"/>
  <c r="AD42" i="8"/>
  <c r="S43" i="8"/>
  <c r="AB43" i="8"/>
  <c r="AB37" i="8"/>
  <c r="AB39" i="8" s="1"/>
  <c r="J20" i="8"/>
  <c r="I20" i="8" s="1"/>
  <c r="J23" i="8"/>
  <c r="I23" i="8" s="1"/>
  <c r="J22" i="8"/>
  <c r="I22" i="8" s="1"/>
  <c r="J21" i="8"/>
  <c r="I21" i="8" s="1"/>
  <c r="J15" i="8"/>
  <c r="I15" i="8" s="1"/>
  <c r="J14" i="8"/>
  <c r="I14" i="8" s="1"/>
  <c r="J16" i="8"/>
  <c r="I16" i="8" s="1"/>
  <c r="J13" i="8"/>
  <c r="I13" i="8" s="1"/>
  <c r="J12" i="8"/>
  <c r="I12" i="8" s="1"/>
  <c r="J6" i="8"/>
  <c r="I6" i="8" s="1"/>
  <c r="J11" i="8"/>
  <c r="I11" i="8" s="1"/>
  <c r="J10" i="8"/>
  <c r="I10" i="8" s="1"/>
  <c r="J8" i="8"/>
  <c r="I8" i="8" s="1"/>
  <c r="J9" i="8"/>
  <c r="I9" i="8" s="1"/>
  <c r="J7" i="8"/>
  <c r="I7" i="8" s="1"/>
  <c r="J5" i="8"/>
  <c r="I5" i="8" s="1"/>
  <c r="AA39" i="8"/>
  <c r="Z38" i="8"/>
  <c r="Z37" i="8"/>
  <c r="P13" i="5"/>
  <c r="P27" i="5"/>
  <c r="H34" i="5" s="1"/>
  <c r="C5" i="8" s="1"/>
  <c r="E40" i="2"/>
  <c r="E42" i="2" s="1"/>
  <c r="E44" i="2" s="1"/>
  <c r="K40" i="2"/>
  <c r="K42" i="2" s="1"/>
  <c r="K44" i="2" s="1"/>
  <c r="H40" i="2"/>
  <c r="H42" i="2" s="1"/>
  <c r="H44" i="2" s="1"/>
  <c r="M40" i="2"/>
  <c r="M42" i="2" s="1"/>
  <c r="M44" i="2" s="1"/>
  <c r="F40" i="2"/>
  <c r="F42" i="2" s="1"/>
  <c r="F44" i="2" s="1"/>
  <c r="L40" i="2"/>
  <c r="L42" i="2" s="1"/>
  <c r="L44" i="2" s="1"/>
  <c r="G40" i="2"/>
  <c r="G42" i="2" s="1"/>
  <c r="G44" i="2" s="1"/>
  <c r="P40" i="2"/>
  <c r="P42" i="2" s="1"/>
  <c r="P44" i="2" s="1"/>
  <c r="Q17" i="2"/>
  <c r="O40" i="2"/>
  <c r="O42" i="2" s="1"/>
  <c r="O44" i="2" s="1"/>
  <c r="I40" i="2"/>
  <c r="I42" i="2" s="1"/>
  <c r="I44" i="2" s="1"/>
  <c r="Q33" i="2"/>
  <c r="Q21" i="2"/>
  <c r="Q11" i="2"/>
  <c r="Q35" i="2"/>
  <c r="N40" i="2"/>
  <c r="N42" i="2" s="1"/>
  <c r="N44" i="2" s="1"/>
  <c r="J40" i="2"/>
  <c r="J42" i="2" s="1"/>
  <c r="J44" i="2" s="1"/>
  <c r="AB44" i="8" l="1"/>
  <c r="AC44" i="8"/>
  <c r="AD44" i="8"/>
  <c r="Z44" i="8"/>
  <c r="Z39" i="8"/>
  <c r="Y37" i="8"/>
  <c r="Y38" i="8"/>
  <c r="Q44" i="2"/>
  <c r="Q40" i="2"/>
  <c r="H30" i="5" s="1"/>
  <c r="H33" i="5" s="1"/>
  <c r="Q42" i="2"/>
  <c r="Y44" i="8" l="1"/>
  <c r="X37" i="8"/>
  <c r="X38" i="8"/>
  <c r="Y39" i="8"/>
  <c r="H37" i="5"/>
  <c r="C8" i="8" s="1"/>
  <c r="H36" i="5"/>
  <c r="C7" i="8" s="1"/>
  <c r="O34" i="5"/>
  <c r="D5" i="8" s="1"/>
  <c r="H35" i="5"/>
  <c r="C6" i="8" s="1"/>
  <c r="X44" i="8" l="1"/>
  <c r="X39" i="8"/>
  <c r="W37" i="8"/>
  <c r="W38" i="8"/>
  <c r="D10" i="8"/>
  <c r="W44" i="8" l="1"/>
  <c r="W39" i="8"/>
  <c r="V38" i="8"/>
  <c r="V37" i="8"/>
  <c r="D9" i="8"/>
  <c r="V39" i="8" l="1"/>
  <c r="V44" i="8"/>
  <c r="U38" i="8"/>
  <c r="U37" i="8"/>
  <c r="T38" i="8" l="1"/>
  <c r="T37" i="8"/>
  <c r="U39" i="8"/>
  <c r="U44" i="8"/>
  <c r="T39" i="8" l="1"/>
  <c r="AE40" i="8" s="1"/>
  <c r="T44" i="8"/>
  <c r="AE45" i="8" s="1"/>
  <c r="S37" i="8"/>
  <c r="S38" i="8"/>
  <c r="AE47" i="8" l="1"/>
  <c r="AE49" i="8" s="1"/>
  <c r="R38" i="8"/>
  <c r="R37" i="8"/>
  <c r="S39" i="8"/>
  <c r="AD40" i="8" s="1"/>
  <c r="S44" i="8"/>
  <c r="AD45" i="8" s="1"/>
  <c r="AD47" i="8" l="1"/>
  <c r="AD49" i="8" s="1"/>
  <c r="R39" i="8"/>
  <c r="AC40" i="8" s="1"/>
  <c r="R44" i="8"/>
  <c r="AC45" i="8" s="1"/>
  <c r="Q38" i="8"/>
  <c r="Q37" i="8"/>
  <c r="AC47" i="8" l="1"/>
  <c r="AC49" i="8" s="1"/>
  <c r="Q39" i="8"/>
  <c r="AB40" i="8" s="1"/>
  <c r="Q44" i="8"/>
  <c r="AB45" i="8" s="1"/>
  <c r="P37" i="8"/>
  <c r="P38" i="8"/>
  <c r="AB47" i="8" l="1"/>
  <c r="AB49" i="8" s="1"/>
  <c r="P39" i="8"/>
  <c r="AA40" i="8" s="1"/>
  <c r="P44" i="8"/>
  <c r="AA45" i="8" s="1"/>
  <c r="O37" i="8"/>
  <c r="O38" i="8"/>
  <c r="AA47" i="8" l="1"/>
  <c r="AA49" i="8" s="1"/>
  <c r="O44" i="8"/>
  <c r="Z45" i="8" s="1"/>
  <c r="O39" i="8"/>
  <c r="Z40" i="8" s="1"/>
  <c r="N38" i="8"/>
  <c r="N37" i="8"/>
  <c r="N39" i="8" l="1"/>
  <c r="Y40" i="8" s="1"/>
  <c r="M38" i="8"/>
  <c r="M37" i="8"/>
  <c r="Z47" i="8"/>
  <c r="Z49" i="8" s="1"/>
  <c r="N44" i="8"/>
  <c r="Y45" i="8" s="1"/>
  <c r="Y47" i="8" l="1"/>
  <c r="Y49" i="8" s="1"/>
  <c r="M44" i="8"/>
  <c r="X45" i="8" s="1"/>
  <c r="M39" i="8"/>
  <c r="X40" i="8" s="1"/>
  <c r="L38" i="8"/>
  <c r="L37" i="8"/>
  <c r="X47" i="8" l="1"/>
  <c r="X49" i="8" s="1"/>
  <c r="L39" i="8"/>
  <c r="W40" i="8" s="1"/>
  <c r="K38" i="8"/>
  <c r="K37" i="8"/>
  <c r="L44" i="8"/>
  <c r="W45" i="8" s="1"/>
  <c r="W47" i="8" l="1"/>
  <c r="W49" i="8" s="1"/>
  <c r="K39" i="8"/>
  <c r="V40" i="8" s="1"/>
  <c r="J37" i="8"/>
  <c r="J38" i="8"/>
  <c r="K44" i="8"/>
  <c r="V45" i="8" s="1"/>
  <c r="V47" i="8" l="1"/>
  <c r="V49" i="8" s="1"/>
  <c r="J39" i="8"/>
  <c r="U40" i="8" s="1"/>
  <c r="I37" i="8"/>
  <c r="I38" i="8"/>
  <c r="J44" i="8"/>
  <c r="U45" i="8" s="1"/>
  <c r="I44" i="8" l="1"/>
  <c r="T45" i="8" s="1"/>
  <c r="U47" i="8"/>
  <c r="U49" i="8" s="1"/>
  <c r="H38" i="8"/>
  <c r="I39" i="8"/>
  <c r="T40" i="8" s="1"/>
  <c r="T47" i="8" l="1"/>
  <c r="T49" i="8" s="1"/>
  <c r="H44" i="8"/>
  <c r="S45" i="8" s="1"/>
  <c r="H39" i="8"/>
</calcChain>
</file>

<file path=xl/sharedStrings.xml><?xml version="1.0" encoding="utf-8"?>
<sst xmlns="http://schemas.openxmlformats.org/spreadsheetml/2006/main" count="855" uniqueCount="360">
  <si>
    <t>Discriminação</t>
  </si>
  <si>
    <t>Filtro</t>
  </si>
  <si>
    <t>Município de Independência/RS</t>
  </si>
  <si>
    <t>RELATÓRIO RESUMIDO DA EXECUÇÃO ORÇAMENTÁRIA</t>
  </si>
  <si>
    <t>DEMONSTRATIVO DA RECEITA CORRENTE LÍQUIDA</t>
  </si>
  <si>
    <t>ORÇAMENTOS FISCAL E DA SEGURIDADE SOCIAL</t>
  </si>
  <si>
    <t>RREO - Anexo 3 (LRF, art. 53, inciso I)</t>
  </si>
  <si>
    <t>EVOLUÇÃO DA RECEITA REALIZADA NOS ÚLTIMOS 12 MESES</t>
  </si>
  <si>
    <t>TOTAL</t>
  </si>
  <si>
    <t>(últimos 12 meses)</t>
  </si>
  <si>
    <t>PREVISÃO ATUALIZADA</t>
  </si>
  <si>
    <t>Parâmetro</t>
  </si>
  <si>
    <t>Valor</t>
  </si>
  <si>
    <t>Data-Base</t>
  </si>
  <si>
    <t>em Reais</t>
  </si>
  <si>
    <t>ESPECIFICAÇÃO</t>
  </si>
  <si>
    <t>Ente</t>
  </si>
  <si>
    <t>RECEITAS CORRENTES (I)</t>
  </si>
  <si>
    <t>Impostos, Taxas e Contribuições de Melhoria</t>
  </si>
  <si>
    <t>IPTU</t>
  </si>
  <si>
    <t>ISS</t>
  </si>
  <si>
    <t>ITBI</t>
  </si>
  <si>
    <t>IRRF</t>
  </si>
  <si>
    <t>Outros impostos, Taxas e Contribuições de Melhoria</t>
  </si>
  <si>
    <t>Contribuições</t>
  </si>
  <si>
    <t>Receita Patrimonial</t>
  </si>
  <si>
    <t>Rendimentos de Aplicação Financeira</t>
  </si>
  <si>
    <t>Outras Receitas Patrimoniais</t>
  </si>
  <si>
    <t>Receita Agropecuária</t>
  </si>
  <si>
    <t>Receita Industrial</t>
  </si>
  <si>
    <t>Receita de Serviços</t>
  </si>
  <si>
    <t>Transferências Correntes</t>
  </si>
  <si>
    <t>Cota-parte do FPM</t>
  </si>
  <si>
    <t>Cota-parte do ICMS</t>
  </si>
  <si>
    <t>Cota-parte do IPVA</t>
  </si>
  <si>
    <t>Cota-parte do ITR</t>
  </si>
  <si>
    <t>Transferências da LC 87/1996</t>
  </si>
  <si>
    <t>Transferências da LC 61/1989</t>
  </si>
  <si>
    <t>Transferências do FUNDEB</t>
  </si>
  <si>
    <t>Outras Transferências Correntes</t>
  </si>
  <si>
    <t>Outras Receitas Correntes</t>
  </si>
  <si>
    <t>DEDUÇÕES (II)</t>
  </si>
  <si>
    <t>Contrib. Do Servidor para o Plano de Previdência</t>
  </si>
  <si>
    <t>Compensação Financ. Entre Regimes de Previdência</t>
  </si>
  <si>
    <t>Rendimentos de Aplicações de Recursos Previdenciários</t>
  </si>
  <si>
    <t>Dedução de Receita para a Formação do FUNDEB</t>
  </si>
  <si>
    <t>RECEITA CORRENTE LÍQUIDA (III) = (I - II)</t>
  </si>
  <si>
    <t>(-) Transferências obrigatórias da União relativas às emendas individuais (art. 166-A, § 1º da CF) (IV)</t>
  </si>
  <si>
    <t>RECEITA CORRENTE LÍQUIDA AJUSTADA PARA CÁLCULO DOS LIMITES DE ENDIVIDAMENTO (V) = (III - IV)</t>
  </si>
  <si>
    <t>(-) Transferências obrigatórias da União relativas às emendas de bancada (art. 166, § 16 da CF) (VI)</t>
  </si>
  <si>
    <t>RECEITA CORRENTE LÍQUIDA AJUSTADA PARA CÁLCULO DOS LIMITES DA DESPESA COM PESSOAL (VII) = (V - VI)</t>
  </si>
  <si>
    <t>Sistema</t>
  </si>
  <si>
    <t>Unidade responsável</t>
  </si>
  <si>
    <t>MS Excel 2019</t>
  </si>
  <si>
    <t>Serviço de Contabilidade</t>
  </si>
  <si>
    <t>NOTA:</t>
  </si>
  <si>
    <t>Marcador de linha</t>
  </si>
  <si>
    <t>iptu</t>
  </si>
  <si>
    <t>iss</t>
  </si>
  <si>
    <t>itbi</t>
  </si>
  <si>
    <t>irrf</t>
  </si>
  <si>
    <t>tributária</t>
  </si>
  <si>
    <t>contribuicoes</t>
  </si>
  <si>
    <t>patrimonial</t>
  </si>
  <si>
    <t>industrial</t>
  </si>
  <si>
    <t>fpm</t>
  </si>
  <si>
    <t>icms</t>
  </si>
  <si>
    <t>ipva</t>
  </si>
  <si>
    <t>itr</t>
  </si>
  <si>
    <t>fundeb</t>
  </si>
  <si>
    <t>rendimentos</t>
  </si>
  <si>
    <t>agropecuaria</t>
  </si>
  <si>
    <t>servicos</t>
  </si>
  <si>
    <t>transf_correntes</t>
  </si>
  <si>
    <t>ipi_exp</t>
  </si>
  <si>
    <t>kandir</t>
  </si>
  <si>
    <t>outras_correntes</t>
  </si>
  <si>
    <t>contrib_servidor</t>
  </si>
  <si>
    <t>compensacao_financeira</t>
  </si>
  <si>
    <t>rendimentos_rpps</t>
  </si>
  <si>
    <t>deducao_fundeb</t>
  </si>
  <si>
    <t>emendas_individuais</t>
  </si>
  <si>
    <t>emendas_bancada</t>
  </si>
  <si>
    <t>Cota-parte do FPM mensal</t>
  </si>
  <si>
    <t>Cota-parte do FPM julho</t>
  </si>
  <si>
    <t>Cota-parte do FPM dezembro</t>
  </si>
  <si>
    <t>Emendas individuais</t>
  </si>
  <si>
    <t>Emendas de bancada</t>
  </si>
  <si>
    <t>Última Previsão</t>
  </si>
  <si>
    <t>RELATÓRIO DE GESTÃO FISCAL</t>
  </si>
  <si>
    <t>Órgão</t>
  </si>
  <si>
    <t>Poder Executivo</t>
  </si>
  <si>
    <t>DEMONSTRATIVO DA DESPESA COM PESSOAL</t>
  </si>
  <si>
    <t>RGF - Anexo 1 (LRF, art. 55, inciso I, alínea "a")</t>
  </si>
  <si>
    <t>DESPESAS COM PESSOAL</t>
  </si>
  <si>
    <t>LIQUIDADAS</t>
  </si>
  <si>
    <t>DESPESAS EXECUTADAS
(ùltimos 12 meses)</t>
  </si>
  <si>
    <t>TOTAL
(últimos 12 meses)
(a)</t>
  </si>
  <si>
    <t>INSCRITAS EM RESTOS A 
PAGAR NÃO PROCESSADOS
(b)</t>
  </si>
  <si>
    <t>DESPESA BRUTA COM PESSOAL (I)</t>
  </si>
  <si>
    <t>Pessoal Ativo</t>
  </si>
  <si>
    <t>Vencimentos, Vantagens e Outras Despesas Variáveis</t>
  </si>
  <si>
    <t>Obrigações Patronais</t>
  </si>
  <si>
    <t>Pessoal Inativo e Pensionista</t>
  </si>
  <si>
    <t>Aposentadorias, Reservas e Reformas</t>
  </si>
  <si>
    <t>Pensões</t>
  </si>
  <si>
    <t>Outras Despesas de Pessoal Decorrentes de Contratos de Terceirização ou de Contratação de Forma Indireta (§ 1º do art. 18 da LRF)</t>
  </si>
  <si>
    <t>DESPESAS NÃO COMPUTADAS (II) (§ 1º do art. 19 da LRF)</t>
  </si>
  <si>
    <t>Indenizações por Demissão e Incentivos à Demissão Voluntária</t>
  </si>
  <si>
    <t>Decorrentes de Decisão Judicial de Período Anterior ao da Apuração</t>
  </si>
  <si>
    <t>Despesas de Exercícios Anteriores de Período Anterior ao da Apuração</t>
  </si>
  <si>
    <t>Inativos e Pensionistas com Recursos Vinculados</t>
  </si>
  <si>
    <t>DESPESA LÍQUIDA COM PESSOAL (III) = (I - II)</t>
  </si>
  <si>
    <t>Despesa com Pessoal Não Executada Orçamentariamente</t>
  </si>
  <si>
    <t>ativo_vencimentos</t>
  </si>
  <si>
    <t>ativo_patronal</t>
  </si>
  <si>
    <t>aposentadorias</t>
  </si>
  <si>
    <t>pensoes</t>
  </si>
  <si>
    <t>terceirizacao</t>
  </si>
  <si>
    <t>não_orcamentaria</t>
  </si>
  <si>
    <t>demissao</t>
  </si>
  <si>
    <t>judicial</t>
  </si>
  <si>
    <t>anos_anteriores</t>
  </si>
  <si>
    <t>inativos_pensionistas_vinculados</t>
  </si>
  <si>
    <t>Outras Despesas de Pessoal Decorrentes de Contratos de Terceirização - Substituição de mão de obra (art. 18, § 1º da LRF)</t>
  </si>
  <si>
    <t>Aposentadorias do RPPS, Reserva Remunerada e Reformas dos Militares (com recursos do RPPS)</t>
  </si>
  <si>
    <t>Pensões do RPPS e do Militar (com recursos do RPPS)</t>
  </si>
  <si>
    <t>Sentenças Judiciais</t>
  </si>
  <si>
    <t>Despesas de Exercícios Anteriores</t>
  </si>
  <si>
    <t>Indenizações e Restituições Trabalhistas</t>
  </si>
  <si>
    <t>Recursos para Cobertura de Insuficiências Financeiras</t>
  </si>
  <si>
    <t>NDO=3.1.90.01.*;RV=0050</t>
  </si>
  <si>
    <t>NDO=3.1.90.03.*;RV=0050</t>
  </si>
  <si>
    <t>NRO=1.1.*</t>
  </si>
  <si>
    <t>NRO=1.1.1.3.03.*</t>
  </si>
  <si>
    <t>NRO=1.1.1.8.01.1.*</t>
  </si>
  <si>
    <t>NRO=1.1.1.8.01.4.1.*</t>
  </si>
  <si>
    <t>NRO=1.1.1.8.02.3.*</t>
  </si>
  <si>
    <t>NRO=1.2.*</t>
  </si>
  <si>
    <t>NRO=1.2.1.8.*</t>
  </si>
  <si>
    <t>NRO=1.3.*</t>
  </si>
  <si>
    <t>NRO=1.3.2.1.*</t>
  </si>
  <si>
    <t>NRO=1.3.2.1.00.4.*</t>
  </si>
  <si>
    <t>NRO=1.4.*</t>
  </si>
  <si>
    <t>NRO=1.5.*</t>
  </si>
  <si>
    <t>NRO=1.6.*</t>
  </si>
  <si>
    <t>NRO=1.7.*</t>
  </si>
  <si>
    <t>NRO=1.7.1.8.01.2.*</t>
  </si>
  <si>
    <t>NRO=1.7.1.8.01.3.*</t>
  </si>
  <si>
    <t>NRO=1.7.1.8.01.4.*</t>
  </si>
  <si>
    <t>NRO=1.7.1.8.01.5.*</t>
  </si>
  <si>
    <t>NRO=1.7.1.8.06.*</t>
  </si>
  <si>
    <t>NRO=1.7.2.8.01.1.*</t>
  </si>
  <si>
    <t>NRO=1.7.2.8.01.2.*</t>
  </si>
  <si>
    <t>NRO=1.7.2.8.01.3.*</t>
  </si>
  <si>
    <t>NRO=1.7.5.8.01.*</t>
  </si>
  <si>
    <t>NRO=1.9.*</t>
  </si>
  <si>
    <t>NRO=1.9.9.0.03.*</t>
  </si>
  <si>
    <t>NRO=1.7.1.*;CO=3110</t>
  </si>
  <si>
    <t>NRO=1.7.1.*;CO=3140</t>
  </si>
  <si>
    <t>NRO=1.7.1.*;CO=3120</t>
  </si>
  <si>
    <t>NRO=1.7.1.*;CO=3150</t>
  </si>
  <si>
    <t>CC=3.5.1.3.2.01.01.*</t>
  </si>
  <si>
    <t>Recurso para Cobertura de Déficit Financeiro</t>
  </si>
  <si>
    <t>CC=3.5.1.3.2.02.01.*</t>
  </si>
  <si>
    <t>Execução em consórcios 1º bimestre</t>
  </si>
  <si>
    <t>Execução em consórcios 2º bimestre</t>
  </si>
  <si>
    <t>Execução em consórcios 3º bimestre</t>
  </si>
  <si>
    <t>Execução em consórcios 4º bimestre</t>
  </si>
  <si>
    <t>Execução em consórcios 5º bimestre</t>
  </si>
  <si>
    <t>Execução em consórcios 6º bimestre</t>
  </si>
  <si>
    <t>Execução em consórcios - ano anterior - maio a dezembro</t>
  </si>
  <si>
    <t>Execução em consórcios - ano anterior - julho a dezembro</t>
  </si>
  <si>
    <t>Execução em consórcios - ano anterior - setembro a dezembro</t>
  </si>
  <si>
    <t>Despesa com pessoal não executada orçamentariamente</t>
  </si>
  <si>
    <t>Despesa com pessoal nas entidades com contrato de gestão</t>
  </si>
  <si>
    <t>CC=8.5.3.2.4.02.01.*</t>
  </si>
  <si>
    <t>CC=8.5.3.2.4.02.02.*</t>
  </si>
  <si>
    <t>CC=8.5.3.2.4.02.03.*</t>
  </si>
  <si>
    <t>CC=8.5.3.2.4.02.04.*</t>
  </si>
  <si>
    <t>CC=8.5.3.2.4.02.05.*</t>
  </si>
  <si>
    <t>CC=8.5.3.2.4.02.06.*</t>
  </si>
  <si>
    <t>CC=8.5.3.2.4.01.01.*</t>
  </si>
  <si>
    <t>CC=8.5.3.2.4.01.02.*</t>
  </si>
  <si>
    <t>CC=8.5.3.2.4.01.03.*</t>
  </si>
  <si>
    <t>CC=8.6.3.3.1.*</t>
  </si>
  <si>
    <t>CC=8.6.3.3.2.*</t>
  </si>
  <si>
    <t>NDO=3.1.90.01.*</t>
  </si>
  <si>
    <t>NDO=3.1.90.03.*</t>
  </si>
  <si>
    <t>APURAÇÃO DO CUMPRIMENTO DO LIMITE LEGAL</t>
  </si>
  <si>
    <t>VALOR</t>
  </si>
  <si>
    <t>% SOBRE A RCL AJUSTADA</t>
  </si>
  <si>
    <t>RECEITA CORRENTE LÍQUIDA - RCL (IV)</t>
  </si>
  <si>
    <t>(-) Transferências obrigatórias da União relativas às emendas individuais (art. 166-A, § 1º da CF) (V)</t>
  </si>
  <si>
    <t>RECEITA CORRENTE LÍQUIDA AJUSTADA PARA CÁLCULO DOS LIMITES DA DESPESA COM PESSOAL (VII) = (IV - V - VI)</t>
  </si>
  <si>
    <t>DESPESA TOTAL COM PESSOAL - DTP (VIII) = (IIIa + IIIb)</t>
  </si>
  <si>
    <t>LIMITE MÁXIMO (IX) (incisos I, II e III, art. 20 da LRF)</t>
  </si>
  <si>
    <t>LIMITE PRUDENCIAL (X) = (0,95 x IX) (parágrafo único do art. 22 da LRF)</t>
  </si>
  <si>
    <t>LIMITE DE ALERTA (XI) = 0,90 x IX) (inciso II do § 1º do art. 59 da LRF)</t>
  </si>
  <si>
    <t>Limite máximo da DTP</t>
  </si>
  <si>
    <t>NRO=9.1.1.*;CP&lt;&gt;105</t>
  </si>
  <si>
    <t>NRO=9.1.1.1.3.03.*;CP&lt;&gt;105</t>
  </si>
  <si>
    <t>NRO=9.1.1.1.8.01.1.*;CP&lt;&gt;105</t>
  </si>
  <si>
    <t>NRO=9.1.1.1.8.01.4.1.*;CP&lt;&gt;105</t>
  </si>
  <si>
    <t>NRO=9.1.1.1.8.02.3.*;CP&lt;&gt;105</t>
  </si>
  <si>
    <t>NRO=9.1.2.*;CP&lt;&gt;105</t>
  </si>
  <si>
    <t>NRO=9.1.2.1.8.*;CP&lt;&gt;105</t>
  </si>
  <si>
    <t>NRO=9.1.3.*;CP&lt;&gt;105</t>
  </si>
  <si>
    <t>NRO=9.1.3.2.1.*;CP&lt;&gt;105</t>
  </si>
  <si>
    <t>NRO=9.1.3.2.1.00.4.*;CP&lt;&gt;105</t>
  </si>
  <si>
    <t>NRO=9.1.4.*;CP&lt;&gt;105</t>
  </si>
  <si>
    <t>NRO=9.1.5.*;CP&lt;&gt;105</t>
  </si>
  <si>
    <t>NRO=9.1.6.*;CP&lt;&gt;105</t>
  </si>
  <si>
    <t>NRO=9.1.7.*;CP&lt;&gt;105</t>
  </si>
  <si>
    <t>NRO=9.1.7.1.8.01.2.*;CP&lt;&gt;105</t>
  </si>
  <si>
    <t>NRO=9.1.7.1.8.01.3.*;CP&lt;&gt;105</t>
  </si>
  <si>
    <t>NRO=9.1.7.1.8.01.4.*;CP&lt;&gt;105</t>
  </si>
  <si>
    <t>NRO=9.1.7.1.8.01.5.*;CP&lt;&gt;105</t>
  </si>
  <si>
    <t>NRO=9.1.7.1.8.06.*;CP&lt;&gt;105</t>
  </si>
  <si>
    <t>NRO=9.1.7.2.8.01.1.*;CP&lt;&gt;105</t>
  </si>
  <si>
    <t>NRO=9.1.7.2.8.01.2.*;CP&lt;&gt;105</t>
  </si>
  <si>
    <t>NRO=9.1.7.2.8.01.3.*;CP&lt;&gt;105</t>
  </si>
  <si>
    <t>NRO=9.1.7.5.8.01.*;CP&lt;&gt;105</t>
  </si>
  <si>
    <t>NRO=9.1.9.*;CP&lt;&gt;105</t>
  </si>
  <si>
    <t>NRO=9.1.9.9.0.03.*;CP&lt;&gt;105</t>
  </si>
  <si>
    <t>NRO=9.1.7.*;CP=105</t>
  </si>
  <si>
    <t>NRO=9.1.7.1.*;CO=3110;CP&lt;&gt;105</t>
  </si>
  <si>
    <t>NRO=9.1.7.1.*;CO=3140;CP&lt;&gt;105</t>
  </si>
  <si>
    <t>NRO=9.1.7.1.*;CO=3120;CP&lt;&gt;105</t>
  </si>
  <si>
    <t>NRO=9.1.7.1.*;CO=3150;CP&lt;&gt;105</t>
  </si>
  <si>
    <t>Índice atual</t>
  </si>
  <si>
    <t>Limite máximo</t>
  </si>
  <si>
    <t>Limite prudencial</t>
  </si>
  <si>
    <t>Limite de alerta</t>
  </si>
  <si>
    <t>%</t>
  </si>
  <si>
    <t>R$</t>
  </si>
  <si>
    <t>Diferença até o limite máximo</t>
  </si>
  <si>
    <t>Extrapolou o limite máximo</t>
  </si>
  <si>
    <t>deduz</t>
  </si>
  <si>
    <t>Deduções</t>
  </si>
  <si>
    <t>RCL Ajustada</t>
  </si>
  <si>
    <t>DTP</t>
  </si>
  <si>
    <t>soma</t>
  </si>
  <si>
    <t>auxiliar</t>
  </si>
  <si>
    <t>Receita Bruta</t>
  </si>
  <si>
    <t>Despesa Bruta</t>
  </si>
  <si>
    <t>Índice de pessoal</t>
  </si>
  <si>
    <t>DTP mensal</t>
  </si>
  <si>
    <t>RCL mensal</t>
  </si>
  <si>
    <t>Completa o gráfico</t>
  </si>
  <si>
    <t>Datas disponíveis</t>
  </si>
  <si>
    <t>Vencimentos, Vantagens Fixas</t>
  </si>
  <si>
    <t>Outras Despesas Variáveis</t>
  </si>
  <si>
    <t>Contratos temporários</t>
  </si>
  <si>
    <t>Contratos de rateio</t>
  </si>
  <si>
    <t>NDO=3.1.90.13.*</t>
  </si>
  <si>
    <t>NDO=3.1.71.70.*</t>
  </si>
  <si>
    <t>NDO=3.1.90.04.*</t>
  </si>
  <si>
    <t>NDO=3.1.90.11.*</t>
  </si>
  <si>
    <t>NDO=3.1.90.16.*</t>
  </si>
  <si>
    <t>NDO=3.1.90.91.*</t>
  </si>
  <si>
    <t>NDO=3.1.90.92.*</t>
  </si>
  <si>
    <t>NDO=3.1.90.94.*</t>
  </si>
  <si>
    <t>NDO=3.3.90.34.01.*</t>
  </si>
  <si>
    <t>NDO=3.1.91.13.*</t>
  </si>
  <si>
    <t>Acumula</t>
  </si>
  <si>
    <t>Deduz</t>
  </si>
  <si>
    <t>Item</t>
  </si>
  <si>
    <t>Ativos</t>
  </si>
  <si>
    <t>Inativos/Pens.</t>
  </si>
  <si>
    <t>Terceirização</t>
  </si>
  <si>
    <t>Exec. Financeira</t>
  </si>
  <si>
    <t>Indenizações</t>
  </si>
  <si>
    <t>Decisão Judicial</t>
  </si>
  <si>
    <t>Exercícios Ant.</t>
  </si>
  <si>
    <t>Inat./Pens. RPPS</t>
  </si>
  <si>
    <t>Objetivo da pasta de trabalho:</t>
  </si>
  <si>
    <t>Facilitar o cálculo, o acompanhamento, a análise e a publicação da Receita Corrente Líquida e da Despesa Total com Pessoal.</t>
  </si>
  <si>
    <t>Versão do MS Office requerida:</t>
  </si>
  <si>
    <t>MS Office 2019 ou superior. MS Excel 2019 ou superior.</t>
  </si>
  <si>
    <t>Política de Licenciamento:</t>
  </si>
  <si>
    <t>Esta pasta de trabalho pode ser utilizada, modificada e distribuída livremente, desde que seja feita a menção ao desenvolvedor original.</t>
  </si>
  <si>
    <t>Desenvolvedor Original:</t>
  </si>
  <si>
    <t>Everton da Rosa</t>
  </si>
  <si>
    <t>everton3x@gmail.com</t>
  </si>
  <si>
    <t>Política de Suporte:</t>
  </si>
  <si>
    <t>Por se tratar de conteúdo gratuíto, não é oferecido suporte, exceto se contratado à parte.</t>
  </si>
  <si>
    <t>Entretanto, caso encontre algum erro ou tenha sugestão de melhoria, fique à vontade para contatar o desenvolvedor.</t>
  </si>
  <si>
    <t>Instruções gerais de uso:</t>
  </si>
  <si>
    <t>As planilhas estão separadas por tipo:</t>
  </si>
  <si>
    <t>Laranja: digitação de dados;</t>
  </si>
  <si>
    <t>Verde: Anexos do RREO e RGF para impressão;</t>
  </si>
  <si>
    <t>Azul: Dashboards</t>
  </si>
  <si>
    <t>Existem planilhas ocultas que servem de apoio aos cálculos.</t>
  </si>
  <si>
    <t>As planilhas Verdes e Azuis estão protegidas sem senha. Isso tem a finalidade de evitar alterações acidentais, visto que elas se destinam a visualização e impressão.</t>
  </si>
  <si>
    <t>Esta pasta de trabalho implementa os modelos constantes no MDF 12ª edição (válido para 2022) dos Anexos 3 do RREO (RCL) e 1 do RGF (Despesa Com Pessoal).</t>
  </si>
  <si>
    <t>Os anexos implementados são os referentes à Municípios.</t>
  </si>
  <si>
    <t>A pasta de trabalho está parametrizada para realizar o cálculo de acordo com as orientações do MDF 12ª edição (válido para 2022).</t>
  </si>
  <si>
    <t>Entretanto é possível implementar qualquer outra metodologia e fazer qualquer ajuste entendido como necessário para casos específicos.</t>
  </si>
  <si>
    <t>As planilhas cujas guias tem a cor laranja, são destinadas à digitação dos dados.</t>
  </si>
  <si>
    <t>Os campos para inserção de dados possuem fundo cinza.</t>
  </si>
  <si>
    <t>As demais células são de parametrização ou de fórmulas.</t>
  </si>
  <si>
    <t>Planilha [Parâmetros]:</t>
  </si>
  <si>
    <t>Instruções das planilhas Laranja:</t>
  </si>
  <si>
    <t>Nesta planilha devem ser informados os parâmetros gerais.</t>
  </si>
  <si>
    <t>O principal deles é [Data-base], no formato dd/mm/aaaa.</t>
  </si>
  <si>
    <t>A data-base corresponde ao último dia do período de referência dos cálculos.</t>
  </si>
  <si>
    <t>Descrição</t>
  </si>
  <si>
    <t>Nome do município seguido do estado da federação.</t>
  </si>
  <si>
    <t>Órgãos de abrenagência dos dados. Por exemplo: Poder Executivo, Poder Legislativo; Consolidado.</t>
  </si>
  <si>
    <t>Limite máximo da despesa com pessoal para os órgãos de abrangência, conforme definido da LRF.</t>
  </si>
  <si>
    <t>Último dia do mês de referência (último mês do período de cálculo).</t>
  </si>
  <si>
    <t>Sistema utilizado.</t>
  </si>
  <si>
    <t>Unidade responsável pelos cálculos.</t>
  </si>
  <si>
    <t>Planilha [Receita Prevista]:</t>
  </si>
  <si>
    <t>Nesta planilha são digitados os valores das previsões receitas que compõe o cálculo da RCL.</t>
  </si>
  <si>
    <t>Os valores irão compor a coluna PREVISÃO ATUALIZADA do anexo 3 do RREO (RCL).</t>
  </si>
  <si>
    <t>Os valores informados devem corresponder à previsão atualizada da receita na data-base.</t>
  </si>
  <si>
    <t>Não é necessário digitar a previsão em todas as receitas e em todas as datas-base. As fórmulas buscam, para cada receita, a última previsão digitada.</t>
  </si>
  <si>
    <t>Portanto, deve-se digitar para a data-base de 31/01/XX as previsões para todas as receitas e, para os meses seguintes do ano, digitar apenas as previsões alteradas.</t>
  </si>
  <si>
    <t>Os campos de parâmetros são as colunas iniciais com fundo branco:</t>
  </si>
  <si>
    <t>Marcador de linha: um dos marcadores de linha disponíveis (selecionar de acordo com a lista disponível em cada célula). Eles indicam em qual linha será incluído o valor.</t>
  </si>
  <si>
    <t>Discriminação: Upcional, porém recomendado. O nome da receita.</t>
  </si>
  <si>
    <t>Filtro: Opcional, porém recomendado. Indicação de qual codificação se deve buscar o valor.</t>
  </si>
  <si>
    <t>A coluna "Última Previsão" possui uma fórmula para buscar a última previsão disponível para cada receita.</t>
  </si>
  <si>
    <t>As demais colunas (cujo cabeçalho é uma data), correspondem aos valores da receita prevista atualziada total do ano naquelas datas-base.</t>
  </si>
  <si>
    <t>Planilha [Receita Arrecadada]:</t>
  </si>
  <si>
    <t>Receita</t>
  </si>
  <si>
    <t>Despesa</t>
  </si>
  <si>
    <t>Esta planilha é semelhante à [Receita Prevista], porém nas colunas de data-base deve ser informada a receita arrecadada mensal.</t>
  </si>
  <si>
    <t>Ela tem uma coluna de fórmula chamada "auxiliar" que indica se o valor é somado ou deduzido. Ela é necessária para auxiliar a montagem dos Dashboards.</t>
  </si>
  <si>
    <t>Ao digitar os valores, lembre-se de que as deduções devem ser informadas com o sinal negativo (-). As demais receitas, se quiser descontar da respectiva linha também devem ser informadas com sinal trocado.</t>
  </si>
  <si>
    <t>Planilha [Despesa Liquidada]:</t>
  </si>
  <si>
    <t>O MDF preconiza que a despesa considerada é a liquidada, acrescida dos restos a pagar não processados do ano, no encerramento do exercício.</t>
  </si>
  <si>
    <t>As colunas de parâmetros são as sguintes:</t>
  </si>
  <si>
    <t>Discriminação: Nome da despesa. Opcional, mas recomendado.</t>
  </si>
  <si>
    <t>Acumula: linha do anexo 1 do RGF em que ocorre a acumulação.</t>
  </si>
  <si>
    <t>Deduz: linha do anexo 1 do RGF em que ocorre a acumulação nas deduções.</t>
  </si>
  <si>
    <t>Filtro: codificação da despesa a se considerada. Opcional, mas recomendado.</t>
  </si>
  <si>
    <t>Os valores informados nas colunas de data-base deve ser a liquidada mensal.</t>
  </si>
  <si>
    <t>Caso deseje excluir algum valor, deve-se informar com valor negativo.</t>
  </si>
  <si>
    <t>Planilha [RP Não Processados]:</t>
  </si>
  <si>
    <t>Preenchimento semelhante à planilha [Despesa Liquidada], porém apenas nas datas-base de 31/12/XX.</t>
  </si>
  <si>
    <t>Recebe os valores empenhados e não liquidados no exercício de referência.</t>
  </si>
  <si>
    <t>Instruções para as planilhas Verdes (anexos do RREO e RGF):</t>
  </si>
  <si>
    <t>Essas planilhas se destinam à conferência e emissão dos anexos 1 do RGF e 3 do RREO.</t>
  </si>
  <si>
    <t>Para mudar a data-base, deve-se alterar o campo [Data-base] da planilha [Parâmetros].</t>
  </si>
  <si>
    <t>Instruções para as planilhas Azuis (Dashboards):</t>
  </si>
  <si>
    <t>Os dashboards destinam-se a apresentar alguns indicadores a respeito da RCL e da Despesa com pessoal.</t>
  </si>
  <si>
    <t>Foram elaborados 2 modelos:</t>
  </si>
  <si>
    <t>A planilha [Dashboard] traz um dashboard claro, mais adequado à impressão.</t>
  </si>
  <si>
    <t>Já a planilha [Dashboard Dark] tem um dashboard com tema escuro, para quem prefere esse tipo de tema de cores.</t>
  </si>
  <si>
    <t>Considerações finais:</t>
  </si>
  <si>
    <t>Este é um trabalho voluntário, por isso não há suporte garantido, exxceto se contratado à parte.</t>
  </si>
  <si>
    <t>Caso encontre erros ou tenha sugestões de melhoria, ficarei feliz em corrigir ou implantá-las se for o caso.</t>
  </si>
  <si>
    <t>Caso goste do meu trabalho, que tal me pagar um café?</t>
  </si>
  <si>
    <t>PIX</t>
  </si>
  <si>
    <t>Copia-e-Cola</t>
  </si>
  <si>
    <t>Ou QR Code</t>
  </si>
  <si>
    <t>00020101021126360014br.gov.bcb.pix0114+55559844936565204000053039865802BR5915EVERTON DA ROSA6012TRES DE MAIO62070503***6304E4F2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</si>
</sst>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* #,##0.00_-;[Red]* \(#,##0.00\);* &quot;-&quot;??_-;_-@_-"/>
    <numFmt numFmtId="165" formatCode="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1D6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1D6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0" fillId="0" borderId="3" xfId="0" applyNumberForma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0" borderId="1" xfId="0" applyNumberFormat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wrapText="1" indent="1"/>
    </xf>
    <xf numFmtId="0" fontId="1" fillId="0" borderId="1" xfId="0" applyFont="1" applyBorder="1" applyAlignment="1">
      <alignment horizontal="center"/>
    </xf>
    <xf numFmtId="10" fontId="0" fillId="0" borderId="1" xfId="1" applyNumberFormat="1" applyFont="1" applyBorder="1"/>
    <xf numFmtId="10" fontId="0" fillId="0" borderId="0" xfId="1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10" fontId="0" fillId="0" borderId="0" xfId="1" applyNumberFormat="1" applyFont="1" applyBorder="1"/>
    <xf numFmtId="4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164" fontId="0" fillId="0" borderId="0" xfId="1" applyNumberFormat="1" applyFont="1" applyBorder="1"/>
    <xf numFmtId="0" fontId="4" fillId="0" borderId="0" xfId="0" applyFont="1" applyProtection="1">
      <protection hidden="1"/>
    </xf>
    <xf numFmtId="165" fontId="4" fillId="0" borderId="0" xfId="0" applyNumberFormat="1" applyFont="1" applyProtection="1">
      <protection hidden="1"/>
    </xf>
    <xf numFmtId="0" fontId="0" fillId="3" borderId="0" xfId="0" applyFill="1"/>
    <xf numFmtId="0" fontId="6" fillId="3" borderId="0" xfId="0" applyFont="1" applyFill="1"/>
    <xf numFmtId="0" fontId="6" fillId="3" borderId="0" xfId="0" applyFont="1" applyFill="1" applyProtection="1">
      <protection locked="0"/>
    </xf>
    <xf numFmtId="165" fontId="6" fillId="3" borderId="0" xfId="0" applyNumberFormat="1" applyFont="1" applyFill="1" applyProtection="1">
      <protection locked="0"/>
    </xf>
    <xf numFmtId="14" fontId="0" fillId="2" borderId="1" xfId="0" applyNumberFormat="1" applyFill="1" applyBorder="1"/>
    <xf numFmtId="164" fontId="0" fillId="2" borderId="1" xfId="0" applyNumberFormat="1" applyFill="1" applyBorder="1"/>
    <xf numFmtId="43" fontId="0" fillId="2" borderId="1" xfId="0" applyNumberFormat="1" applyFill="1" applyBorder="1"/>
    <xf numFmtId="0" fontId="0" fillId="2" borderId="1" xfId="0" applyFill="1" applyBorder="1"/>
    <xf numFmtId="10" fontId="0" fillId="2" borderId="1" xfId="1" applyNumberFormat="1" applyFont="1" applyFill="1" applyBorder="1"/>
    <xf numFmtId="0" fontId="1" fillId="0" borderId="0" xfId="0" applyFont="1"/>
    <xf numFmtId="0" fontId="5" fillId="0" borderId="0" xfId="2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0000"/>
      <color rgb="FF441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E6-44C5-ADEF-9C3C7784DE3B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E6-44C5-ADEF-9C3C7784DE3B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E6-44C5-ADEF-9C3C7784DE3B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E6-44C5-ADEF-9C3C7784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F0-4F9A-BD84-D715A882A05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5F0-4F9A-BD84-D715A882A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FF0000">
                <a:alpha val="20000"/>
              </a:srgbClr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5-48BE-814F-748DF8FA24E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95-48BE-814F-748DF8FA24E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(Receita Corrente Bruta)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439-AD7C-F44967EF38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(Deduções)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D-40DD-BFA1-786C41D931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AC-8202-01342CBA9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2-47BC-BDC3-7F9EAABC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5B-43BD-8CF7-BD3C11840C32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5B-43BD-8CF7-BD3C11840C32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5B-43BD-8CF7-BD3C11840C32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5B-43BD-8CF7-BD3C11840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3-4492-A4E8-33DA7BF89BC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3-4492-A4E8-33DA7BF89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A-456F-97B1-49C86A36BF1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A-456F-97B1-49C86A36BF1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(Receita Corrente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222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EEB-B925-0F8A3051F2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E-41A5-97D0-557EDF4E50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5-42D3-AD4A-3A8DF72CF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D-41EC-920D-3553A4127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Efeito na RCL de cada componente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Efeito na RCL de cada componente</a:t>
          </a:r>
        </a:p>
      </cx:txPr>
    </cx:title>
    <cx:plotArea>
      <cx:plotAreaRegion>
        <cx:series layoutId="waterfall" uniqueId="{DBCD995F-E4E1-4A01-8B68-1CE33A4E6416}">
          <cx:tx>
            <cx:txData>
              <cx:f>_xlchart.v1.1</cx:f>
              <cx:v>Valor</cx:v>
            </cx:txData>
          </cx:tx>
          <cx:dataId val="0"/>
          <cx:layoutPr>
            <cx:subtotals/>
          </cx:layoutPr>
        </cx:series>
      </cx:plotAreaRegion>
      <cx:axis id="0">
        <cx:catScaling gapWidth="2.19000006"/>
        <cx:tickLabels/>
      </cx:axis>
      <cx:axis id="1" hidden="1">
        <cx:valScaling/>
        <cx:tickLabels/>
      </cx:axis>
    </cx:plotArea>
  </cx:chart>
  <cx:spPr>
    <a:noFill/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</xdr:row>
      <xdr:rowOff>9525</xdr:rowOff>
    </xdr:from>
    <xdr:to>
      <xdr:col>0</xdr:col>
      <xdr:colOff>5082466</xdr:colOff>
      <xdr:row>141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674A85-A610-CF3E-9B83-17BCC9627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74025"/>
          <a:ext cx="5082466" cy="654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</xdr:row>
      <xdr:rowOff>0</xdr:rowOff>
    </xdr:from>
    <xdr:to>
      <xdr:col>19</xdr:col>
      <xdr:colOff>571501</xdr:colOff>
      <xdr:row>46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01CECE95-53A2-4DA7-B9EA-0CB6896E47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5524500"/>
              <a:ext cx="13515976" cy="326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800-000002000000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ysClr val="windowText" lastClr="000000"/>
                </a:solidFill>
              </a:rPr>
              <a:t>Receita Corrente Líquida e Despesa com Pessoal</a:t>
            </a:r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'Aux Dash'!$B$2">
        <xdr:nvSpPr>
          <xdr:cNvPr id="8" name="CaixaDeTexto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10" name="Conector de Seta Reta 9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ysClr val="windowText" lastClr="000000"/>
              </a:solidFill>
            </a:endParaRPr>
          </a:p>
        </xdr:txBody>
      </xdr:sp>
      <xdr:sp macro="" textlink="paramOrgao">
        <xdr:nvSpPr>
          <xdr:cNvPr id="13" name="CaixaDeTexto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</xdr:grpSpPr>
      <xdr:sp macro="" textlink="">
        <xdr:nvSpPr>
          <xdr:cNvPr id="5" name="Retângulo: Cantos Superiores, Um Arredondado e Um Recortado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solidFill>
            <a:schemeClr val="accent6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solidFill>
          <a:srgbClr val="C00000"/>
        </a:solidFill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solidFill>
          <a:schemeClr val="accent2">
            <a:lumMod val="75000"/>
          </a:schemeClr>
        </a:solidFill>
      </xdr:grpSpPr>
      <xdr:sp macro="" textlink="">
        <xdr:nvSpPr>
          <xdr:cNvPr id="22" name="Retângulo: Cantos Superiores, Um Arredondado e Um Recortado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solidFill>
          <a:schemeClr val="accent4">
            <a:lumMod val="75000"/>
          </a:schemeClr>
        </a:solidFill>
      </xdr:grpSpPr>
      <xdr:sp macro="" textlink="">
        <xdr:nvSpPr>
          <xdr:cNvPr id="28" name="Retângulo: Cantos Superiores, Um Arredondado e Um Recortado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30" name="CaixaDeTexto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solidFill>
          <a:schemeClr val="accent2">
            <a:lumMod val="50000"/>
          </a:schemeClr>
        </a:solidFill>
      </xdr:grpSpPr>
      <xdr:sp macro="" textlink="">
        <xdr:nvSpPr>
          <xdr:cNvPr id="33" name="Retângulo: Cantos Superiores, Um Arredondado e Um Recortado 32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5" name="CaixaDeTexto 34">
            <a:extLst>
              <a:ext uri="{FF2B5EF4-FFF2-40B4-BE49-F238E27FC236}">
                <a16:creationId xmlns:a16="http://schemas.microsoft.com/office/drawing/2014/main" id="{00000000-0008-0000-0800-000023000000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6" name="CaixaDeTexto 35">
            <a:extLst>
              <a:ext uri="{FF2B5EF4-FFF2-40B4-BE49-F238E27FC236}">
                <a16:creationId xmlns:a16="http://schemas.microsoft.com/office/drawing/2014/main" id="{00000000-0008-0000-0800-000024000000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4957F1-F07F-4F65-979B-E5D8F929E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946851-99B2-4328-9889-4BC01435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5988ED8-08A3-450D-B45C-32222919F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32F57FC9-7C48-4F46-BE20-3C60D627E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4" name="CaixaDeTexto 43">
          <a:extLst>
            <a:ext uri="{FF2B5EF4-FFF2-40B4-BE49-F238E27FC236}">
              <a16:creationId xmlns:a16="http://schemas.microsoft.com/office/drawing/2014/main" id="{F55B1B42-1676-0DD1-5B7D-E94B2961EFCE}"/>
            </a:ext>
          </a:extLst>
        </xdr:cNvPr>
        <xdr:cNvSpPr txBox="1"/>
      </xdr:nvSpPr>
      <xdr:spPr>
        <a:xfrm>
          <a:off x="6544235" y="2633385"/>
          <a:ext cx="3238501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chemeClr val="accent6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AD68549-7C1B-4383-A875-471292C4B834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BD876E15-593C-1194-292A-C504A5A495D2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2876A6FB-6A40-FA2E-0E46-9CF550C824FA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5AF33570-5EA6-4934-9DC2-B371F1995223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8642703E-8A77-A440-914E-F1BD34526722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chemeClr val="bg1"/>
                </a:solidFill>
              </a:rPr>
              <a:t>Receita Corrente Líquida e Despesa com Pessoal</a:t>
            </a:r>
            <a:endParaRPr lang="pt-BR" sz="1100" b="1">
              <a:solidFill>
                <a:schemeClr val="bg1"/>
              </a:solidFill>
            </a:endParaRPr>
          </a:p>
        </xdr:txBody>
      </xdr:sp>
      <xdr:sp macro="" textlink="'Aux Dash'!$B$2">
        <xdr:nvSpPr>
          <xdr:cNvPr id="7" name="CaixaDeTexto 6">
            <a:extLst>
              <a:ext uri="{FF2B5EF4-FFF2-40B4-BE49-F238E27FC236}">
                <a16:creationId xmlns:a16="http://schemas.microsoft.com/office/drawing/2014/main" id="{BEDB1A90-393B-5EBC-58FA-A1D6897FEBEA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bg1"/>
              </a:solidFill>
            </a:endParaRPr>
          </a:p>
        </xdr:txBody>
      </xdr:sp>
      <xdr:cxnSp macro="">
        <xdr:nvCxnSpPr>
          <xdr:cNvPr id="8" name="Conector de Seta Reta 7">
            <a:extLst>
              <a:ext uri="{FF2B5EF4-FFF2-40B4-BE49-F238E27FC236}">
                <a16:creationId xmlns:a16="http://schemas.microsoft.com/office/drawing/2014/main" id="{AD966631-D75F-FD19-920B-C3E52FDB0BA3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9" name="CaixaDeTexto 8">
            <a:extLst>
              <a:ext uri="{FF2B5EF4-FFF2-40B4-BE49-F238E27FC236}">
                <a16:creationId xmlns:a16="http://schemas.microsoft.com/office/drawing/2014/main" id="{61A540B1-397E-016E-19CD-2AD20CE26FCB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paramOrgao">
        <xdr:nvSpPr>
          <xdr:cNvPr id="10" name="CaixaDeTexto 9">
            <a:extLst>
              <a:ext uri="{FF2B5EF4-FFF2-40B4-BE49-F238E27FC236}">
                <a16:creationId xmlns:a16="http://schemas.microsoft.com/office/drawing/2014/main" id="{87199E41-CBDC-AFEB-2C51-CDF443E9DB3A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C1BD8B00-3793-46F0-89E8-FBB833809E42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  <a:noFill/>
      </xdr:grpSpPr>
      <xdr:sp macro="" textlink="">
        <xdr:nvSpPr>
          <xdr:cNvPr id="13" name="Retângulo: Cantos Superiores, Um Arredondado e Um Recortado 12">
            <a:extLst>
              <a:ext uri="{FF2B5EF4-FFF2-40B4-BE49-F238E27FC236}">
                <a16:creationId xmlns:a16="http://schemas.microsoft.com/office/drawing/2014/main" id="{5C41109E-EDE8-0A70-23BE-769E03D3F23B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3CDEF078-EB99-20B9-634A-EBD6BD329B6C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5" name="CaixaDeTexto 14">
            <a:extLst>
              <a:ext uri="{FF2B5EF4-FFF2-40B4-BE49-F238E27FC236}">
                <a16:creationId xmlns:a16="http://schemas.microsoft.com/office/drawing/2014/main" id="{EDD8772A-5074-231C-B4DD-965B5BD17FA8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3F8E49F3-E1E9-44B8-B540-4AC9E7CC85D6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noFill/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CB74DE2F-A62A-70D2-4C6A-9AD849AB5E51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D3506BF5-AAE8-A402-4E9F-3C0DA37ECC5C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F4BD264E-AF9C-E6BA-0A17-CDC2E8CA0CBB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43CD17A4-A458-4934-9F64-0C60345AFA1F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noFill/>
      </xdr:grpSpPr>
      <xdr:sp macro="" textlink="">
        <xdr:nvSpPr>
          <xdr:cNvPr id="21" name="Retângulo: Cantos Superiores, Um Arredondado e Um Recortado 20">
            <a:extLst>
              <a:ext uri="{FF2B5EF4-FFF2-40B4-BE49-F238E27FC236}">
                <a16:creationId xmlns:a16="http://schemas.microsoft.com/office/drawing/2014/main" id="{5497F4C0-08AF-8D68-A687-80FD3FCFCF22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8FD88C0A-841A-9D4A-F49D-8FB9C500276F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3" name="CaixaDeTexto 22">
            <a:extLst>
              <a:ext uri="{FF2B5EF4-FFF2-40B4-BE49-F238E27FC236}">
                <a16:creationId xmlns:a16="http://schemas.microsoft.com/office/drawing/2014/main" id="{BED9EF03-2708-A9AC-251B-A1183AA4CA1C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4" name="CaixaDeTexto 23">
            <a:extLst>
              <a:ext uri="{FF2B5EF4-FFF2-40B4-BE49-F238E27FC236}">
                <a16:creationId xmlns:a16="http://schemas.microsoft.com/office/drawing/2014/main" id="{ADBF1B46-EFE3-5AE0-F6BF-4E361DC9C35D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82653A9C-2251-4616-A006-B775AC5F28D9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noFill/>
      </xdr:grpSpPr>
      <xdr:sp macro="" textlink="">
        <xdr:nvSpPr>
          <xdr:cNvPr id="26" name="Retângulo: Cantos Superiores, Um Arredondado e Um Recortado 25">
            <a:extLst>
              <a:ext uri="{FF2B5EF4-FFF2-40B4-BE49-F238E27FC236}">
                <a16:creationId xmlns:a16="http://schemas.microsoft.com/office/drawing/2014/main" id="{B4A85603-4A07-C5C9-7DAD-7F2928023C1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3ABD53C0-13B7-36F0-785C-E721C0AD8382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28" name="CaixaDeTexto 27">
            <a:extLst>
              <a:ext uri="{FF2B5EF4-FFF2-40B4-BE49-F238E27FC236}">
                <a16:creationId xmlns:a16="http://schemas.microsoft.com/office/drawing/2014/main" id="{3E3FDB69-357D-C6B4-3EA5-E0455F972A21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29" name="CaixaDeTexto 28">
            <a:extLst>
              <a:ext uri="{FF2B5EF4-FFF2-40B4-BE49-F238E27FC236}">
                <a16:creationId xmlns:a16="http://schemas.microsoft.com/office/drawing/2014/main" id="{0DBE4A1A-6F45-30C2-A6B0-3A7702865FAC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80036EDD-E2FA-4D41-BFD0-DC70408CCAE4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noFill/>
      </xdr:grpSpPr>
      <xdr:sp macro="" textlink="">
        <xdr:nvSpPr>
          <xdr:cNvPr id="31" name="Retângulo: Cantos Superiores, Um Arredondado e Um Recortado 30">
            <a:extLst>
              <a:ext uri="{FF2B5EF4-FFF2-40B4-BE49-F238E27FC236}">
                <a16:creationId xmlns:a16="http://schemas.microsoft.com/office/drawing/2014/main" id="{8D51F37C-640D-97CF-4B02-F537006EECB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940ABA51-2CAA-B6B6-F22B-68575AC68129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3" name="CaixaDeTexto 32">
            <a:extLst>
              <a:ext uri="{FF2B5EF4-FFF2-40B4-BE49-F238E27FC236}">
                <a16:creationId xmlns:a16="http://schemas.microsoft.com/office/drawing/2014/main" id="{0073525B-417B-413E-7ABF-873D1C8B567D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4" name="CaixaDeTexto 33">
            <a:extLst>
              <a:ext uri="{FF2B5EF4-FFF2-40B4-BE49-F238E27FC236}">
                <a16:creationId xmlns:a16="http://schemas.microsoft.com/office/drawing/2014/main" id="{01B04353-247F-7F2F-CF6D-86BC11BAA54C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5C7D63D-4E6C-407F-BC73-34D4C5891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28CC81E4-4D66-4236-A374-1D9B93244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CD092CD0-6C32-44E0-A4FE-A83E2A4BF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5987E7F0-6273-4205-AD36-7642BEF1F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0F1A2E1B-0903-415D-8C40-38A8F2FCE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44E20F6-2FA0-448C-9E3C-C66D63772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1" name="CaixaDeTexto 40">
          <a:extLst>
            <a:ext uri="{FF2B5EF4-FFF2-40B4-BE49-F238E27FC236}">
              <a16:creationId xmlns:a16="http://schemas.microsoft.com/office/drawing/2014/main" id="{65AC8D17-C96A-428F-ACF3-A1797870C8A6}"/>
            </a:ext>
          </a:extLst>
        </xdr:cNvPr>
        <xdr:cNvSpPr txBox="1"/>
      </xdr:nvSpPr>
      <xdr:spPr>
        <a:xfrm>
          <a:off x="6589059" y="2633385"/>
          <a:ext cx="3265395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rgbClr val="92D050"/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rgbClr val="92D05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verton3x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7153-15C9-42C9-B749-BEDD96D45B84}">
  <dimension ref="A1:A106"/>
  <sheetViews>
    <sheetView tabSelected="1" topLeftCell="A91" workbookViewId="0">
      <selection activeCell="A105" sqref="A105"/>
    </sheetView>
  </sheetViews>
  <sheetFormatPr defaultRowHeight="15" x14ac:dyDescent="0.25"/>
  <cols>
    <col min="1" max="1" width="191.28515625" bestFit="1" customWidth="1"/>
  </cols>
  <sheetData>
    <row r="1" spans="1:1" x14ac:dyDescent="0.25">
      <c r="A1" s="46" t="s">
        <v>276</v>
      </c>
    </row>
    <row r="2" spans="1:1" x14ac:dyDescent="0.25">
      <c r="A2" t="s">
        <v>277</v>
      </c>
    </row>
    <row r="4" spans="1:1" x14ac:dyDescent="0.25">
      <c r="A4" t="s">
        <v>295</v>
      </c>
    </row>
    <row r="5" spans="1:1" x14ac:dyDescent="0.25">
      <c r="A5" t="s">
        <v>296</v>
      </c>
    </row>
    <row r="6" spans="1:1" x14ac:dyDescent="0.25">
      <c r="A6" t="s">
        <v>297</v>
      </c>
    </row>
    <row r="7" spans="1:1" x14ac:dyDescent="0.25">
      <c r="A7" t="s">
        <v>298</v>
      </c>
    </row>
    <row r="9" spans="1:1" x14ac:dyDescent="0.25">
      <c r="A9" s="46" t="s">
        <v>278</v>
      </c>
    </row>
    <row r="10" spans="1:1" x14ac:dyDescent="0.25">
      <c r="A10" t="s">
        <v>279</v>
      </c>
    </row>
    <row r="12" spans="1:1" x14ac:dyDescent="0.25">
      <c r="A12" s="46" t="s">
        <v>280</v>
      </c>
    </row>
    <row r="13" spans="1:1" x14ac:dyDescent="0.25">
      <c r="A13" t="s">
        <v>281</v>
      </c>
    </row>
    <row r="15" spans="1:1" x14ac:dyDescent="0.25">
      <c r="A15" s="46" t="s">
        <v>282</v>
      </c>
    </row>
    <row r="16" spans="1:1" x14ac:dyDescent="0.25">
      <c r="A16" t="s">
        <v>283</v>
      </c>
    </row>
    <row r="17" spans="1:1" x14ac:dyDescent="0.25">
      <c r="A17" s="47" t="s">
        <v>284</v>
      </c>
    </row>
    <row r="19" spans="1:1" x14ac:dyDescent="0.25">
      <c r="A19" s="46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3" spans="1:1" x14ac:dyDescent="0.25">
      <c r="A23" s="46" t="s">
        <v>288</v>
      </c>
    </row>
    <row r="24" spans="1:1" x14ac:dyDescent="0.25">
      <c r="A24" t="s">
        <v>289</v>
      </c>
    </row>
    <row r="25" spans="1:1" x14ac:dyDescent="0.25">
      <c r="A25" t="s">
        <v>290</v>
      </c>
    </row>
    <row r="26" spans="1:1" x14ac:dyDescent="0.25">
      <c r="A26" t="s">
        <v>291</v>
      </c>
    </row>
    <row r="27" spans="1:1" x14ac:dyDescent="0.25">
      <c r="A27" t="s">
        <v>292</v>
      </c>
    </row>
    <row r="29" spans="1:1" x14ac:dyDescent="0.25">
      <c r="A29" t="s">
        <v>293</v>
      </c>
    </row>
    <row r="30" spans="1:1" x14ac:dyDescent="0.25">
      <c r="A30" t="s">
        <v>294</v>
      </c>
    </row>
    <row r="32" spans="1:1" x14ac:dyDescent="0.25">
      <c r="A32" s="46" t="s">
        <v>303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7" spans="1:1" x14ac:dyDescent="0.25">
      <c r="A37" s="46" t="s">
        <v>302</v>
      </c>
    </row>
    <row r="38" spans="1:1" x14ac:dyDescent="0.25">
      <c r="A38" t="s">
        <v>304</v>
      </c>
    </row>
    <row r="39" spans="1:1" x14ac:dyDescent="0.25">
      <c r="A39" t="s">
        <v>305</v>
      </c>
    </row>
    <row r="40" spans="1:1" x14ac:dyDescent="0.25">
      <c r="A40" t="s">
        <v>306</v>
      </c>
    </row>
    <row r="42" spans="1:1" x14ac:dyDescent="0.25">
      <c r="A42" s="46" t="s">
        <v>314</v>
      </c>
    </row>
    <row r="43" spans="1:1" x14ac:dyDescent="0.25">
      <c r="A43" t="s">
        <v>315</v>
      </c>
    </row>
    <row r="44" spans="1:1" x14ac:dyDescent="0.25">
      <c r="A44" t="s">
        <v>316</v>
      </c>
    </row>
    <row r="45" spans="1:1" x14ac:dyDescent="0.25">
      <c r="A45" t="s">
        <v>317</v>
      </c>
    </row>
    <row r="46" spans="1:1" x14ac:dyDescent="0.25">
      <c r="A46" t="s">
        <v>318</v>
      </c>
    </row>
    <row r="47" spans="1:1" x14ac:dyDescent="0.25">
      <c r="A47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6" spans="1:1" x14ac:dyDescent="0.25">
      <c r="A56" t="s">
        <v>331</v>
      </c>
    </row>
    <row r="58" spans="1:1" x14ac:dyDescent="0.25">
      <c r="A58" s="46" t="s">
        <v>326</v>
      </c>
    </row>
    <row r="59" spans="1:1" x14ac:dyDescent="0.25">
      <c r="A59" t="s">
        <v>329</v>
      </c>
    </row>
    <row r="60" spans="1:1" x14ac:dyDescent="0.25">
      <c r="A60" t="s">
        <v>330</v>
      </c>
    </row>
    <row r="62" spans="1:1" x14ac:dyDescent="0.25">
      <c r="A62" s="46" t="s">
        <v>332</v>
      </c>
    </row>
    <row r="63" spans="1:1" x14ac:dyDescent="0.25">
      <c r="A63" t="s">
        <v>333</v>
      </c>
    </row>
    <row r="65" spans="1:1" x14ac:dyDescent="0.25">
      <c r="A65" t="s">
        <v>334</v>
      </c>
    </row>
    <row r="66" spans="1:1" x14ac:dyDescent="0.25">
      <c r="A66" t="s">
        <v>335</v>
      </c>
    </row>
    <row r="67" spans="1:1" x14ac:dyDescent="0.25">
      <c r="A67" t="s">
        <v>336</v>
      </c>
    </row>
    <row r="68" spans="1:1" x14ac:dyDescent="0.25">
      <c r="A68" t="s">
        <v>337</v>
      </c>
    </row>
    <row r="69" spans="1:1" x14ac:dyDescent="0.25">
      <c r="A69" t="s">
        <v>338</v>
      </c>
    </row>
    <row r="71" spans="1:1" x14ac:dyDescent="0.25">
      <c r="A71" t="s">
        <v>339</v>
      </c>
    </row>
    <row r="72" spans="1:1" x14ac:dyDescent="0.25">
      <c r="A72" t="s">
        <v>340</v>
      </c>
    </row>
    <row r="74" spans="1:1" x14ac:dyDescent="0.25">
      <c r="A74" s="46" t="s">
        <v>341</v>
      </c>
    </row>
    <row r="75" spans="1:1" x14ac:dyDescent="0.25">
      <c r="A75" t="s">
        <v>342</v>
      </c>
    </row>
    <row r="76" spans="1:1" x14ac:dyDescent="0.25">
      <c r="A76" t="s">
        <v>343</v>
      </c>
    </row>
    <row r="78" spans="1:1" x14ac:dyDescent="0.25">
      <c r="A78" s="46" t="s">
        <v>344</v>
      </c>
    </row>
    <row r="79" spans="1:1" x14ac:dyDescent="0.25">
      <c r="A79" t="s">
        <v>345</v>
      </c>
    </row>
    <row r="81" spans="1:1" x14ac:dyDescent="0.25">
      <c r="A81" t="s">
        <v>346</v>
      </c>
    </row>
    <row r="84" spans="1:1" x14ac:dyDescent="0.25">
      <c r="A84" s="46" t="s">
        <v>347</v>
      </c>
    </row>
    <row r="85" spans="1:1" x14ac:dyDescent="0.25">
      <c r="A85" t="s">
        <v>348</v>
      </c>
    </row>
    <row r="87" spans="1:1" x14ac:dyDescent="0.25">
      <c r="A87" t="s">
        <v>346</v>
      </c>
    </row>
    <row r="89" spans="1:1" x14ac:dyDescent="0.25">
      <c r="A89" t="s">
        <v>349</v>
      </c>
    </row>
    <row r="90" spans="1:1" x14ac:dyDescent="0.25">
      <c r="A90" t="s">
        <v>350</v>
      </c>
    </row>
    <row r="91" spans="1:1" x14ac:dyDescent="0.25">
      <c r="A91" t="s">
        <v>351</v>
      </c>
    </row>
    <row r="94" spans="1:1" x14ac:dyDescent="0.25">
      <c r="A94" s="46" t="s">
        <v>352</v>
      </c>
    </row>
    <row r="95" spans="1:1" x14ac:dyDescent="0.25">
      <c r="A95" t="s">
        <v>353</v>
      </c>
    </row>
    <row r="97" spans="1:1" x14ac:dyDescent="0.25">
      <c r="A97" t="s">
        <v>354</v>
      </c>
    </row>
    <row r="99" spans="1:1" x14ac:dyDescent="0.25">
      <c r="A99" t="s">
        <v>355</v>
      </c>
    </row>
    <row r="102" spans="1:1" x14ac:dyDescent="0.25">
      <c r="A102" t="s">
        <v>356</v>
      </c>
    </row>
    <row r="103" spans="1:1" x14ac:dyDescent="0.25">
      <c r="A103" t="s">
        <v>357</v>
      </c>
    </row>
    <row r="104" spans="1:1" x14ac:dyDescent="0.25">
      <c r="A104" t="s">
        <v>359</v>
      </c>
    </row>
    <row r="106" spans="1:1" x14ac:dyDescent="0.25">
      <c r="A106" t="s">
        <v>358</v>
      </c>
    </row>
  </sheetData>
  <sheetProtection sheet="1" formatCells="0" formatColumns="0" formatRows="0" insertColumns="0" insertRows="0" insertHyperlinks="0" deleteColumns="0" deleteRows="0" sort="0" autoFilter="0" pivotTables="0"/>
  <hyperlinks>
    <hyperlink ref="A17" r:id="rId1" xr:uid="{052DA9E9-FC40-4AD5-A528-850009FF7C3B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144E-2211-41F4-89B5-3015A0F583B6}">
  <sheetPr codeName="Planilha2">
    <tabColor theme="5" tint="-0.249977111117893"/>
  </sheetPr>
  <dimension ref="B2:D8"/>
  <sheetViews>
    <sheetView workbookViewId="0">
      <selection activeCell="D9" sqref="D9"/>
    </sheetView>
  </sheetViews>
  <sheetFormatPr defaultRowHeight="15" x14ac:dyDescent="0.25"/>
  <cols>
    <col min="2" max="2" width="20.85546875" bestFit="1" customWidth="1"/>
    <col min="3" max="3" width="29.85546875" bestFit="1" customWidth="1"/>
    <col min="4" max="4" width="90.42578125" bestFit="1" customWidth="1"/>
  </cols>
  <sheetData>
    <row r="2" spans="2:4" x14ac:dyDescent="0.25">
      <c r="B2" s="22" t="s">
        <v>11</v>
      </c>
      <c r="C2" s="22" t="s">
        <v>12</v>
      </c>
      <c r="D2" s="22" t="s">
        <v>307</v>
      </c>
    </row>
    <row r="3" spans="2:4" x14ac:dyDescent="0.25">
      <c r="B3" s="22" t="s">
        <v>16</v>
      </c>
      <c r="C3" s="44" t="s">
        <v>2</v>
      </c>
      <c r="D3" s="22" t="s">
        <v>308</v>
      </c>
    </row>
    <row r="4" spans="2:4" x14ac:dyDescent="0.25">
      <c r="B4" s="22" t="s">
        <v>90</v>
      </c>
      <c r="C4" s="44" t="s">
        <v>91</v>
      </c>
      <c r="D4" s="22" t="s">
        <v>309</v>
      </c>
    </row>
    <row r="5" spans="2:4" x14ac:dyDescent="0.25">
      <c r="B5" s="22" t="s">
        <v>199</v>
      </c>
      <c r="C5" s="45">
        <v>0.54</v>
      </c>
      <c r="D5" s="22" t="s">
        <v>310</v>
      </c>
    </row>
    <row r="6" spans="2:4" x14ac:dyDescent="0.25">
      <c r="B6" s="22" t="s">
        <v>13</v>
      </c>
      <c r="C6" s="41">
        <v>44834</v>
      </c>
      <c r="D6" s="22" t="s">
        <v>311</v>
      </c>
    </row>
    <row r="7" spans="2:4" x14ac:dyDescent="0.25">
      <c r="B7" s="22" t="s">
        <v>51</v>
      </c>
      <c r="C7" s="44" t="s">
        <v>53</v>
      </c>
      <c r="D7" s="22" t="s">
        <v>312</v>
      </c>
    </row>
    <row r="8" spans="2:4" x14ac:dyDescent="0.25">
      <c r="B8" s="22" t="s">
        <v>52</v>
      </c>
      <c r="C8" s="44" t="s">
        <v>54</v>
      </c>
      <c r="D8" s="22" t="s">
        <v>313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7B1E-5A66-4015-A4D6-67AD71076C6F}">
  <sheetPr codeName="Planilha3">
    <tabColor theme="5" tint="-0.249977111117893"/>
  </sheetPr>
  <dimension ref="A1:AE86"/>
  <sheetViews>
    <sheetView workbookViewId="0">
      <pane xSplit="4" ySplit="1" topLeftCell="X68" activePane="bottomRight" state="frozen"/>
      <selection activeCell="D41" sqref="D41"/>
      <selection pane="topRight" activeCell="D41" sqref="D41"/>
      <selection pane="bottomLeft" activeCell="D41" sqref="D41"/>
      <selection pane="bottomRight" activeCell="AE1" sqref="AE1"/>
    </sheetView>
  </sheetViews>
  <sheetFormatPr defaultRowHeight="15" x14ac:dyDescent="0.25"/>
  <cols>
    <col min="1" max="1" width="7.140625" customWidth="1"/>
    <col min="2" max="2" width="32.7109375" customWidth="1"/>
    <col min="3" max="3" width="19.42578125" bestFit="1" customWidth="1"/>
    <col min="4" max="4" width="19.42578125" style="18" customWidth="1"/>
    <col min="5" max="5" width="12.42578125" style="18" bestFit="1" customWidth="1"/>
    <col min="6" max="15" width="10.7109375" style="18" bestFit="1" customWidth="1"/>
    <col min="16" max="16" width="13.5703125" style="18" bestFit="1" customWidth="1"/>
    <col min="17" max="17" width="12.42578125" style="18" bestFit="1" customWidth="1"/>
    <col min="18" max="27" width="10.7109375" style="18" bestFit="1" customWidth="1"/>
    <col min="28" max="28" width="13.5703125" style="18" bestFit="1" customWidth="1"/>
    <col min="29" max="29" width="12.42578125" style="18" bestFit="1" customWidth="1"/>
    <col min="30" max="31" width="10.7109375" style="18" bestFit="1" customWidth="1"/>
    <col min="32" max="37" width="10.7109375" bestFit="1" customWidth="1"/>
  </cols>
  <sheetData>
    <row r="1" spans="1:31" x14ac:dyDescent="0.25">
      <c r="A1" s="22" t="s">
        <v>56</v>
      </c>
      <c r="B1" s="22" t="s">
        <v>0</v>
      </c>
      <c r="C1" s="22" t="s">
        <v>1</v>
      </c>
      <c r="D1" s="22" t="s">
        <v>88</v>
      </c>
      <c r="E1" s="41">
        <v>44500</v>
      </c>
      <c r="F1" s="41">
        <v>44530</v>
      </c>
      <c r="G1" s="41">
        <v>44561</v>
      </c>
      <c r="H1" s="41">
        <v>44592</v>
      </c>
      <c r="I1" s="41">
        <v>44620</v>
      </c>
      <c r="J1" s="41">
        <v>44651</v>
      </c>
      <c r="K1" s="41">
        <v>44681</v>
      </c>
      <c r="L1" s="41">
        <v>44712</v>
      </c>
      <c r="M1" s="41">
        <v>44742</v>
      </c>
      <c r="N1" s="41">
        <v>44773</v>
      </c>
      <c r="O1" s="41">
        <v>44804</v>
      </c>
      <c r="P1" s="41">
        <v>44834</v>
      </c>
      <c r="Q1" s="41">
        <v>44865</v>
      </c>
      <c r="R1" s="41">
        <v>44895</v>
      </c>
      <c r="S1" s="41">
        <v>44926</v>
      </c>
      <c r="T1" s="41">
        <v>44957</v>
      </c>
      <c r="U1" s="41">
        <v>44985</v>
      </c>
      <c r="V1" s="41">
        <v>45016</v>
      </c>
      <c r="W1" s="41">
        <v>45046</v>
      </c>
      <c r="X1" s="41">
        <v>45077</v>
      </c>
      <c r="Y1" s="41">
        <v>45107</v>
      </c>
      <c r="Z1" s="41">
        <v>45138</v>
      </c>
      <c r="AA1" s="41">
        <v>45169</v>
      </c>
      <c r="AB1" s="41">
        <v>45199</v>
      </c>
      <c r="AC1" s="41">
        <v>45230</v>
      </c>
      <c r="AD1" s="41">
        <v>45260</v>
      </c>
      <c r="AE1" s="41">
        <v>45291</v>
      </c>
    </row>
    <row r="2" spans="1:31" x14ac:dyDescent="0.25">
      <c r="A2" s="22" t="s">
        <v>61</v>
      </c>
      <c r="B2" s="22" t="s">
        <v>18</v>
      </c>
      <c r="C2" s="22" t="s">
        <v>133</v>
      </c>
      <c r="D2" s="9">
        <f>IFERROR(LOOKUP(2,1/(LEN(E2:XFD2)&gt;0),E2:XFD2),0)</f>
        <v>3583043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>
        <v>3583043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x14ac:dyDescent="0.25">
      <c r="A3" s="22" t="s">
        <v>60</v>
      </c>
      <c r="B3" s="22" t="s">
        <v>22</v>
      </c>
      <c r="C3" s="22" t="s">
        <v>134</v>
      </c>
      <c r="D3" s="9">
        <f t="shared" ref="D3:D31" si="0">IFERROR(LOOKUP(2,1/(LEN(E3:XFD3)&gt;0),E3:XFD3),0)</f>
        <v>765567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>
        <v>765567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x14ac:dyDescent="0.25">
      <c r="A4" s="22" t="s">
        <v>57</v>
      </c>
      <c r="B4" s="22" t="s">
        <v>19</v>
      </c>
      <c r="C4" s="22" t="s">
        <v>135</v>
      </c>
      <c r="D4" s="9">
        <f t="shared" si="0"/>
        <v>690020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>
        <v>690020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x14ac:dyDescent="0.25">
      <c r="A5" s="22" t="s">
        <v>59</v>
      </c>
      <c r="B5" s="22" t="s">
        <v>21</v>
      </c>
      <c r="C5" s="22" t="s">
        <v>136</v>
      </c>
      <c r="D5" s="9">
        <f t="shared" si="0"/>
        <v>1500000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>
        <v>1500000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x14ac:dyDescent="0.25">
      <c r="A6" s="22" t="s">
        <v>58</v>
      </c>
      <c r="B6" s="22" t="s">
        <v>20</v>
      </c>
      <c r="C6" s="22" t="s">
        <v>137</v>
      </c>
      <c r="D6" s="9">
        <f t="shared" si="0"/>
        <v>569099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>
        <v>569099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x14ac:dyDescent="0.25">
      <c r="A7" s="22" t="s">
        <v>62</v>
      </c>
      <c r="B7" s="22" t="s">
        <v>24</v>
      </c>
      <c r="C7" s="22" t="s">
        <v>138</v>
      </c>
      <c r="D7" s="9">
        <f t="shared" si="0"/>
        <v>1311678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>
        <v>1311678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x14ac:dyDescent="0.25">
      <c r="A8" s="22" t="s">
        <v>77</v>
      </c>
      <c r="B8" s="22" t="s">
        <v>42</v>
      </c>
      <c r="C8" s="22" t="s">
        <v>139</v>
      </c>
      <c r="D8" s="9">
        <f t="shared" si="0"/>
        <v>1114008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>
        <v>1114008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x14ac:dyDescent="0.25">
      <c r="A9" s="22" t="s">
        <v>63</v>
      </c>
      <c r="B9" s="22" t="s">
        <v>25</v>
      </c>
      <c r="C9" s="22" t="s">
        <v>140</v>
      </c>
      <c r="D9" s="9">
        <f t="shared" si="0"/>
        <v>1917470.17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>
        <v>1917470.17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x14ac:dyDescent="0.25">
      <c r="A10" s="22" t="s">
        <v>70</v>
      </c>
      <c r="B10" s="22" t="s">
        <v>26</v>
      </c>
      <c r="C10" s="22" t="s">
        <v>141</v>
      </c>
      <c r="D10" s="9">
        <f t="shared" si="0"/>
        <v>1682585.17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>
        <v>1682585.17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x14ac:dyDescent="0.25">
      <c r="A11" s="22" t="s">
        <v>79</v>
      </c>
      <c r="B11" s="22" t="s">
        <v>44</v>
      </c>
      <c r="C11" s="22" t="s">
        <v>142</v>
      </c>
      <c r="D11" s="9">
        <f t="shared" si="0"/>
        <v>1561943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>
        <v>1561943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x14ac:dyDescent="0.25">
      <c r="A12" s="22" t="s">
        <v>71</v>
      </c>
      <c r="B12" s="22" t="s">
        <v>28</v>
      </c>
      <c r="C12" s="22" t="s">
        <v>143</v>
      </c>
      <c r="D12" s="9">
        <f t="shared" si="0"/>
        <v>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>
        <v>0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x14ac:dyDescent="0.25">
      <c r="A13" s="22" t="s">
        <v>64</v>
      </c>
      <c r="B13" s="22" t="s">
        <v>29</v>
      </c>
      <c r="C13" s="22" t="s">
        <v>144</v>
      </c>
      <c r="D13" s="9">
        <f t="shared" si="0"/>
        <v>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>
        <v>0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x14ac:dyDescent="0.25">
      <c r="A14" s="22" t="s">
        <v>72</v>
      </c>
      <c r="B14" s="22" t="s">
        <v>30</v>
      </c>
      <c r="C14" s="22" t="s">
        <v>145</v>
      </c>
      <c r="D14" s="9">
        <f t="shared" si="0"/>
        <v>42746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>
        <v>42746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x14ac:dyDescent="0.25">
      <c r="A15" s="22" t="s">
        <v>73</v>
      </c>
      <c r="B15" s="22" t="s">
        <v>31</v>
      </c>
      <c r="C15" s="22" t="s">
        <v>146</v>
      </c>
      <c r="D15" s="9">
        <f t="shared" si="0"/>
        <v>35693103.950000003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>
        <v>35693103.950000003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x14ac:dyDescent="0.25">
      <c r="A16" s="22" t="s">
        <v>65</v>
      </c>
      <c r="B16" s="22" t="s">
        <v>83</v>
      </c>
      <c r="C16" s="22" t="s">
        <v>147</v>
      </c>
      <c r="D16" s="9">
        <f t="shared" si="0"/>
        <v>11532500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>
        <v>11532500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x14ac:dyDescent="0.25">
      <c r="A17" s="22" t="s">
        <v>65</v>
      </c>
      <c r="B17" s="22" t="s">
        <v>85</v>
      </c>
      <c r="C17" s="22" t="s">
        <v>148</v>
      </c>
      <c r="D17" s="9">
        <f t="shared" si="0"/>
        <v>447266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>
        <v>447266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x14ac:dyDescent="0.25">
      <c r="A18" s="22" t="s">
        <v>65</v>
      </c>
      <c r="B18" s="22" t="s">
        <v>84</v>
      </c>
      <c r="C18" s="22" t="s">
        <v>149</v>
      </c>
      <c r="D18" s="9">
        <f t="shared" si="0"/>
        <v>422747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>
        <v>422747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x14ac:dyDescent="0.25">
      <c r="A19" s="22" t="s">
        <v>68</v>
      </c>
      <c r="B19" s="22" t="s">
        <v>35</v>
      </c>
      <c r="C19" s="22" t="s">
        <v>150</v>
      </c>
      <c r="D19" s="9">
        <f t="shared" si="0"/>
        <v>400000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>
        <v>400000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x14ac:dyDescent="0.25">
      <c r="A20" s="22" t="s">
        <v>75</v>
      </c>
      <c r="B20" s="22" t="s">
        <v>36</v>
      </c>
      <c r="C20" s="22" t="s">
        <v>151</v>
      </c>
      <c r="D20" s="9">
        <f t="shared" si="0"/>
        <v>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>
        <v>0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x14ac:dyDescent="0.25">
      <c r="A21" s="22" t="s">
        <v>66</v>
      </c>
      <c r="B21" s="22" t="s">
        <v>33</v>
      </c>
      <c r="C21" s="22" t="s">
        <v>152</v>
      </c>
      <c r="D21" s="9">
        <f t="shared" si="0"/>
        <v>13500000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>
        <v>13500000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x14ac:dyDescent="0.25">
      <c r="A22" s="22" t="s">
        <v>67</v>
      </c>
      <c r="B22" s="22" t="s">
        <v>34</v>
      </c>
      <c r="C22" s="22" t="s">
        <v>153</v>
      </c>
      <c r="D22" s="9">
        <f t="shared" si="0"/>
        <v>719962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>
        <v>719962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x14ac:dyDescent="0.25">
      <c r="A23" s="22" t="s">
        <v>74</v>
      </c>
      <c r="B23" s="22" t="s">
        <v>37</v>
      </c>
      <c r="C23" s="22" t="s">
        <v>154</v>
      </c>
      <c r="D23" s="9">
        <f t="shared" si="0"/>
        <v>148116.00000000003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>
        <v>148116.00000000003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x14ac:dyDescent="0.25">
      <c r="A24" s="22" t="s">
        <v>69</v>
      </c>
      <c r="B24" s="22" t="s">
        <v>38</v>
      </c>
      <c r="C24" s="22" t="s">
        <v>155</v>
      </c>
      <c r="D24" s="9">
        <f t="shared" si="0"/>
        <v>4776723.43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>
        <v>4776723.43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x14ac:dyDescent="0.25">
      <c r="A25" s="22" t="s">
        <v>76</v>
      </c>
      <c r="B25" s="22" t="s">
        <v>40</v>
      </c>
      <c r="C25" s="22" t="s">
        <v>156</v>
      </c>
      <c r="D25" s="9">
        <f t="shared" si="0"/>
        <v>202342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>
        <v>202342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x14ac:dyDescent="0.25">
      <c r="A26" s="22" t="s">
        <v>78</v>
      </c>
      <c r="B26" s="22" t="s">
        <v>43</v>
      </c>
      <c r="C26" s="22" t="s">
        <v>157</v>
      </c>
      <c r="D26" s="9">
        <f t="shared" si="0"/>
        <v>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>
        <v>0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x14ac:dyDescent="0.25">
      <c r="A27" s="22" t="s">
        <v>61</v>
      </c>
      <c r="B27" s="22" t="s">
        <v>18</v>
      </c>
      <c r="C27" s="22" t="s">
        <v>200</v>
      </c>
      <c r="D27" s="9">
        <f t="shared" si="0"/>
        <v>-83420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>
        <v>-83420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x14ac:dyDescent="0.25">
      <c r="A28" s="22" t="s">
        <v>60</v>
      </c>
      <c r="B28" s="22" t="s">
        <v>22</v>
      </c>
      <c r="C28" s="22" t="s">
        <v>201</v>
      </c>
      <c r="D28" s="9">
        <f t="shared" si="0"/>
        <v>0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>
        <v>0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x14ac:dyDescent="0.25">
      <c r="A29" s="22" t="s">
        <v>57</v>
      </c>
      <c r="B29" s="22" t="s">
        <v>19</v>
      </c>
      <c r="C29" s="22" t="s">
        <v>202</v>
      </c>
      <c r="D29" s="9">
        <f t="shared" si="0"/>
        <v>-83420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>
        <v>-83420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x14ac:dyDescent="0.25">
      <c r="A30" s="22" t="s">
        <v>59</v>
      </c>
      <c r="B30" s="22" t="s">
        <v>21</v>
      </c>
      <c r="C30" s="22" t="s">
        <v>203</v>
      </c>
      <c r="D30" s="9">
        <f t="shared" si="0"/>
        <v>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>
        <v>0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x14ac:dyDescent="0.25">
      <c r="A31" s="22" t="s">
        <v>58</v>
      </c>
      <c r="B31" s="22" t="s">
        <v>20</v>
      </c>
      <c r="C31" s="22" t="s">
        <v>204</v>
      </c>
      <c r="D31" s="9">
        <f t="shared" si="0"/>
        <v>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>
        <v>0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x14ac:dyDescent="0.25">
      <c r="A32" s="22" t="s">
        <v>62</v>
      </c>
      <c r="B32" s="22" t="s">
        <v>24</v>
      </c>
      <c r="C32" s="22" t="s">
        <v>205</v>
      </c>
      <c r="D32" s="9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>
        <v>0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x14ac:dyDescent="0.25">
      <c r="A33" s="22" t="s">
        <v>77</v>
      </c>
      <c r="B33" s="22" t="s">
        <v>42</v>
      </c>
      <c r="C33" s="22" t="s">
        <v>206</v>
      </c>
      <c r="D33" s="9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>
        <v>0</v>
      </c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x14ac:dyDescent="0.25">
      <c r="A34" s="22" t="s">
        <v>63</v>
      </c>
      <c r="B34" s="22" t="s">
        <v>25</v>
      </c>
      <c r="C34" s="22" t="s">
        <v>207</v>
      </c>
      <c r="D34" s="9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>
        <v>0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x14ac:dyDescent="0.25">
      <c r="A35" s="22" t="s">
        <v>70</v>
      </c>
      <c r="B35" s="22" t="s">
        <v>26</v>
      </c>
      <c r="C35" s="22" t="s">
        <v>208</v>
      </c>
      <c r="D35" s="9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>
        <v>0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x14ac:dyDescent="0.25">
      <c r="A36" s="22" t="s">
        <v>79</v>
      </c>
      <c r="B36" s="22" t="s">
        <v>44</v>
      </c>
      <c r="C36" s="22" t="s">
        <v>209</v>
      </c>
      <c r="D36" s="9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>
        <v>0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x14ac:dyDescent="0.25">
      <c r="A37" s="22" t="s">
        <v>71</v>
      </c>
      <c r="B37" s="22" t="s">
        <v>28</v>
      </c>
      <c r="C37" s="22" t="s">
        <v>210</v>
      </c>
      <c r="D37" s="9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>
        <v>0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x14ac:dyDescent="0.25">
      <c r="A38" s="22" t="s">
        <v>64</v>
      </c>
      <c r="B38" s="22" t="s">
        <v>29</v>
      </c>
      <c r="C38" s="22" t="s">
        <v>211</v>
      </c>
      <c r="D38" s="9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>
        <v>0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x14ac:dyDescent="0.25">
      <c r="A39" s="22" t="s">
        <v>72</v>
      </c>
      <c r="B39" s="22" t="s">
        <v>30</v>
      </c>
      <c r="C39" s="22" t="s">
        <v>212</v>
      </c>
      <c r="D39" s="9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>
        <v>0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x14ac:dyDescent="0.25">
      <c r="A40" s="22" t="s">
        <v>73</v>
      </c>
      <c r="B40" s="22" t="s">
        <v>31</v>
      </c>
      <c r="C40" s="22" t="s">
        <v>213</v>
      </c>
      <c r="D40" s="9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>
        <v>0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x14ac:dyDescent="0.25">
      <c r="A41" s="22" t="s">
        <v>65</v>
      </c>
      <c r="B41" s="22" t="s">
        <v>83</v>
      </c>
      <c r="C41" s="22" t="s">
        <v>214</v>
      </c>
      <c r="D41" s="9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>
        <v>0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x14ac:dyDescent="0.25">
      <c r="A42" s="22" t="s">
        <v>65</v>
      </c>
      <c r="B42" s="22" t="s">
        <v>85</v>
      </c>
      <c r="C42" s="22" t="s">
        <v>215</v>
      </c>
      <c r="D42" s="9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>
        <v>0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x14ac:dyDescent="0.25">
      <c r="A43" s="22" t="s">
        <v>65</v>
      </c>
      <c r="B43" s="22" t="s">
        <v>84</v>
      </c>
      <c r="C43" s="22" t="s">
        <v>216</v>
      </c>
      <c r="D43" s="9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>
        <v>0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x14ac:dyDescent="0.25">
      <c r="A44" s="22" t="s">
        <v>68</v>
      </c>
      <c r="B44" s="22" t="s">
        <v>35</v>
      </c>
      <c r="C44" s="22" t="s">
        <v>217</v>
      </c>
      <c r="D44" s="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>
        <v>0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x14ac:dyDescent="0.25">
      <c r="A45" s="22" t="s">
        <v>75</v>
      </c>
      <c r="B45" s="22" t="s">
        <v>36</v>
      </c>
      <c r="C45" s="22" t="s">
        <v>218</v>
      </c>
      <c r="D45" s="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>
        <v>0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x14ac:dyDescent="0.25">
      <c r="A46" s="22" t="s">
        <v>66</v>
      </c>
      <c r="B46" s="22" t="s">
        <v>33</v>
      </c>
      <c r="C46" s="22" t="s">
        <v>219</v>
      </c>
      <c r="D46" s="9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>
        <v>0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x14ac:dyDescent="0.25">
      <c r="A47" s="22" t="s">
        <v>67</v>
      </c>
      <c r="B47" s="22" t="s">
        <v>34</v>
      </c>
      <c r="C47" s="22" t="s">
        <v>220</v>
      </c>
      <c r="D47" s="9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>
        <v>0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x14ac:dyDescent="0.25">
      <c r="A48" s="22" t="s">
        <v>74</v>
      </c>
      <c r="B48" s="22" t="s">
        <v>37</v>
      </c>
      <c r="C48" s="22" t="s">
        <v>221</v>
      </c>
      <c r="D48" s="9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>
        <v>0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x14ac:dyDescent="0.25">
      <c r="A49" s="22" t="s">
        <v>69</v>
      </c>
      <c r="B49" s="22" t="s">
        <v>38</v>
      </c>
      <c r="C49" s="22" t="s">
        <v>222</v>
      </c>
      <c r="D49" s="9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>
        <v>0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x14ac:dyDescent="0.25">
      <c r="A50" s="22" t="s">
        <v>76</v>
      </c>
      <c r="B50" s="22" t="s">
        <v>40</v>
      </c>
      <c r="C50" s="22" t="s">
        <v>223</v>
      </c>
      <c r="D50" s="9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>
        <v>0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x14ac:dyDescent="0.25">
      <c r="A51" s="22" t="s">
        <v>78</v>
      </c>
      <c r="B51" s="22" t="s">
        <v>43</v>
      </c>
      <c r="C51" s="22" t="s">
        <v>224</v>
      </c>
      <c r="D51" s="9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>
        <v>0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x14ac:dyDescent="0.25">
      <c r="A52" s="22" t="s">
        <v>80</v>
      </c>
      <c r="B52" s="22" t="s">
        <v>45</v>
      </c>
      <c r="C52" s="22" t="s">
        <v>225</v>
      </c>
      <c r="D52" s="9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>
        <v>-5260115.6000000006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x14ac:dyDescent="0.25">
      <c r="A53" s="22" t="s">
        <v>81</v>
      </c>
      <c r="B53" s="22" t="s">
        <v>86</v>
      </c>
      <c r="C53" s="22" t="s">
        <v>158</v>
      </c>
      <c r="D53" s="9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>
        <v>0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x14ac:dyDescent="0.25">
      <c r="A54" s="22" t="s">
        <v>81</v>
      </c>
      <c r="B54" s="22" t="s">
        <v>86</v>
      </c>
      <c r="C54" s="22" t="s">
        <v>159</v>
      </c>
      <c r="D54" s="9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>
        <v>0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x14ac:dyDescent="0.25">
      <c r="A55" s="22" t="s">
        <v>82</v>
      </c>
      <c r="B55" s="22" t="s">
        <v>87</v>
      </c>
      <c r="C55" s="22" t="s">
        <v>160</v>
      </c>
      <c r="D55" s="9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>
        <v>0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x14ac:dyDescent="0.25">
      <c r="A56" s="22" t="s">
        <v>82</v>
      </c>
      <c r="B56" s="22" t="s">
        <v>87</v>
      </c>
      <c r="C56" s="22" t="s">
        <v>161</v>
      </c>
      <c r="D56" s="9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>
        <v>0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x14ac:dyDescent="0.25">
      <c r="A57" s="22" t="s">
        <v>81</v>
      </c>
      <c r="B57" s="22" t="s">
        <v>86</v>
      </c>
      <c r="C57" s="22" t="s">
        <v>226</v>
      </c>
      <c r="D57" s="9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>
        <v>0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x14ac:dyDescent="0.25">
      <c r="A58" s="22" t="s">
        <v>81</v>
      </c>
      <c r="B58" s="22" t="s">
        <v>86</v>
      </c>
      <c r="C58" s="22" t="s">
        <v>227</v>
      </c>
      <c r="D58" s="9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>
        <v>0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x14ac:dyDescent="0.25">
      <c r="A59" s="22" t="s">
        <v>82</v>
      </c>
      <c r="B59" s="22" t="s">
        <v>87</v>
      </c>
      <c r="C59" s="22" t="s">
        <v>228</v>
      </c>
      <c r="D59" s="9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>
        <v>0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x14ac:dyDescent="0.25">
      <c r="A60" s="22" t="s">
        <v>82</v>
      </c>
      <c r="B60" s="22" t="s">
        <v>87</v>
      </c>
      <c r="C60" s="22" t="s">
        <v>229</v>
      </c>
      <c r="D60" s="9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>
        <v>0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x14ac:dyDescent="0.25">
      <c r="A61" s="22"/>
      <c r="B61" s="22"/>
      <c r="C61" s="22"/>
      <c r="D61" s="9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x14ac:dyDescent="0.25">
      <c r="A62" s="22"/>
      <c r="B62" s="22"/>
      <c r="C62" s="22"/>
      <c r="D62" s="9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1:31" x14ac:dyDescent="0.25">
      <c r="A63" s="22"/>
      <c r="B63" s="22"/>
      <c r="C63" s="22"/>
      <c r="D63" s="9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x14ac:dyDescent="0.25">
      <c r="A64" s="22"/>
      <c r="B64" s="22"/>
      <c r="C64" s="22"/>
      <c r="D64" s="9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x14ac:dyDescent="0.25">
      <c r="A65" s="22"/>
      <c r="B65" s="22"/>
      <c r="C65" s="22"/>
      <c r="D65" s="9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x14ac:dyDescent="0.25">
      <c r="A66" s="22"/>
      <c r="B66" s="22"/>
      <c r="C66" s="22"/>
      <c r="D66" s="9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x14ac:dyDescent="0.25">
      <c r="A67" s="22"/>
      <c r="B67" s="22"/>
      <c r="C67" s="22"/>
      <c r="D67" s="9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x14ac:dyDescent="0.25">
      <c r="A68" s="22"/>
      <c r="B68" s="22"/>
      <c r="C68" s="22"/>
      <c r="D68" s="9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x14ac:dyDescent="0.25">
      <c r="A69" s="22"/>
      <c r="B69" s="22"/>
      <c r="C69" s="22"/>
      <c r="D69" s="9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x14ac:dyDescent="0.25">
      <c r="A70" s="22"/>
      <c r="B70" s="22"/>
      <c r="C70" s="22"/>
      <c r="D70" s="9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x14ac:dyDescent="0.25">
      <c r="A71" s="22"/>
      <c r="B71" s="22"/>
      <c r="C71" s="22"/>
      <c r="D71" s="9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x14ac:dyDescent="0.25">
      <c r="A72" s="22"/>
      <c r="B72" s="22"/>
      <c r="C72" s="22"/>
      <c r="D72" s="9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x14ac:dyDescent="0.25">
      <c r="A73" s="22"/>
      <c r="B73" s="22"/>
      <c r="C73" s="22"/>
      <c r="D73" s="9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x14ac:dyDescent="0.25">
      <c r="A74" s="22"/>
      <c r="B74" s="22"/>
      <c r="C74" s="22"/>
      <c r="D74" s="9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x14ac:dyDescent="0.25">
      <c r="A75" s="22"/>
      <c r="B75" s="22"/>
      <c r="C75" s="22"/>
      <c r="D75" s="9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x14ac:dyDescent="0.25">
      <c r="A76" s="22"/>
      <c r="B76" s="22"/>
      <c r="C76" s="22"/>
      <c r="D76" s="9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x14ac:dyDescent="0.25">
      <c r="A77" s="22"/>
      <c r="B77" s="22"/>
      <c r="C77" s="22"/>
      <c r="D77" s="9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x14ac:dyDescent="0.25">
      <c r="A78" s="22"/>
      <c r="B78" s="22"/>
      <c r="C78" s="22"/>
      <c r="D78" s="9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x14ac:dyDescent="0.25">
      <c r="A79" s="22"/>
      <c r="B79" s="22"/>
      <c r="C79" s="22"/>
      <c r="D79" s="9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x14ac:dyDescent="0.25">
      <c r="A80" s="22"/>
      <c r="B80" s="22"/>
      <c r="C80" s="22"/>
      <c r="D80" s="9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x14ac:dyDescent="0.25">
      <c r="A81" s="22"/>
      <c r="B81" s="22"/>
      <c r="C81" s="22"/>
      <c r="D81" s="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x14ac:dyDescent="0.25">
      <c r="A82" s="22"/>
      <c r="B82" s="22"/>
      <c r="C82" s="22"/>
      <c r="D82" s="9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x14ac:dyDescent="0.25">
      <c r="A83" s="22"/>
      <c r="B83" s="22"/>
      <c r="C83" s="22"/>
      <c r="D83" s="9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x14ac:dyDescent="0.25">
      <c r="A84" s="22"/>
      <c r="B84" s="22"/>
      <c r="C84" s="22"/>
      <c r="D84" s="9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x14ac:dyDescent="0.25">
      <c r="A85" s="22"/>
      <c r="B85" s="22"/>
      <c r="C85" s="22"/>
      <c r="D85" s="9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x14ac:dyDescent="0.25">
      <c r="A86" s="22"/>
      <c r="B86" s="22"/>
      <c r="C86" s="22"/>
      <c r="D86" s="9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4712CB-C8C6-4131-9205-F647F27D10A1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3528-C4D6-41B4-AB35-EC560A31E0E5}">
  <dimension ref="A2:C28"/>
  <sheetViews>
    <sheetView workbookViewId="0">
      <selection activeCell="C9" sqref="C9:C12"/>
    </sheetView>
  </sheetViews>
  <sheetFormatPr defaultRowHeight="15" x14ac:dyDescent="0.25"/>
  <sheetData>
    <row r="2" spans="1:3" x14ac:dyDescent="0.25">
      <c r="A2" t="s">
        <v>327</v>
      </c>
      <c r="C2" t="s">
        <v>328</v>
      </c>
    </row>
    <row r="3" spans="1:3" x14ac:dyDescent="0.25">
      <c r="A3" t="s">
        <v>61</v>
      </c>
      <c r="C3" t="s">
        <v>114</v>
      </c>
    </row>
    <row r="4" spans="1:3" x14ac:dyDescent="0.25">
      <c r="A4" t="s">
        <v>57</v>
      </c>
      <c r="C4" t="s">
        <v>115</v>
      </c>
    </row>
    <row r="5" spans="1:3" x14ac:dyDescent="0.25">
      <c r="A5" t="s">
        <v>58</v>
      </c>
      <c r="C5" t="s">
        <v>116</v>
      </c>
    </row>
    <row r="6" spans="1:3" x14ac:dyDescent="0.25">
      <c r="A6" t="s">
        <v>59</v>
      </c>
      <c r="C6" t="s">
        <v>117</v>
      </c>
    </row>
    <row r="7" spans="1:3" x14ac:dyDescent="0.25">
      <c r="A7" t="s">
        <v>60</v>
      </c>
      <c r="C7" t="s">
        <v>118</v>
      </c>
    </row>
    <row r="8" spans="1:3" x14ac:dyDescent="0.25">
      <c r="A8" t="s">
        <v>62</v>
      </c>
      <c r="C8" t="s">
        <v>119</v>
      </c>
    </row>
    <row r="9" spans="1:3" x14ac:dyDescent="0.25">
      <c r="A9" t="s">
        <v>63</v>
      </c>
      <c r="C9" t="s">
        <v>120</v>
      </c>
    </row>
    <row r="10" spans="1:3" x14ac:dyDescent="0.25">
      <c r="A10" t="s">
        <v>70</v>
      </c>
      <c r="C10" t="s">
        <v>121</v>
      </c>
    </row>
    <row r="11" spans="1:3" x14ac:dyDescent="0.25">
      <c r="A11" t="s">
        <v>71</v>
      </c>
      <c r="C11" t="s">
        <v>122</v>
      </c>
    </row>
    <row r="12" spans="1:3" x14ac:dyDescent="0.25">
      <c r="A12" t="s">
        <v>64</v>
      </c>
      <c r="C12" t="s">
        <v>123</v>
      </c>
    </row>
    <row r="13" spans="1:3" x14ac:dyDescent="0.25">
      <c r="A13" t="s">
        <v>72</v>
      </c>
    </row>
    <row r="14" spans="1:3" x14ac:dyDescent="0.25">
      <c r="A14" t="s">
        <v>73</v>
      </c>
    </row>
    <row r="15" spans="1:3" x14ac:dyDescent="0.25">
      <c r="A15" t="s">
        <v>65</v>
      </c>
    </row>
    <row r="16" spans="1:3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75</v>
      </c>
    </row>
    <row r="20" spans="1:1" x14ac:dyDescent="0.25">
      <c r="A20" t="s">
        <v>74</v>
      </c>
    </row>
    <row r="21" spans="1:1" x14ac:dyDescent="0.25">
      <c r="A21" t="s">
        <v>69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E89A-AD5F-4A47-B100-67A646DE7F2A}">
  <sheetPr codeName="Planilha4">
    <tabColor theme="5" tint="-0.249977111117893"/>
  </sheetPr>
  <dimension ref="A1:AN100"/>
  <sheetViews>
    <sheetView workbookViewId="0">
      <pane xSplit="4" ySplit="1" topLeftCell="E20" activePane="bottomRight" state="frozen"/>
      <selection activeCell="D41" sqref="D41"/>
      <selection pane="topRight" activeCell="D41" sqref="D41"/>
      <selection pane="bottomLeft" activeCell="D41" sqref="D41"/>
      <selection pane="bottomRight" activeCell="E2" sqref="E2"/>
    </sheetView>
  </sheetViews>
  <sheetFormatPr defaultRowHeight="15" x14ac:dyDescent="0.25"/>
  <cols>
    <col min="1" max="1" width="6.42578125" customWidth="1"/>
    <col min="2" max="2" width="38.5703125" customWidth="1"/>
    <col min="3" max="3" width="5.7109375" customWidth="1"/>
    <col min="4" max="4" width="30" bestFit="1" customWidth="1"/>
    <col min="5" max="13" width="10.7109375" style="18" bestFit="1" customWidth="1"/>
    <col min="14" max="16" width="12.42578125" style="18" customWidth="1"/>
    <col min="17" max="40" width="12.42578125" style="18" bestFit="1" customWidth="1"/>
    <col min="41" max="45" width="12.42578125" bestFit="1" customWidth="1"/>
  </cols>
  <sheetData>
    <row r="1" spans="1:40" x14ac:dyDescent="0.25">
      <c r="A1" s="22" t="s">
        <v>56</v>
      </c>
      <c r="B1" s="22" t="s">
        <v>0</v>
      </c>
      <c r="C1" s="22" t="s">
        <v>243</v>
      </c>
      <c r="D1" s="22" t="s">
        <v>1</v>
      </c>
      <c r="E1" s="41">
        <v>44227</v>
      </c>
      <c r="F1" s="41">
        <v>44255</v>
      </c>
      <c r="G1" s="41">
        <v>44286</v>
      </c>
      <c r="H1" s="41">
        <v>44316</v>
      </c>
      <c r="I1" s="41">
        <v>44347</v>
      </c>
      <c r="J1" s="41">
        <v>44377</v>
      </c>
      <c r="K1" s="41">
        <v>44408</v>
      </c>
      <c r="L1" s="41">
        <v>44439</v>
      </c>
      <c r="M1" s="41">
        <v>44469</v>
      </c>
      <c r="N1" s="41">
        <v>44500</v>
      </c>
      <c r="O1" s="41">
        <v>44530</v>
      </c>
      <c r="P1" s="41">
        <v>44561</v>
      </c>
      <c r="Q1" s="41">
        <v>44592</v>
      </c>
      <c r="R1" s="41">
        <v>44620</v>
      </c>
      <c r="S1" s="41">
        <v>44651</v>
      </c>
      <c r="T1" s="41">
        <v>44681</v>
      </c>
      <c r="U1" s="41">
        <v>44712</v>
      </c>
      <c r="V1" s="41">
        <v>44742</v>
      </c>
      <c r="W1" s="41">
        <v>44773</v>
      </c>
      <c r="X1" s="41">
        <v>44804</v>
      </c>
      <c r="Y1" s="41">
        <v>44834</v>
      </c>
      <c r="Z1" s="41">
        <v>44865</v>
      </c>
      <c r="AA1" s="41">
        <v>44895</v>
      </c>
      <c r="AB1" s="41">
        <v>44926</v>
      </c>
      <c r="AC1" s="41">
        <v>44957</v>
      </c>
      <c r="AD1" s="41">
        <v>44985</v>
      </c>
      <c r="AE1" s="41">
        <v>45016</v>
      </c>
      <c r="AF1" s="41">
        <v>45046</v>
      </c>
      <c r="AG1" s="41">
        <v>45077</v>
      </c>
      <c r="AH1" s="41">
        <v>45107</v>
      </c>
      <c r="AI1" s="41">
        <v>45138</v>
      </c>
      <c r="AJ1" s="41">
        <v>45169</v>
      </c>
      <c r="AK1" s="41">
        <v>45199</v>
      </c>
      <c r="AL1" s="41">
        <v>45230</v>
      </c>
      <c r="AM1" s="41">
        <v>45260</v>
      </c>
      <c r="AN1" s="41">
        <v>45291</v>
      </c>
    </row>
    <row r="2" spans="1:40" x14ac:dyDescent="0.25">
      <c r="A2" s="22" t="s">
        <v>61</v>
      </c>
      <c r="B2" s="22" t="s">
        <v>18</v>
      </c>
      <c r="C2" s="22" t="str">
        <f>INDEX(RCL!$C:$C,MATCH('Receita Arrecadada'!A2,RCL!$B:$B,0))</f>
        <v>soma</v>
      </c>
      <c r="D2" s="22" t="s">
        <v>133</v>
      </c>
      <c r="E2" s="42">
        <v>135784.13</v>
      </c>
      <c r="F2" s="42">
        <v>133510.29</v>
      </c>
      <c r="G2" s="42">
        <v>151434.16</v>
      </c>
      <c r="H2" s="42">
        <v>229411.58</v>
      </c>
      <c r="I2" s="42">
        <v>353319.29</v>
      </c>
      <c r="J2" s="42">
        <v>660026.22</v>
      </c>
      <c r="K2" s="42">
        <v>234243.11</v>
      </c>
      <c r="L2" s="42">
        <v>238501.82</v>
      </c>
      <c r="M2" s="42">
        <v>358587.13</v>
      </c>
      <c r="N2" s="42">
        <v>221538.59</v>
      </c>
      <c r="O2" s="42">
        <v>200053.78</v>
      </c>
      <c r="P2" s="42">
        <v>251651.22</v>
      </c>
      <c r="Q2" s="42">
        <v>159672.41</v>
      </c>
      <c r="R2" s="42">
        <v>175360.19</v>
      </c>
      <c r="S2" s="42">
        <v>224163.72</v>
      </c>
      <c r="T2" s="42">
        <v>328874.23</v>
      </c>
      <c r="U2" s="42">
        <v>528991.57999999996</v>
      </c>
      <c r="V2" s="42">
        <v>519323.62</v>
      </c>
      <c r="W2" s="42">
        <v>224600.12</v>
      </c>
      <c r="X2" s="42">
        <v>496814.1</v>
      </c>
      <c r="Y2" s="42">
        <v>457968.03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25">
      <c r="A3" s="22" t="s">
        <v>60</v>
      </c>
      <c r="B3" s="22" t="s">
        <v>22</v>
      </c>
      <c r="C3" s="22">
        <f>INDEX(RCL!$C:$C,MATCH('Receita Arrecadada'!A3,RCL!$B:$B,0))</f>
        <v>0</v>
      </c>
      <c r="D3" s="22" t="s">
        <v>134</v>
      </c>
      <c r="E3" s="42">
        <v>55242.57</v>
      </c>
      <c r="F3" s="42">
        <v>50807.24</v>
      </c>
      <c r="G3" s="42">
        <v>49113.77</v>
      </c>
      <c r="H3" s="42">
        <v>49652.42</v>
      </c>
      <c r="I3" s="42">
        <v>48684.14</v>
      </c>
      <c r="J3" s="42">
        <v>50875.14</v>
      </c>
      <c r="K3" s="42">
        <v>51799.49</v>
      </c>
      <c r="L3" s="42">
        <v>51416.89</v>
      </c>
      <c r="M3" s="42">
        <v>52532.37</v>
      </c>
      <c r="N3" s="42">
        <v>53366.25</v>
      </c>
      <c r="O3" s="42">
        <v>51650.73</v>
      </c>
      <c r="P3" s="42">
        <v>111922.32</v>
      </c>
      <c r="Q3" s="42">
        <v>80906.55</v>
      </c>
      <c r="R3" s="42">
        <v>73297.56</v>
      </c>
      <c r="S3" s="42">
        <v>71774.23</v>
      </c>
      <c r="T3" s="42">
        <v>89818.1</v>
      </c>
      <c r="U3" s="42">
        <v>85699.13</v>
      </c>
      <c r="V3" s="42">
        <v>89701.15</v>
      </c>
      <c r="W3" s="42">
        <v>99450.73</v>
      </c>
      <c r="X3" s="42">
        <v>109086.13</v>
      </c>
      <c r="Y3" s="42">
        <v>95512.35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25">
      <c r="A4" s="22" t="s">
        <v>57</v>
      </c>
      <c r="B4" s="22" t="s">
        <v>19</v>
      </c>
      <c r="C4" s="22">
        <f>INDEX(RCL!$C:$C,MATCH('Receita Arrecadada'!A4,RCL!$B:$B,0))</f>
        <v>0</v>
      </c>
      <c r="D4" s="22" t="s">
        <v>135</v>
      </c>
      <c r="E4" s="42">
        <v>4642.47</v>
      </c>
      <c r="F4" s="42">
        <v>8263.82</v>
      </c>
      <c r="G4" s="42">
        <v>6051.06</v>
      </c>
      <c r="H4" s="42">
        <v>87257.62</v>
      </c>
      <c r="I4" s="42">
        <v>131125.66</v>
      </c>
      <c r="J4" s="42">
        <v>321573.78999999998</v>
      </c>
      <c r="K4" s="42">
        <v>16367.13</v>
      </c>
      <c r="L4" s="42">
        <v>70988.31</v>
      </c>
      <c r="M4" s="42">
        <v>24750.92</v>
      </c>
      <c r="N4" s="42">
        <v>21653.68</v>
      </c>
      <c r="O4" s="42">
        <v>19225.259999999998</v>
      </c>
      <c r="P4" s="42">
        <v>14199.34</v>
      </c>
      <c r="Q4" s="42">
        <v>1392.62</v>
      </c>
      <c r="R4" s="42">
        <v>5240.6499999999996</v>
      </c>
      <c r="S4" s="42">
        <v>34508.18</v>
      </c>
      <c r="T4" s="42">
        <v>84104.74</v>
      </c>
      <c r="U4" s="42">
        <v>166542.43</v>
      </c>
      <c r="V4" s="42">
        <v>313198.28000000003</v>
      </c>
      <c r="W4" s="42">
        <v>23531.439999999999</v>
      </c>
      <c r="X4" s="42">
        <v>24928.36</v>
      </c>
      <c r="Y4" s="42">
        <v>18237.04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25">
      <c r="A5" s="22" t="s">
        <v>59</v>
      </c>
      <c r="B5" s="22" t="s">
        <v>21</v>
      </c>
      <c r="C5" s="22">
        <f>INDEX(RCL!$C:$C,MATCH('Receita Arrecadada'!A5,RCL!$B:$B,0))</f>
        <v>0</v>
      </c>
      <c r="D5" s="22" t="s">
        <v>136</v>
      </c>
      <c r="E5" s="42">
        <v>33740</v>
      </c>
      <c r="F5" s="42">
        <v>28686</v>
      </c>
      <c r="G5" s="42">
        <v>50955</v>
      </c>
      <c r="H5" s="42">
        <v>43155</v>
      </c>
      <c r="I5" s="42">
        <v>123558.64</v>
      </c>
      <c r="J5" s="42">
        <v>234751.27</v>
      </c>
      <c r="K5" s="42">
        <v>103926</v>
      </c>
      <c r="L5" s="42">
        <v>52407</v>
      </c>
      <c r="M5" s="42">
        <v>212739</v>
      </c>
      <c r="N5" s="42">
        <v>65319</v>
      </c>
      <c r="O5" s="42">
        <v>53613</v>
      </c>
      <c r="P5" s="42">
        <v>71061</v>
      </c>
      <c r="Q5" s="42">
        <v>7479</v>
      </c>
      <c r="R5" s="42">
        <v>49917</v>
      </c>
      <c r="S5" s="42">
        <v>52788</v>
      </c>
      <c r="T5" s="42">
        <v>65286</v>
      </c>
      <c r="U5" s="42">
        <v>86361</v>
      </c>
      <c r="V5" s="42">
        <v>42126</v>
      </c>
      <c r="W5" s="42">
        <v>35250</v>
      </c>
      <c r="X5" s="42">
        <v>291463</v>
      </c>
      <c r="Y5" s="42">
        <v>249186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25">
      <c r="A6" s="22" t="s">
        <v>58</v>
      </c>
      <c r="B6" s="22" t="s">
        <v>20</v>
      </c>
      <c r="C6" s="22">
        <f>INDEX(RCL!$C:$C,MATCH('Receita Arrecadada'!A6,RCL!$B:$B,0))</f>
        <v>0</v>
      </c>
      <c r="D6" s="22" t="s">
        <v>137</v>
      </c>
      <c r="E6" s="42">
        <v>38132.22</v>
      </c>
      <c r="F6" s="42">
        <v>42713.23</v>
      </c>
      <c r="G6" s="42">
        <v>37970.42</v>
      </c>
      <c r="H6" s="42">
        <v>45224.78</v>
      </c>
      <c r="I6" s="42">
        <v>41306.370000000003</v>
      </c>
      <c r="J6" s="42">
        <v>48943.02</v>
      </c>
      <c r="K6" s="42">
        <v>57620.49</v>
      </c>
      <c r="L6" s="42">
        <v>53117.89</v>
      </c>
      <c r="M6" s="42">
        <v>63331.92</v>
      </c>
      <c r="N6" s="42">
        <v>55587.63</v>
      </c>
      <c r="O6" s="42">
        <v>55296.97</v>
      </c>
      <c r="P6" s="42">
        <v>50230.39</v>
      </c>
      <c r="Q6" s="42">
        <v>60777.24</v>
      </c>
      <c r="R6" s="42">
        <v>42348.99</v>
      </c>
      <c r="S6" s="42">
        <v>45562.95</v>
      </c>
      <c r="T6" s="42">
        <v>48846.62</v>
      </c>
      <c r="U6" s="42">
        <v>49649.35</v>
      </c>
      <c r="V6" s="42">
        <v>47417.26</v>
      </c>
      <c r="W6" s="42">
        <v>55545.3</v>
      </c>
      <c r="X6" s="42">
        <v>61066.47</v>
      </c>
      <c r="Y6" s="42">
        <v>70235.070000000007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25">
      <c r="A7" s="22" t="s">
        <v>62</v>
      </c>
      <c r="B7" s="22" t="s">
        <v>24</v>
      </c>
      <c r="C7" s="22" t="str">
        <f>INDEX(RCL!$C:$C,MATCH('Receita Arrecadada'!A7,RCL!$B:$B,0))</f>
        <v>soma</v>
      </c>
      <c r="D7" s="22" t="s">
        <v>138</v>
      </c>
      <c r="E7" s="42">
        <v>17109.240000000002</v>
      </c>
      <c r="F7" s="42">
        <v>110789.49</v>
      </c>
      <c r="G7" s="42">
        <v>99286.080000000002</v>
      </c>
      <c r="H7" s="42">
        <v>97556.64</v>
      </c>
      <c r="I7" s="42">
        <v>95705.38</v>
      </c>
      <c r="J7" s="42">
        <v>96956.64</v>
      </c>
      <c r="K7" s="42">
        <v>95350.76</v>
      </c>
      <c r="L7" s="42">
        <v>91843.66</v>
      </c>
      <c r="M7" s="42">
        <v>92315.55</v>
      </c>
      <c r="N7" s="42">
        <v>91093.41</v>
      </c>
      <c r="O7" s="42">
        <v>89561.81</v>
      </c>
      <c r="P7" s="42">
        <v>255577.11</v>
      </c>
      <c r="Q7" s="42">
        <v>17140.27</v>
      </c>
      <c r="R7" s="42">
        <v>112778.72</v>
      </c>
      <c r="S7" s="42">
        <v>112770.41</v>
      </c>
      <c r="T7" s="42">
        <v>112808.22</v>
      </c>
      <c r="U7" s="42">
        <v>110949.56</v>
      </c>
      <c r="V7" s="42">
        <v>112047.16</v>
      </c>
      <c r="W7" s="42">
        <v>112185.63</v>
      </c>
      <c r="X7" s="42">
        <v>115207.35</v>
      </c>
      <c r="Y7" s="42">
        <v>115605.82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25">
      <c r="A8" s="22" t="s">
        <v>77</v>
      </c>
      <c r="B8" s="22" t="s">
        <v>42</v>
      </c>
      <c r="C8" s="22" t="str">
        <f>INDEX(RCL!$C:$C,MATCH('Receita Arrecadada'!A8,RCL!$B:$B,0))</f>
        <v>deduz</v>
      </c>
      <c r="D8" s="22" t="s">
        <v>139</v>
      </c>
      <c r="E8" s="42">
        <v>0</v>
      </c>
      <c r="F8" s="42">
        <v>95596.03</v>
      </c>
      <c r="G8" s="42">
        <v>80974.649999999994</v>
      </c>
      <c r="H8" s="42">
        <v>79577.600000000006</v>
      </c>
      <c r="I8" s="42">
        <v>78437.37</v>
      </c>
      <c r="J8" s="42">
        <v>79030.59</v>
      </c>
      <c r="K8" s="42">
        <v>78466.33</v>
      </c>
      <c r="L8" s="42">
        <v>77153.89</v>
      </c>
      <c r="M8" s="42">
        <v>77815.67</v>
      </c>
      <c r="N8" s="42">
        <v>77335.429999999993</v>
      </c>
      <c r="O8" s="42">
        <v>75847.39</v>
      </c>
      <c r="P8" s="42">
        <v>240185.71</v>
      </c>
      <c r="Q8" s="42">
        <v>0</v>
      </c>
      <c r="R8" s="42">
        <v>96966.04</v>
      </c>
      <c r="S8" s="42">
        <v>94320.73</v>
      </c>
      <c r="T8" s="42">
        <v>93586.77</v>
      </c>
      <c r="U8" s="42">
        <v>93077.35</v>
      </c>
      <c r="V8" s="42">
        <v>96450.49</v>
      </c>
      <c r="W8" s="42">
        <v>97902.74</v>
      </c>
      <c r="X8" s="42">
        <v>100662.45</v>
      </c>
      <c r="Y8" s="42">
        <v>100851.53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25">
      <c r="A9" s="22" t="s">
        <v>63</v>
      </c>
      <c r="B9" s="22" t="s">
        <v>25</v>
      </c>
      <c r="C9" s="22" t="str">
        <f>INDEX(RCL!$C:$C,MATCH('Receita Arrecadada'!A9,RCL!$B:$B,0))</f>
        <v>soma</v>
      </c>
      <c r="D9" s="22" t="s">
        <v>140</v>
      </c>
      <c r="E9" s="42">
        <v>28348.6</v>
      </c>
      <c r="F9" s="42">
        <v>23080.85</v>
      </c>
      <c r="G9" s="42">
        <v>45682.45</v>
      </c>
      <c r="H9" s="42">
        <v>230913.26</v>
      </c>
      <c r="I9" s="42">
        <v>173197.07</v>
      </c>
      <c r="J9" s="42">
        <v>57832.93</v>
      </c>
      <c r="K9" s="42">
        <v>53404.58</v>
      </c>
      <c r="L9" s="42">
        <v>85098</v>
      </c>
      <c r="M9" s="42">
        <v>229089.06</v>
      </c>
      <c r="N9" s="42">
        <v>64363.14</v>
      </c>
      <c r="O9" s="42">
        <v>593429.07999999996</v>
      </c>
      <c r="P9" s="42">
        <v>339198.98</v>
      </c>
      <c r="Q9" s="42">
        <v>136133.06</v>
      </c>
      <c r="R9" s="42">
        <v>334745.95</v>
      </c>
      <c r="S9" s="42">
        <v>560962.81000000006</v>
      </c>
      <c r="T9" s="42">
        <v>347625.73</v>
      </c>
      <c r="U9" s="42">
        <v>371179.45</v>
      </c>
      <c r="V9" s="42">
        <v>291177.18</v>
      </c>
      <c r="W9" s="42">
        <v>283312.02</v>
      </c>
      <c r="X9" s="42">
        <v>348934.13</v>
      </c>
      <c r="Y9" s="42">
        <v>388346.61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25">
      <c r="A10" s="22" t="s">
        <v>70</v>
      </c>
      <c r="B10" s="22" t="s">
        <v>26</v>
      </c>
      <c r="C10" s="22">
        <f>INDEX(RCL!$C:$C,MATCH('Receita Arrecadada'!A10,RCL!$B:$B,0))</f>
        <v>0</v>
      </c>
      <c r="D10" s="22" t="s">
        <v>141</v>
      </c>
      <c r="E10" s="42">
        <v>11262.6</v>
      </c>
      <c r="F10" s="42">
        <v>2040.85</v>
      </c>
      <c r="G10" s="42">
        <v>27822.45</v>
      </c>
      <c r="H10" s="42">
        <v>213053.26</v>
      </c>
      <c r="I10" s="42">
        <v>155337.07</v>
      </c>
      <c r="J10" s="42">
        <v>39972.93</v>
      </c>
      <c r="K10" s="42">
        <v>35544.58</v>
      </c>
      <c r="L10" s="42">
        <v>66680.240000000005</v>
      </c>
      <c r="M10" s="42">
        <v>210684.06</v>
      </c>
      <c r="N10" s="42">
        <v>45958.14</v>
      </c>
      <c r="O10" s="42">
        <v>575569.07999999996</v>
      </c>
      <c r="P10" s="42">
        <v>320227.98</v>
      </c>
      <c r="Q10" s="42">
        <v>119384.06</v>
      </c>
      <c r="R10" s="42">
        <v>313710.95</v>
      </c>
      <c r="S10" s="42">
        <v>539927.81000000006</v>
      </c>
      <c r="T10" s="42">
        <v>326590.73</v>
      </c>
      <c r="U10" s="42">
        <v>350144.45</v>
      </c>
      <c r="V10" s="42">
        <v>270142.18</v>
      </c>
      <c r="W10" s="42">
        <v>262277.02</v>
      </c>
      <c r="X10" s="42">
        <v>346302.13</v>
      </c>
      <c r="Y10" s="42">
        <v>365919.61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</row>
    <row r="11" spans="1:40" x14ac:dyDescent="0.25">
      <c r="A11" s="22" t="s">
        <v>79</v>
      </c>
      <c r="B11" s="22" t="s">
        <v>44</v>
      </c>
      <c r="C11" s="22" t="str">
        <f>INDEX(RCL!$C:$C,MATCH('Receita Arrecadada'!A11,RCL!$B:$B,0))</f>
        <v>deduz</v>
      </c>
      <c r="D11" s="22" t="s">
        <v>142</v>
      </c>
      <c r="E11" s="42">
        <v>8505.31</v>
      </c>
      <c r="F11" s="42">
        <v>253.94</v>
      </c>
      <c r="G11" s="42">
        <v>22381.07</v>
      </c>
      <c r="H11" s="42">
        <v>206055.3</v>
      </c>
      <c r="I11" s="42">
        <v>142123.88</v>
      </c>
      <c r="J11" s="42">
        <v>23785.83</v>
      </c>
      <c r="K11" s="42">
        <v>11997.37</v>
      </c>
      <c r="L11" s="42">
        <v>36158.54</v>
      </c>
      <c r="M11" s="42">
        <v>176430.28</v>
      </c>
      <c r="N11" s="42">
        <v>13869.34</v>
      </c>
      <c r="O11" s="42">
        <v>525048.16</v>
      </c>
      <c r="P11" s="42">
        <v>262923.23</v>
      </c>
      <c r="Q11" s="42">
        <v>62803.12</v>
      </c>
      <c r="R11" s="42">
        <v>247516.97</v>
      </c>
      <c r="S11" s="42">
        <v>460786.39</v>
      </c>
      <c r="T11" s="42">
        <v>260588.42</v>
      </c>
      <c r="U11" s="42">
        <v>259413.06</v>
      </c>
      <c r="V11" s="42">
        <v>179709.2</v>
      </c>
      <c r="W11" s="42">
        <v>153627.38</v>
      </c>
      <c r="X11" s="42">
        <v>227383.51</v>
      </c>
      <c r="Y11" s="42">
        <v>262003.23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</row>
    <row r="12" spans="1:40" x14ac:dyDescent="0.25">
      <c r="A12" s="22" t="s">
        <v>71</v>
      </c>
      <c r="B12" s="22" t="s">
        <v>28</v>
      </c>
      <c r="C12" s="22" t="str">
        <f>INDEX(RCL!$C:$C,MATCH('Receita Arrecadada'!A12,RCL!$B:$B,0))</f>
        <v>soma</v>
      </c>
      <c r="D12" s="22" t="s">
        <v>143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25">
      <c r="A13" s="22" t="s">
        <v>64</v>
      </c>
      <c r="B13" s="22" t="s">
        <v>29</v>
      </c>
      <c r="C13" s="22" t="str">
        <f>INDEX(RCL!$C:$C,MATCH('Receita Arrecadada'!A13,RCL!$B:$B,0))</f>
        <v>soma</v>
      </c>
      <c r="D13" s="22" t="s">
        <v>144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25">
      <c r="A14" s="22" t="s">
        <v>72</v>
      </c>
      <c r="B14" s="22" t="s">
        <v>30</v>
      </c>
      <c r="C14" s="22" t="str">
        <f>INDEX(RCL!$C:$C,MATCH('Receita Arrecadada'!A14,RCL!$B:$B,0))</f>
        <v>soma</v>
      </c>
      <c r="D14" s="22" t="s">
        <v>145</v>
      </c>
      <c r="E14" s="42">
        <v>970</v>
      </c>
      <c r="F14" s="42">
        <v>3410</v>
      </c>
      <c r="G14" s="42">
        <v>8285.64</v>
      </c>
      <c r="H14" s="42">
        <v>9590</v>
      </c>
      <c r="I14" s="42">
        <v>4005</v>
      </c>
      <c r="J14" s="42">
        <v>2890</v>
      </c>
      <c r="K14" s="42">
        <v>1130</v>
      </c>
      <c r="L14" s="42">
        <v>2715</v>
      </c>
      <c r="M14" s="42">
        <v>1160</v>
      </c>
      <c r="N14" s="42">
        <v>1150</v>
      </c>
      <c r="O14" s="42">
        <v>1515</v>
      </c>
      <c r="P14" s="42">
        <v>3375</v>
      </c>
      <c r="Q14" s="42">
        <v>1195</v>
      </c>
      <c r="R14" s="42">
        <v>845</v>
      </c>
      <c r="S14" s="42">
        <v>1255</v>
      </c>
      <c r="T14" s="42">
        <v>2862.5</v>
      </c>
      <c r="U14" s="42">
        <v>2345</v>
      </c>
      <c r="V14" s="42">
        <v>4964.5</v>
      </c>
      <c r="W14" s="42">
        <v>2140</v>
      </c>
      <c r="X14" s="42">
        <v>3077.5</v>
      </c>
      <c r="Y14" s="42">
        <v>1435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</row>
    <row r="15" spans="1:40" x14ac:dyDescent="0.25">
      <c r="A15" s="22" t="s">
        <v>73</v>
      </c>
      <c r="B15" s="22" t="s">
        <v>31</v>
      </c>
      <c r="C15" s="22" t="str">
        <f>INDEX(RCL!$C:$C,MATCH('Receita Arrecadada'!A15,RCL!$B:$B,0))</f>
        <v>soma</v>
      </c>
      <c r="D15" s="22" t="s">
        <v>146</v>
      </c>
      <c r="E15" s="42">
        <v>2468384.54</v>
      </c>
      <c r="F15" s="42">
        <v>2546286.9300000002</v>
      </c>
      <c r="G15" s="42">
        <v>2561426.38</v>
      </c>
      <c r="H15" s="42">
        <v>2428189.71</v>
      </c>
      <c r="I15" s="42">
        <v>2651141.96</v>
      </c>
      <c r="J15" s="42">
        <v>2529731.11</v>
      </c>
      <c r="K15" s="42">
        <v>3483931.41</v>
      </c>
      <c r="L15" s="42">
        <v>2625557.87</v>
      </c>
      <c r="M15" s="42">
        <v>2192130.2000000002</v>
      </c>
      <c r="N15" s="42">
        <v>2711889.94</v>
      </c>
      <c r="O15" s="42">
        <v>2941503.08</v>
      </c>
      <c r="P15" s="42">
        <v>4499770.0999999996</v>
      </c>
      <c r="Q15" s="42">
        <v>2862741.72</v>
      </c>
      <c r="R15" s="42">
        <v>3133398.22</v>
      </c>
      <c r="S15" s="42">
        <v>2731213.31</v>
      </c>
      <c r="T15" s="42">
        <v>2980597.28</v>
      </c>
      <c r="U15" s="42">
        <v>3472173.19</v>
      </c>
      <c r="V15" s="42">
        <v>2792462.5</v>
      </c>
      <c r="W15" s="42">
        <v>3644125.85</v>
      </c>
      <c r="X15" s="42">
        <v>2722757.26</v>
      </c>
      <c r="Y15" s="42">
        <v>2624508.5099999998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</row>
    <row r="16" spans="1:40" x14ac:dyDescent="0.25">
      <c r="A16" s="22" t="s">
        <v>65</v>
      </c>
      <c r="B16" s="22" t="s">
        <v>83</v>
      </c>
      <c r="C16" s="22">
        <f>INDEX(RCL!$C:$C,MATCH('Receita Arrecadada'!A16,RCL!$B:$B,0))</f>
        <v>0</v>
      </c>
      <c r="D16" s="22" t="s">
        <v>147</v>
      </c>
      <c r="E16" s="42">
        <v>846637.63</v>
      </c>
      <c r="F16" s="42">
        <v>1109727.26</v>
      </c>
      <c r="G16" s="42">
        <v>743826.87</v>
      </c>
      <c r="H16" s="42">
        <v>777614.63</v>
      </c>
      <c r="I16" s="42">
        <v>934585.72</v>
      </c>
      <c r="J16" s="42">
        <v>808271.52</v>
      </c>
      <c r="K16" s="42">
        <v>704835.56</v>
      </c>
      <c r="L16" s="42">
        <v>883008.76</v>
      </c>
      <c r="M16" s="42">
        <v>693459.81</v>
      </c>
      <c r="N16" s="42">
        <v>772745.64</v>
      </c>
      <c r="O16" s="42">
        <v>1003585.36</v>
      </c>
      <c r="P16" s="42">
        <v>1041694.89</v>
      </c>
      <c r="Q16" s="42">
        <v>1036783.19</v>
      </c>
      <c r="R16" s="42">
        <v>1447261.91</v>
      </c>
      <c r="S16" s="42">
        <v>877388.9</v>
      </c>
      <c r="T16" s="42">
        <v>1040016.53</v>
      </c>
      <c r="U16" s="42">
        <v>1156914.6000000001</v>
      </c>
      <c r="V16" s="42">
        <v>1082514.3799999999</v>
      </c>
      <c r="W16" s="42">
        <v>928395.23</v>
      </c>
      <c r="X16" s="42">
        <v>1058586.6100000001</v>
      </c>
      <c r="Y16" s="42">
        <v>879433.26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  <row r="17" spans="1:40" x14ac:dyDescent="0.25">
      <c r="A17" s="22" t="s">
        <v>65</v>
      </c>
      <c r="B17" s="22" t="s">
        <v>85</v>
      </c>
      <c r="C17" s="22">
        <f>INDEX(RCL!$C:$C,MATCH('Receita Arrecadada'!A17,RCL!$B:$B,0))</f>
        <v>0</v>
      </c>
      <c r="D17" s="22" t="s">
        <v>148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452337.91999999998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x14ac:dyDescent="0.25">
      <c r="A18" s="22" t="s">
        <v>65</v>
      </c>
      <c r="B18" s="22" t="s">
        <v>84</v>
      </c>
      <c r="C18" s="22">
        <f>INDEX(RCL!$C:$C,MATCH('Receita Arrecadada'!A18,RCL!$B:$B,0))</f>
        <v>0</v>
      </c>
      <c r="D18" s="22" t="s">
        <v>149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399571.6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528601.02</v>
      </c>
      <c r="X18" s="42">
        <v>0</v>
      </c>
      <c r="Y18" s="42">
        <v>95509.65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x14ac:dyDescent="0.25">
      <c r="A19" s="22" t="s">
        <v>68</v>
      </c>
      <c r="B19" s="22" t="s">
        <v>35</v>
      </c>
      <c r="C19" s="22">
        <f>INDEX(RCL!$C:$C,MATCH('Receita Arrecadada'!A19,RCL!$B:$B,0))</f>
        <v>0</v>
      </c>
      <c r="D19" s="22" t="s">
        <v>150</v>
      </c>
      <c r="E19" s="42">
        <v>4084.94</v>
      </c>
      <c r="F19" s="42">
        <v>278.86</v>
      </c>
      <c r="G19" s="42">
        <v>376.66</v>
      </c>
      <c r="H19" s="42">
        <v>2378.04</v>
      </c>
      <c r="I19" s="42">
        <v>84.76</v>
      </c>
      <c r="J19" s="42">
        <v>638.49</v>
      </c>
      <c r="K19" s="42">
        <v>1284.5</v>
      </c>
      <c r="L19" s="42">
        <v>4198.66</v>
      </c>
      <c r="M19" s="42">
        <v>28501</v>
      </c>
      <c r="N19" s="42">
        <v>193585.38</v>
      </c>
      <c r="O19" s="42">
        <v>10007.35</v>
      </c>
      <c r="P19" s="42">
        <v>12158.52</v>
      </c>
      <c r="Q19" s="42">
        <v>5469.57</v>
      </c>
      <c r="R19" s="42">
        <v>2203.5300000000002</v>
      </c>
      <c r="S19" s="42">
        <v>2567.5500000000002</v>
      </c>
      <c r="T19" s="42">
        <v>0</v>
      </c>
      <c r="U19" s="42">
        <v>71.650000000000006</v>
      </c>
      <c r="V19" s="42">
        <v>1997.16</v>
      </c>
      <c r="W19" s="42">
        <v>2147.08</v>
      </c>
      <c r="X19" s="42">
        <v>19195.22</v>
      </c>
      <c r="Y19" s="42">
        <v>97526.7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x14ac:dyDescent="0.25">
      <c r="A20" s="22" t="s">
        <v>75</v>
      </c>
      <c r="B20" s="22" t="s">
        <v>36</v>
      </c>
      <c r="C20" s="22">
        <f>INDEX(RCL!$C:$C,MATCH('Receita Arrecadada'!A20,RCL!$B:$B,0))</f>
        <v>0</v>
      </c>
      <c r="D20" s="22" t="s">
        <v>151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x14ac:dyDescent="0.25">
      <c r="A21" s="22" t="s">
        <v>66</v>
      </c>
      <c r="B21" s="22" t="s">
        <v>33</v>
      </c>
      <c r="C21" s="22">
        <f>INDEX(RCL!$C:$C,MATCH('Receita Arrecadada'!A21,RCL!$B:$B,0))</f>
        <v>0</v>
      </c>
      <c r="D21" s="22" t="s">
        <v>152</v>
      </c>
      <c r="E21" s="42">
        <v>763208.82</v>
      </c>
      <c r="F21" s="42">
        <v>879356.93</v>
      </c>
      <c r="G21" s="42">
        <v>1074817.8</v>
      </c>
      <c r="H21" s="42">
        <v>844402.74</v>
      </c>
      <c r="I21" s="42">
        <v>1006549.52</v>
      </c>
      <c r="J21" s="42">
        <v>996454.83</v>
      </c>
      <c r="K21" s="42">
        <v>1605265.77</v>
      </c>
      <c r="L21" s="42">
        <v>1163603.76</v>
      </c>
      <c r="M21" s="42">
        <v>932446.79</v>
      </c>
      <c r="N21" s="42">
        <v>1074007.45</v>
      </c>
      <c r="O21" s="42">
        <v>1272981.73</v>
      </c>
      <c r="P21" s="42">
        <v>1286418.3999999999</v>
      </c>
      <c r="Q21" s="42">
        <v>799187.05</v>
      </c>
      <c r="R21" s="42">
        <v>1004209.91</v>
      </c>
      <c r="S21" s="42">
        <v>1077657.24</v>
      </c>
      <c r="T21" s="42">
        <v>969133.75</v>
      </c>
      <c r="U21" s="42">
        <v>1202029.69</v>
      </c>
      <c r="V21" s="42">
        <v>955517.84</v>
      </c>
      <c r="W21" s="42">
        <v>964004.55</v>
      </c>
      <c r="X21" s="42">
        <v>1000900.71</v>
      </c>
      <c r="Y21" s="42">
        <v>937826.61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25">
      <c r="A22" s="22" t="s">
        <v>67</v>
      </c>
      <c r="B22" s="22" t="s">
        <v>34</v>
      </c>
      <c r="C22" s="22">
        <f>INDEX(RCL!$C:$C,MATCH('Receita Arrecadada'!A22,RCL!$B:$B,0))</f>
        <v>0</v>
      </c>
      <c r="D22" s="22" t="s">
        <v>153</v>
      </c>
      <c r="E22" s="42">
        <v>164928.23000000001</v>
      </c>
      <c r="F22" s="42">
        <v>52796.1</v>
      </c>
      <c r="G22" s="42">
        <v>78945.149999999994</v>
      </c>
      <c r="H22" s="42">
        <v>186126.61</v>
      </c>
      <c r="I22" s="42">
        <v>67019</v>
      </c>
      <c r="J22" s="42">
        <v>38140.28</v>
      </c>
      <c r="K22" s="42">
        <v>26899.58</v>
      </c>
      <c r="L22" s="42">
        <v>16763.669999999998</v>
      </c>
      <c r="M22" s="42">
        <v>7106.37</v>
      </c>
      <c r="N22" s="42">
        <v>3911.95</v>
      </c>
      <c r="O22" s="42">
        <v>4225.26</v>
      </c>
      <c r="P22" s="42">
        <v>267539.82</v>
      </c>
      <c r="Q22" s="42">
        <v>240068.81</v>
      </c>
      <c r="R22" s="42">
        <v>48318.400000000001</v>
      </c>
      <c r="S22" s="42">
        <v>67606.240000000005</v>
      </c>
      <c r="T22" s="42">
        <v>193575.57</v>
      </c>
      <c r="U22" s="42">
        <v>141565.19</v>
      </c>
      <c r="V22" s="42">
        <v>37920.639999999999</v>
      </c>
      <c r="W22" s="42">
        <v>33093.54</v>
      </c>
      <c r="X22" s="42">
        <v>17692.43</v>
      </c>
      <c r="Y22" s="42">
        <v>10474.41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25">
      <c r="A23" s="22" t="s">
        <v>74</v>
      </c>
      <c r="B23" s="22" t="s">
        <v>37</v>
      </c>
      <c r="C23" s="22">
        <f>INDEX(RCL!$C:$C,MATCH('Receita Arrecadada'!A23,RCL!$B:$B,0))</f>
        <v>0</v>
      </c>
      <c r="D23" s="22" t="s">
        <v>154</v>
      </c>
      <c r="E23" s="42">
        <v>12942.5</v>
      </c>
      <c r="F23" s="42">
        <v>10360.799999999999</v>
      </c>
      <c r="G23" s="42">
        <v>10950.71</v>
      </c>
      <c r="H23" s="42">
        <v>12409.43</v>
      </c>
      <c r="I23" s="42">
        <v>10769.14</v>
      </c>
      <c r="J23" s="42">
        <v>11233.92</v>
      </c>
      <c r="K23" s="42">
        <v>12165.94</v>
      </c>
      <c r="L23" s="42">
        <v>9708.23</v>
      </c>
      <c r="M23" s="42">
        <v>12268.95</v>
      </c>
      <c r="N23" s="42">
        <v>12872.15</v>
      </c>
      <c r="O23" s="42">
        <v>12153.72</v>
      </c>
      <c r="P23" s="42">
        <v>11189.2</v>
      </c>
      <c r="Q23" s="42">
        <v>10767.34</v>
      </c>
      <c r="R23" s="42">
        <v>13231.57</v>
      </c>
      <c r="S23" s="42">
        <v>11962.21</v>
      </c>
      <c r="T23" s="42">
        <v>10876.42</v>
      </c>
      <c r="U23" s="42">
        <v>8330.01</v>
      </c>
      <c r="V23" s="42">
        <v>7732.02</v>
      </c>
      <c r="W23" s="42">
        <v>9396.4500000000007</v>
      </c>
      <c r="X23" s="42">
        <v>6550.43</v>
      </c>
      <c r="Y23" s="42">
        <v>9908.3700000000008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25">
      <c r="A24" s="22" t="s">
        <v>69</v>
      </c>
      <c r="B24" s="22" t="s">
        <v>38</v>
      </c>
      <c r="C24" s="22">
        <f>INDEX(RCL!$C:$C,MATCH('Receita Arrecadada'!A24,RCL!$B:$B,0))</f>
        <v>0</v>
      </c>
      <c r="D24" s="22" t="s">
        <v>155</v>
      </c>
      <c r="E24" s="42">
        <v>402815.34</v>
      </c>
      <c r="F24" s="42">
        <v>301151.71000000002</v>
      </c>
      <c r="G24" s="42">
        <v>370882.91</v>
      </c>
      <c r="H24" s="42">
        <v>391804.61</v>
      </c>
      <c r="I24" s="42">
        <v>372446.84</v>
      </c>
      <c r="J24" s="42">
        <v>336620.6</v>
      </c>
      <c r="K24" s="42">
        <v>509805.94</v>
      </c>
      <c r="L24" s="42">
        <v>329837.08</v>
      </c>
      <c r="M24" s="42">
        <v>314016.90000000002</v>
      </c>
      <c r="N24" s="42">
        <v>359365.16</v>
      </c>
      <c r="O24" s="42">
        <v>428785.97</v>
      </c>
      <c r="P24" s="42">
        <v>426823.55</v>
      </c>
      <c r="Q24" s="42">
        <v>443280.96</v>
      </c>
      <c r="R24" s="42">
        <v>428555.58</v>
      </c>
      <c r="S24" s="42">
        <v>414523.66</v>
      </c>
      <c r="T24" s="42">
        <v>393528.31</v>
      </c>
      <c r="U24" s="42">
        <v>512084.08</v>
      </c>
      <c r="V24" s="42">
        <v>383493.38</v>
      </c>
      <c r="W24" s="42">
        <v>363481.03</v>
      </c>
      <c r="X24" s="42">
        <v>388131.4</v>
      </c>
      <c r="Y24" s="42">
        <v>348767.15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25">
      <c r="A25" s="22" t="s">
        <v>76</v>
      </c>
      <c r="B25" s="22" t="s">
        <v>40</v>
      </c>
      <c r="C25" s="22" t="str">
        <f>INDEX(RCL!$C:$C,MATCH('Receita Arrecadada'!A25,RCL!$B:$B,0))</f>
        <v>soma</v>
      </c>
      <c r="D25" s="22" t="s">
        <v>156</v>
      </c>
      <c r="E25" s="42">
        <v>4535.04</v>
      </c>
      <c r="F25" s="42">
        <v>7714.72</v>
      </c>
      <c r="G25" s="42">
        <v>9524.81</v>
      </c>
      <c r="H25" s="42">
        <v>9935.73</v>
      </c>
      <c r="I25" s="42">
        <v>54614.39</v>
      </c>
      <c r="J25" s="42">
        <v>20466.14</v>
      </c>
      <c r="K25" s="42">
        <v>18505.349999999999</v>
      </c>
      <c r="L25" s="42">
        <v>56373.49</v>
      </c>
      <c r="M25" s="42">
        <v>19279.57</v>
      </c>
      <c r="N25" s="42">
        <v>19578.8</v>
      </c>
      <c r="O25" s="42">
        <v>19707.7</v>
      </c>
      <c r="P25" s="42">
        <v>29379.53</v>
      </c>
      <c r="Q25" s="42">
        <v>5014.34</v>
      </c>
      <c r="R25" s="42">
        <v>15313.13</v>
      </c>
      <c r="S25" s="42">
        <v>12931.54</v>
      </c>
      <c r="T25" s="42">
        <v>19252.3</v>
      </c>
      <c r="U25" s="42">
        <v>22296.48</v>
      </c>
      <c r="V25" s="42">
        <v>25189.61</v>
      </c>
      <c r="W25" s="42">
        <v>98667.06</v>
      </c>
      <c r="X25" s="42">
        <v>11351.99</v>
      </c>
      <c r="Y25" s="42">
        <v>20887.310000000001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25">
      <c r="A26" s="22" t="s">
        <v>78</v>
      </c>
      <c r="B26" s="22" t="s">
        <v>43</v>
      </c>
      <c r="C26" s="22" t="str">
        <f>INDEX(RCL!$C:$C,MATCH('Receita Arrecadada'!A26,RCL!$B:$B,0))</f>
        <v>deduz</v>
      </c>
      <c r="D26" s="22" t="s">
        <v>157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</row>
    <row r="27" spans="1:40" x14ac:dyDescent="0.25">
      <c r="A27" s="22" t="s">
        <v>61</v>
      </c>
      <c r="B27" s="22" t="s">
        <v>18</v>
      </c>
      <c r="C27" s="22" t="str">
        <f>INDEX(RCL!$C:$C,MATCH('Receita Arrecadada'!A27,RCL!$B:$B,0))</f>
        <v>soma</v>
      </c>
      <c r="D27" s="22" t="s">
        <v>200</v>
      </c>
      <c r="E27" s="42">
        <v>-1050</v>
      </c>
      <c r="F27" s="42">
        <v>-2477.79</v>
      </c>
      <c r="G27" s="42">
        <v>-8782.5300000000007</v>
      </c>
      <c r="H27" s="42">
        <v>-20622.409999999996</v>
      </c>
      <c r="I27" s="42">
        <v>-25885.309999999998</v>
      </c>
      <c r="J27" s="42">
        <v>-61263.040000000001</v>
      </c>
      <c r="K27" s="42">
        <v>-1125.9899999999998</v>
      </c>
      <c r="L27" s="42">
        <v>-15995.93</v>
      </c>
      <c r="M27" s="42">
        <v>0</v>
      </c>
      <c r="N27" s="42">
        <v>0</v>
      </c>
      <c r="O27" s="42"/>
      <c r="P27" s="42"/>
      <c r="Q27" s="42">
        <v>0</v>
      </c>
      <c r="R27" s="42">
        <v>0</v>
      </c>
      <c r="S27" s="42">
        <v>-9167.33</v>
      </c>
      <c r="T27" s="42">
        <v>-22615.34</v>
      </c>
      <c r="U27" s="42">
        <v>-55943.56</v>
      </c>
      <c r="V27" s="42">
        <v>-56939.33</v>
      </c>
      <c r="W27" s="42">
        <v>0</v>
      </c>
      <c r="X27" s="42">
        <v>-15.01</v>
      </c>
      <c r="Y27" s="42">
        <v>-3.39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</row>
    <row r="28" spans="1:40" x14ac:dyDescent="0.25">
      <c r="A28" s="22" t="s">
        <v>60</v>
      </c>
      <c r="B28" s="22" t="s">
        <v>22</v>
      </c>
      <c r="C28" s="22">
        <f>INDEX(RCL!$C:$C,MATCH('Receita Arrecadada'!A28,RCL!$B:$B,0))</f>
        <v>0</v>
      </c>
      <c r="D28" s="22" t="s">
        <v>201</v>
      </c>
      <c r="E28" s="42">
        <v>0</v>
      </c>
      <c r="F28" s="42">
        <v>0</v>
      </c>
      <c r="G28" s="42">
        <v>0</v>
      </c>
      <c r="H28" s="42">
        <v>-1643.3600000000001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/>
      <c r="P28" s="42"/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25">
      <c r="A29" s="22" t="s">
        <v>57</v>
      </c>
      <c r="B29" s="22" t="s">
        <v>19</v>
      </c>
      <c r="C29" s="22">
        <f>INDEX(RCL!$C:$C,MATCH('Receita Arrecadada'!A29,RCL!$B:$B,0))</f>
        <v>0</v>
      </c>
      <c r="D29" s="22" t="s">
        <v>202</v>
      </c>
      <c r="E29" s="42">
        <v>0</v>
      </c>
      <c r="F29" s="42">
        <v>-2477.79</v>
      </c>
      <c r="G29" s="42">
        <v>-831.19</v>
      </c>
      <c r="H29" s="42">
        <v>-18979.05</v>
      </c>
      <c r="I29" s="42">
        <v>-25385.78</v>
      </c>
      <c r="J29" s="42">
        <v>-61263.040000000001</v>
      </c>
      <c r="K29" s="42">
        <v>-861.08999999999992</v>
      </c>
      <c r="L29" s="42">
        <v>-10942.16</v>
      </c>
      <c r="M29" s="42">
        <v>0</v>
      </c>
      <c r="N29" s="42">
        <v>0</v>
      </c>
      <c r="O29" s="42"/>
      <c r="P29" s="42"/>
      <c r="Q29" s="42">
        <v>0</v>
      </c>
      <c r="R29" s="42">
        <v>0</v>
      </c>
      <c r="S29" s="42">
        <v>-6299.93</v>
      </c>
      <c r="T29" s="42">
        <v>-15544.98</v>
      </c>
      <c r="U29" s="42">
        <v>-30797.74</v>
      </c>
      <c r="V29" s="42">
        <v>-56939.33</v>
      </c>
      <c r="W29" s="42">
        <v>0</v>
      </c>
      <c r="X29" s="42">
        <v>0</v>
      </c>
      <c r="Y29" s="42">
        <v>0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25">
      <c r="A30" s="22" t="s">
        <v>59</v>
      </c>
      <c r="B30" s="22" t="s">
        <v>21</v>
      </c>
      <c r="C30" s="22">
        <f>INDEX(RCL!$C:$C,MATCH('Receita Arrecadada'!A30,RCL!$B:$B,0))</f>
        <v>0</v>
      </c>
      <c r="D30" s="22" t="s">
        <v>203</v>
      </c>
      <c r="E30" s="42">
        <v>-1050</v>
      </c>
      <c r="F30" s="42">
        <v>0</v>
      </c>
      <c r="G30" s="42">
        <v>-7500</v>
      </c>
      <c r="H30" s="42">
        <v>0</v>
      </c>
      <c r="I30" s="42">
        <v>0</v>
      </c>
      <c r="J30" s="42">
        <v>0</v>
      </c>
      <c r="K30" s="42">
        <v>-264.89999999999998</v>
      </c>
      <c r="L30" s="42">
        <v>-4500</v>
      </c>
      <c r="M30" s="42">
        <v>0</v>
      </c>
      <c r="N30" s="42">
        <v>0</v>
      </c>
      <c r="O30" s="42"/>
      <c r="P30" s="42"/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25">
      <c r="A31" s="22" t="s">
        <v>58</v>
      </c>
      <c r="B31" s="22" t="s">
        <v>20</v>
      </c>
      <c r="C31" s="22">
        <f>INDEX(RCL!$C:$C,MATCH('Receita Arrecadada'!A31,RCL!$B:$B,0))</f>
        <v>0</v>
      </c>
      <c r="D31" s="22" t="s">
        <v>204</v>
      </c>
      <c r="E31" s="42">
        <v>0</v>
      </c>
      <c r="F31" s="42">
        <v>0</v>
      </c>
      <c r="G31" s="42">
        <v>-24.54</v>
      </c>
      <c r="H31" s="42">
        <v>0</v>
      </c>
      <c r="I31" s="42">
        <v>0</v>
      </c>
      <c r="J31" s="42">
        <v>0</v>
      </c>
      <c r="K31" s="42">
        <v>0</v>
      </c>
      <c r="L31" s="42">
        <v>-32.24</v>
      </c>
      <c r="M31" s="42">
        <v>0</v>
      </c>
      <c r="N31" s="42">
        <v>0</v>
      </c>
      <c r="O31" s="42"/>
      <c r="P31" s="42"/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25">
      <c r="A32" s="22" t="s">
        <v>62</v>
      </c>
      <c r="B32" s="22" t="s">
        <v>24</v>
      </c>
      <c r="C32" s="22" t="str">
        <f>INDEX(RCL!$C:$C,MATCH('Receita Arrecadada'!A32,RCL!$B:$B,0))</f>
        <v>soma</v>
      </c>
      <c r="D32" s="22" t="s">
        <v>205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/>
      <c r="P32" s="42"/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25">
      <c r="A33" s="22" t="s">
        <v>77</v>
      </c>
      <c r="B33" s="22" t="s">
        <v>42</v>
      </c>
      <c r="C33" s="22" t="str">
        <f>INDEX(RCL!$C:$C,MATCH('Receita Arrecadada'!A33,RCL!$B:$B,0))</f>
        <v>deduz</v>
      </c>
      <c r="D33" s="22" t="s">
        <v>206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/>
      <c r="P33" s="42"/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  <row r="34" spans="1:40" x14ac:dyDescent="0.25">
      <c r="A34" s="22" t="s">
        <v>63</v>
      </c>
      <c r="B34" s="22" t="s">
        <v>25</v>
      </c>
      <c r="C34" s="22" t="str">
        <f>INDEX(RCL!$C:$C,MATCH('Receita Arrecadada'!A34,RCL!$B:$B,0))</f>
        <v>soma</v>
      </c>
      <c r="D34" s="22" t="s">
        <v>207</v>
      </c>
      <c r="E34" s="42">
        <v>0</v>
      </c>
      <c r="F34" s="42">
        <v>-253224.95000000004</v>
      </c>
      <c r="G34" s="42">
        <v>-116153.02</v>
      </c>
      <c r="H34" s="42">
        <v>257018.79000000004</v>
      </c>
      <c r="I34" s="42">
        <v>0</v>
      </c>
      <c r="J34" s="42">
        <v>-31471.31</v>
      </c>
      <c r="K34" s="42">
        <v>-34035.660000000003</v>
      </c>
      <c r="L34" s="42">
        <v>-22166.55</v>
      </c>
      <c r="M34" s="42">
        <v>-855.47</v>
      </c>
      <c r="N34" s="42">
        <v>-216910.43</v>
      </c>
      <c r="O34" s="42">
        <v>0</v>
      </c>
      <c r="P34" s="42">
        <v>-741.23</v>
      </c>
      <c r="Q34" s="42">
        <v>0</v>
      </c>
      <c r="R34" s="42">
        <v>0</v>
      </c>
      <c r="S34" s="42">
        <v>0</v>
      </c>
      <c r="T34" s="42">
        <v>-11127.54</v>
      </c>
      <c r="U34" s="42">
        <v>0</v>
      </c>
      <c r="V34" s="42">
        <v>-4629.17</v>
      </c>
      <c r="W34" s="42">
        <v>-43777.58</v>
      </c>
      <c r="X34" s="42">
        <v>-10679.33</v>
      </c>
      <c r="Y34" s="42">
        <v>-3827.94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</row>
    <row r="35" spans="1:40" x14ac:dyDescent="0.25">
      <c r="A35" s="22" t="s">
        <v>70</v>
      </c>
      <c r="B35" s="22" t="s">
        <v>26</v>
      </c>
      <c r="C35" s="22">
        <f>INDEX(RCL!$C:$C,MATCH('Receita Arrecadada'!A35,RCL!$B:$B,0))</f>
        <v>0</v>
      </c>
      <c r="D35" s="22" t="s">
        <v>208</v>
      </c>
      <c r="E35" s="42">
        <v>0</v>
      </c>
      <c r="F35" s="42">
        <v>-253224.95000000004</v>
      </c>
      <c r="G35" s="42">
        <v>-116153.02</v>
      </c>
      <c r="H35" s="42">
        <v>257018.79000000004</v>
      </c>
      <c r="I35" s="42">
        <v>0</v>
      </c>
      <c r="J35" s="42">
        <v>-31471.31</v>
      </c>
      <c r="K35" s="42">
        <v>-34035.660000000003</v>
      </c>
      <c r="L35" s="42">
        <v>-22166.55</v>
      </c>
      <c r="M35" s="42">
        <v>-855.47</v>
      </c>
      <c r="N35" s="42">
        <v>-216910.43</v>
      </c>
      <c r="O35" s="42">
        <v>0</v>
      </c>
      <c r="P35" s="42">
        <v>-741.23</v>
      </c>
      <c r="Q35" s="42">
        <v>0</v>
      </c>
      <c r="R35" s="42">
        <v>0</v>
      </c>
      <c r="S35" s="42">
        <v>0</v>
      </c>
      <c r="T35" s="42">
        <v>-6468.28</v>
      </c>
      <c r="U35" s="42">
        <v>0</v>
      </c>
      <c r="V35" s="42">
        <v>0</v>
      </c>
      <c r="W35" s="42">
        <v>0</v>
      </c>
      <c r="X35" s="42">
        <v>-4878.62</v>
      </c>
      <c r="Y35" s="42">
        <v>-2532.94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</row>
    <row r="36" spans="1:40" x14ac:dyDescent="0.25">
      <c r="A36" s="22" t="s">
        <v>79</v>
      </c>
      <c r="B36" s="22" t="s">
        <v>44</v>
      </c>
      <c r="C36" s="22" t="str">
        <f>INDEX(RCL!$C:$C,MATCH('Receita Arrecadada'!A36,RCL!$B:$B,0))</f>
        <v>deduz</v>
      </c>
      <c r="D36" s="22" t="s">
        <v>209</v>
      </c>
      <c r="E36" s="42">
        <v>0</v>
      </c>
      <c r="F36" s="42">
        <v>-252797.33000000002</v>
      </c>
      <c r="G36" s="42">
        <v>-115943.02</v>
      </c>
      <c r="H36" s="42">
        <v>257018.65000000002</v>
      </c>
      <c r="I36" s="42">
        <v>0</v>
      </c>
      <c r="J36" s="42">
        <v>-31307.73</v>
      </c>
      <c r="K36" s="42">
        <v>-34035.660000000003</v>
      </c>
      <c r="L36" s="42">
        <v>-22166.55</v>
      </c>
      <c r="M36" s="42">
        <v>0</v>
      </c>
      <c r="N36" s="42">
        <v>-210369.44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-4659.26</v>
      </c>
      <c r="U36" s="42">
        <v>0</v>
      </c>
      <c r="V36" s="42">
        <v>-4629.17</v>
      </c>
      <c r="W36" s="42">
        <v>-43777.58</v>
      </c>
      <c r="X36" s="42">
        <v>-5800.71</v>
      </c>
      <c r="Y36" s="42">
        <v>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</row>
    <row r="37" spans="1:40" x14ac:dyDescent="0.25">
      <c r="A37" s="22" t="s">
        <v>71</v>
      </c>
      <c r="B37" s="22" t="s">
        <v>28</v>
      </c>
      <c r="C37" s="22" t="str">
        <f>INDEX(RCL!$C:$C,MATCH('Receita Arrecadada'!A37,RCL!$B:$B,0))</f>
        <v>soma</v>
      </c>
      <c r="D37" s="22" t="s">
        <v>210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25">
      <c r="A38" s="22" t="s">
        <v>64</v>
      </c>
      <c r="B38" s="22" t="s">
        <v>29</v>
      </c>
      <c r="C38" s="22" t="str">
        <f>INDEX(RCL!$C:$C,MATCH('Receita Arrecadada'!A38,RCL!$B:$B,0))</f>
        <v>soma</v>
      </c>
      <c r="D38" s="22" t="s">
        <v>211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25">
      <c r="A39" s="22" t="s">
        <v>72</v>
      </c>
      <c r="B39" s="22" t="s">
        <v>30</v>
      </c>
      <c r="C39" s="22" t="str">
        <f>INDEX(RCL!$C:$C,MATCH('Receita Arrecadada'!A39,RCL!$B:$B,0))</f>
        <v>soma</v>
      </c>
      <c r="D39" s="22" t="s">
        <v>212</v>
      </c>
      <c r="E39" s="42">
        <v>0</v>
      </c>
      <c r="F39" s="42">
        <v>0</v>
      </c>
      <c r="G39" s="42">
        <v>-1400.27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</row>
    <row r="40" spans="1:40" x14ac:dyDescent="0.25">
      <c r="A40" s="22" t="s">
        <v>73</v>
      </c>
      <c r="B40" s="22" t="s">
        <v>31</v>
      </c>
      <c r="C40" s="22" t="str">
        <f>INDEX(RCL!$C:$C,MATCH('Receita Arrecadada'!A40,RCL!$B:$B,0))</f>
        <v>soma</v>
      </c>
      <c r="D40" s="22" t="s">
        <v>213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 x14ac:dyDescent="0.25">
      <c r="A41" s="22" t="s">
        <v>65</v>
      </c>
      <c r="B41" s="22" t="s">
        <v>83</v>
      </c>
      <c r="C41" s="22">
        <f>INDEX(RCL!$C:$C,MATCH('Receita Arrecadada'!A41,RCL!$B:$B,0))</f>
        <v>0</v>
      </c>
      <c r="D41" s="22" t="s">
        <v>214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</row>
    <row r="42" spans="1:40" x14ac:dyDescent="0.25">
      <c r="A42" s="22" t="s">
        <v>65</v>
      </c>
      <c r="B42" s="22" t="s">
        <v>85</v>
      </c>
      <c r="C42" s="22">
        <f>INDEX(RCL!$C:$C,MATCH('Receita Arrecadada'!A42,RCL!$B:$B,0))</f>
        <v>0</v>
      </c>
      <c r="D42" s="22" t="s">
        <v>215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</row>
    <row r="43" spans="1:40" x14ac:dyDescent="0.25">
      <c r="A43" s="22" t="s">
        <v>65</v>
      </c>
      <c r="B43" s="22" t="s">
        <v>84</v>
      </c>
      <c r="C43" s="22">
        <f>INDEX(RCL!$C:$C,MATCH('Receita Arrecadada'!A43,RCL!$B:$B,0))</f>
        <v>0</v>
      </c>
      <c r="D43" s="22" t="s">
        <v>216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</row>
    <row r="44" spans="1:40" x14ac:dyDescent="0.25">
      <c r="A44" s="22" t="s">
        <v>68</v>
      </c>
      <c r="B44" s="22" t="s">
        <v>35</v>
      </c>
      <c r="C44" s="22">
        <f>INDEX(RCL!$C:$C,MATCH('Receita Arrecadada'!A44,RCL!$B:$B,0))</f>
        <v>0</v>
      </c>
      <c r="D44" s="22" t="s">
        <v>217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</row>
    <row r="45" spans="1:40" x14ac:dyDescent="0.25">
      <c r="A45" s="22" t="s">
        <v>75</v>
      </c>
      <c r="B45" s="22" t="s">
        <v>36</v>
      </c>
      <c r="C45" s="22">
        <f>INDEX(RCL!$C:$C,MATCH('Receita Arrecadada'!A45,RCL!$B:$B,0))</f>
        <v>0</v>
      </c>
      <c r="D45" s="22" t="s">
        <v>218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</row>
    <row r="46" spans="1:40" x14ac:dyDescent="0.25">
      <c r="A46" s="22" t="s">
        <v>66</v>
      </c>
      <c r="B46" s="22" t="s">
        <v>33</v>
      </c>
      <c r="C46" s="22">
        <f>INDEX(RCL!$C:$C,MATCH('Receita Arrecadada'!A46,RCL!$B:$B,0))</f>
        <v>0</v>
      </c>
      <c r="D46" s="22" t="s">
        <v>219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</row>
    <row r="47" spans="1:40" x14ac:dyDescent="0.25">
      <c r="A47" s="22" t="s">
        <v>67</v>
      </c>
      <c r="B47" s="22" t="s">
        <v>34</v>
      </c>
      <c r="C47" s="22">
        <f>INDEX(RCL!$C:$C,MATCH('Receita Arrecadada'!A47,RCL!$B:$B,0))</f>
        <v>0</v>
      </c>
      <c r="D47" s="22" t="s">
        <v>220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</row>
    <row r="48" spans="1:40" x14ac:dyDescent="0.25">
      <c r="A48" s="22" t="s">
        <v>74</v>
      </c>
      <c r="B48" s="22" t="s">
        <v>37</v>
      </c>
      <c r="C48" s="22">
        <f>INDEX(RCL!$C:$C,MATCH('Receita Arrecadada'!A48,RCL!$B:$B,0))</f>
        <v>0</v>
      </c>
      <c r="D48" s="22" t="s">
        <v>221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 x14ac:dyDescent="0.25">
      <c r="A49" s="22" t="s">
        <v>69</v>
      </c>
      <c r="B49" s="22" t="s">
        <v>38</v>
      </c>
      <c r="C49" s="22">
        <f>INDEX(RCL!$C:$C,MATCH('Receita Arrecadada'!A49,RCL!$B:$B,0))</f>
        <v>0</v>
      </c>
      <c r="D49" s="22" t="s">
        <v>222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</row>
    <row r="50" spans="1:40" x14ac:dyDescent="0.25">
      <c r="A50" s="22" t="s">
        <v>76</v>
      </c>
      <c r="B50" s="22" t="s">
        <v>40</v>
      </c>
      <c r="C50" s="22" t="str">
        <f>INDEX(RCL!$C:$C,MATCH('Receita Arrecadada'!A50,RCL!$B:$B,0))</f>
        <v>soma</v>
      </c>
      <c r="D50" s="22" t="s">
        <v>223</v>
      </c>
      <c r="E50" s="42">
        <v>0</v>
      </c>
      <c r="F50" s="42">
        <v>0</v>
      </c>
      <c r="G50" s="42">
        <v>-708.86</v>
      </c>
      <c r="H50" s="42">
        <v>-92.4</v>
      </c>
      <c r="I50" s="42">
        <v>0</v>
      </c>
      <c r="J50" s="42">
        <v>-64.7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</row>
    <row r="51" spans="1:40" x14ac:dyDescent="0.25">
      <c r="A51" s="22" t="s">
        <v>78</v>
      </c>
      <c r="B51" s="22" t="s">
        <v>43</v>
      </c>
      <c r="C51" s="22" t="str">
        <f>INDEX(RCL!$C:$C,MATCH('Receita Arrecadada'!A51,RCL!$B:$B,0))</f>
        <v>deduz</v>
      </c>
      <c r="D51" s="22" t="s">
        <v>224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</row>
    <row r="52" spans="1:40" x14ac:dyDescent="0.25">
      <c r="A52" s="22" t="s">
        <v>80</v>
      </c>
      <c r="B52" s="22" t="s">
        <v>45</v>
      </c>
      <c r="C52" s="22" t="str">
        <f>INDEX(RCL!$C:$C,MATCH('Receita Arrecadada'!A52,RCL!$B:$B,0))</f>
        <v>soma</v>
      </c>
      <c r="D52" s="22" t="s">
        <v>225</v>
      </c>
      <c r="E52" s="42">
        <v>-358360.39</v>
      </c>
      <c r="F52" s="42">
        <v>-410503.95000000007</v>
      </c>
      <c r="G52" s="42">
        <v>-381783.42</v>
      </c>
      <c r="H52" s="42">
        <v>-364586.25</v>
      </c>
      <c r="I52" s="42">
        <v>-403801.58999999997</v>
      </c>
      <c r="J52" s="42">
        <v>-370947.8</v>
      </c>
      <c r="K52" s="42">
        <v>-470090.26</v>
      </c>
      <c r="L52" s="42">
        <v>-415456.67000000004</v>
      </c>
      <c r="M52" s="42">
        <v>-334756.56999999995</v>
      </c>
      <c r="N52" s="42">
        <v>-411424.48</v>
      </c>
      <c r="O52" s="42">
        <v>-460590.67</v>
      </c>
      <c r="P52" s="42">
        <v>-523800.16</v>
      </c>
      <c r="Q52" s="42">
        <v>-418455.2</v>
      </c>
      <c r="R52" s="42">
        <v>-503045.06</v>
      </c>
      <c r="S52" s="42">
        <v>-407436.43</v>
      </c>
      <c r="T52" s="42">
        <v>-442720.45</v>
      </c>
      <c r="U52" s="42">
        <v>-501782.22</v>
      </c>
      <c r="V52" s="42">
        <v>-417136.37</v>
      </c>
      <c r="W52" s="42">
        <v>-387407.38</v>
      </c>
      <c r="X52" s="42">
        <v>-420585.09</v>
      </c>
      <c r="Y52" s="42">
        <v>-387033.86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x14ac:dyDescent="0.25">
      <c r="A53" s="22" t="s">
        <v>81</v>
      </c>
      <c r="B53" s="22" t="s">
        <v>86</v>
      </c>
      <c r="C53" s="22" t="str">
        <f>INDEX(RCL!$C:$C,MATCH('Receita Arrecadada'!A53,RCL!$B:$B,0))</f>
        <v>deduz</v>
      </c>
      <c r="D53" s="22" t="s">
        <v>158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100000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80000</v>
      </c>
      <c r="W53" s="42">
        <v>0</v>
      </c>
      <c r="X53" s="42">
        <v>0</v>
      </c>
      <c r="Y53" s="42">
        <v>0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0" x14ac:dyDescent="0.25">
      <c r="A54" s="22" t="s">
        <v>81</v>
      </c>
      <c r="B54" s="22" t="s">
        <v>86</v>
      </c>
      <c r="C54" s="22" t="str">
        <f>INDEX(RCL!$C:$C,MATCH('Receita Arrecadada'!A54,RCL!$B:$B,0))</f>
        <v>deduz</v>
      </c>
      <c r="D54" s="22" t="s">
        <v>159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0" x14ac:dyDescent="0.25">
      <c r="A55" s="22" t="s">
        <v>82</v>
      </c>
      <c r="B55" s="22" t="s">
        <v>87</v>
      </c>
      <c r="C55" s="22" t="str">
        <f>INDEX(RCL!$C:$C,MATCH('Receita Arrecadada'!A55,RCL!$B:$B,0))</f>
        <v>deduz</v>
      </c>
      <c r="D55" s="22" t="s">
        <v>160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x14ac:dyDescent="0.25">
      <c r="A56" s="22" t="s">
        <v>82</v>
      </c>
      <c r="B56" s="22" t="s">
        <v>87</v>
      </c>
      <c r="C56" s="22" t="str">
        <f>INDEX(RCL!$C:$C,MATCH('Receita Arrecadada'!A56,RCL!$B:$B,0))</f>
        <v>deduz</v>
      </c>
      <c r="D56" s="22" t="s">
        <v>161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</row>
    <row r="57" spans="1:40" x14ac:dyDescent="0.25">
      <c r="A57" s="22" t="s">
        <v>81</v>
      </c>
      <c r="B57" s="22" t="s">
        <v>86</v>
      </c>
      <c r="C57" s="22" t="str">
        <f>INDEX(RCL!$C:$C,MATCH('Receita Arrecadada'!A57,RCL!$B:$B,0))</f>
        <v>deduz</v>
      </c>
      <c r="D57" s="22" t="s">
        <v>226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</row>
    <row r="58" spans="1:40" x14ac:dyDescent="0.25">
      <c r="A58" s="22" t="s">
        <v>81</v>
      </c>
      <c r="B58" s="22" t="s">
        <v>86</v>
      </c>
      <c r="C58" s="22" t="str">
        <f>INDEX(RCL!$C:$C,MATCH('Receita Arrecadada'!A58,RCL!$B:$B,0))</f>
        <v>deduz</v>
      </c>
      <c r="D58" s="22" t="s">
        <v>227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0" x14ac:dyDescent="0.25">
      <c r="A59" s="22" t="s">
        <v>82</v>
      </c>
      <c r="B59" s="22" t="s">
        <v>87</v>
      </c>
      <c r="C59" s="22" t="str">
        <f>INDEX(RCL!$C:$C,MATCH('Receita Arrecadada'!A59,RCL!$B:$B,0))</f>
        <v>deduz</v>
      </c>
      <c r="D59" s="22" t="s">
        <v>228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</row>
    <row r="60" spans="1:40" x14ac:dyDescent="0.25">
      <c r="A60" s="22" t="s">
        <v>82</v>
      </c>
      <c r="B60" s="22" t="s">
        <v>87</v>
      </c>
      <c r="C60" s="22" t="str">
        <f>INDEX(RCL!$C:$C,MATCH('Receita Arrecadada'!A60,RCL!$B:$B,0))</f>
        <v>deduz</v>
      </c>
      <c r="D60" s="22" t="s">
        <v>229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0" x14ac:dyDescent="0.25">
      <c r="A61" s="22"/>
      <c r="B61" s="22"/>
      <c r="C61" s="22" t="e">
        <f>INDEX(RCL!$C:$C,MATCH('Receita Arrecadada'!A61,RCL!$B:$B,0))</f>
        <v>#N/A</v>
      </c>
      <c r="D61" s="2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</row>
    <row r="62" spans="1:40" x14ac:dyDescent="0.25">
      <c r="A62" s="22"/>
      <c r="B62" s="22"/>
      <c r="C62" s="22" t="e">
        <f>INDEX(RCL!$C:$C,MATCH('Receita Arrecadada'!A62,RCL!$B:$B,0))</f>
        <v>#N/A</v>
      </c>
      <c r="D62" s="2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0" x14ac:dyDescent="0.25">
      <c r="A63" s="22"/>
      <c r="B63" s="22"/>
      <c r="C63" s="22" t="e">
        <f>INDEX(RCL!$C:$C,MATCH('Receita Arrecadada'!A63,RCL!$B:$B,0))</f>
        <v>#N/A</v>
      </c>
      <c r="D63" s="2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0" x14ac:dyDescent="0.25">
      <c r="A64" s="22"/>
      <c r="B64" s="22"/>
      <c r="C64" s="22" t="e">
        <f>INDEX(RCL!$C:$C,MATCH('Receita Arrecadada'!A64,RCL!$B:$B,0))</f>
        <v>#N/A</v>
      </c>
      <c r="D64" s="2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</row>
    <row r="65" spans="1:40" x14ac:dyDescent="0.25">
      <c r="A65" s="22"/>
      <c r="B65" s="22"/>
      <c r="C65" s="22" t="e">
        <f>INDEX(RCL!$C:$C,MATCH('Receita Arrecadada'!A65,RCL!$B:$B,0))</f>
        <v>#N/A</v>
      </c>
      <c r="D65" s="2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x14ac:dyDescent="0.25">
      <c r="A66" s="22"/>
      <c r="B66" s="22"/>
      <c r="C66" s="22" t="e">
        <f>INDEX(RCL!$C:$C,MATCH('Receita Arrecadada'!A66,RCL!$B:$B,0))</f>
        <v>#N/A</v>
      </c>
      <c r="D66" s="2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1:40" x14ac:dyDescent="0.25">
      <c r="A67" s="22"/>
      <c r="B67" s="22"/>
      <c r="C67" s="22" t="e">
        <f>INDEX(RCL!$C:$C,MATCH('Receita Arrecadada'!A67,RCL!$B:$B,0))</f>
        <v>#N/A</v>
      </c>
      <c r="D67" s="2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x14ac:dyDescent="0.25">
      <c r="A68" s="22"/>
      <c r="B68" s="22"/>
      <c r="C68" s="22" t="e">
        <f>INDEX(RCL!$C:$C,MATCH('Receita Arrecadada'!A68,RCL!$B:$B,0))</f>
        <v>#N/A</v>
      </c>
      <c r="D68" s="2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1:40" x14ac:dyDescent="0.25">
      <c r="A69" s="22"/>
      <c r="B69" s="22"/>
      <c r="C69" s="22" t="e">
        <f>INDEX(RCL!$C:$C,MATCH('Receita Arrecadada'!A69,RCL!$B:$B,0))</f>
        <v>#N/A</v>
      </c>
      <c r="D69" s="2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1:40" x14ac:dyDescent="0.25">
      <c r="A70" s="22"/>
      <c r="B70" s="22"/>
      <c r="C70" s="22" t="e">
        <f>INDEX(RCL!$C:$C,MATCH('Receita Arrecadada'!A70,RCL!$B:$B,0))</f>
        <v>#N/A</v>
      </c>
      <c r="D70" s="2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1:40" x14ac:dyDescent="0.25">
      <c r="A71" s="22"/>
      <c r="B71" s="22"/>
      <c r="C71" s="22" t="e">
        <f>INDEX(RCL!$C:$C,MATCH('Receita Arrecadada'!A71,RCL!$B:$B,0))</f>
        <v>#N/A</v>
      </c>
      <c r="D71" s="2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40" x14ac:dyDescent="0.25">
      <c r="A72" s="22"/>
      <c r="B72" s="22"/>
      <c r="C72" s="22" t="e">
        <f>INDEX(RCL!$C:$C,MATCH('Receita Arrecadada'!A72,RCL!$B:$B,0))</f>
        <v>#N/A</v>
      </c>
      <c r="D72" s="2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1:40" x14ac:dyDescent="0.25">
      <c r="A73" s="22"/>
      <c r="B73" s="22"/>
      <c r="C73" s="22" t="e">
        <f>INDEX(RCL!$C:$C,MATCH('Receita Arrecadada'!A73,RCL!$B:$B,0))</f>
        <v>#N/A</v>
      </c>
      <c r="D73" s="2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1:40" x14ac:dyDescent="0.25">
      <c r="A74" s="22"/>
      <c r="B74" s="22"/>
      <c r="C74" s="22" t="e">
        <f>INDEX(RCL!$C:$C,MATCH('Receita Arrecadada'!A74,RCL!$B:$B,0))</f>
        <v>#N/A</v>
      </c>
      <c r="D74" s="2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</row>
    <row r="75" spans="1:40" x14ac:dyDescent="0.25">
      <c r="A75" s="22"/>
      <c r="B75" s="22"/>
      <c r="C75" s="22" t="e">
        <f>INDEX(RCL!$C:$C,MATCH('Receita Arrecadada'!A75,RCL!$B:$B,0))</f>
        <v>#N/A</v>
      </c>
      <c r="D75" s="2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spans="1:40" x14ac:dyDescent="0.25">
      <c r="A76" s="22"/>
      <c r="B76" s="22"/>
      <c r="C76" s="22" t="e">
        <f>INDEX(RCL!$C:$C,MATCH('Receita Arrecadada'!A76,RCL!$B:$B,0))</f>
        <v>#N/A</v>
      </c>
      <c r="D76" s="2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</row>
    <row r="77" spans="1:40" x14ac:dyDescent="0.25">
      <c r="A77" s="22"/>
      <c r="B77" s="22"/>
      <c r="C77" s="22" t="e">
        <f>INDEX(RCL!$C:$C,MATCH('Receita Arrecadada'!A77,RCL!$B:$B,0))</f>
        <v>#N/A</v>
      </c>
      <c r="D77" s="2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</row>
    <row r="78" spans="1:40" x14ac:dyDescent="0.25">
      <c r="A78" s="22"/>
      <c r="B78" s="22"/>
      <c r="C78" s="22" t="e">
        <f>INDEX(RCL!$C:$C,MATCH('Receita Arrecadada'!A78,RCL!$B:$B,0))</f>
        <v>#N/A</v>
      </c>
      <c r="D78" s="2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</row>
    <row r="79" spans="1:40" x14ac:dyDescent="0.25">
      <c r="A79" s="22"/>
      <c r="B79" s="22"/>
      <c r="C79" s="22" t="e">
        <f>INDEX(RCL!$C:$C,MATCH('Receita Arrecadada'!A79,RCL!$B:$B,0))</f>
        <v>#N/A</v>
      </c>
      <c r="D79" s="2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</row>
    <row r="80" spans="1:40" x14ac:dyDescent="0.25">
      <c r="A80" s="22"/>
      <c r="B80" s="22"/>
      <c r="C80" s="22" t="e">
        <f>INDEX(RCL!$C:$C,MATCH('Receita Arrecadada'!A80,RCL!$B:$B,0))</f>
        <v>#N/A</v>
      </c>
      <c r="D80" s="2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</row>
    <row r="81" spans="1:40" x14ac:dyDescent="0.25">
      <c r="A81" s="22"/>
      <c r="B81" s="22"/>
      <c r="C81" s="22" t="e">
        <f>INDEX(RCL!$C:$C,MATCH('Receita Arrecadada'!A81,RCL!$B:$B,0))</f>
        <v>#N/A</v>
      </c>
      <c r="D81" s="2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</row>
    <row r="82" spans="1:40" x14ac:dyDescent="0.25">
      <c r="A82" s="22"/>
      <c r="B82" s="22"/>
      <c r="C82" s="22" t="e">
        <f>INDEX(RCL!$C:$C,MATCH('Receita Arrecadada'!A82,RCL!$B:$B,0))</f>
        <v>#N/A</v>
      </c>
      <c r="D82" s="2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</row>
    <row r="83" spans="1:40" x14ac:dyDescent="0.25">
      <c r="A83" s="22"/>
      <c r="B83" s="22"/>
      <c r="C83" s="22" t="e">
        <f>INDEX(RCL!$C:$C,MATCH('Receita Arrecadada'!A83,RCL!$B:$B,0))</f>
        <v>#N/A</v>
      </c>
      <c r="D83" s="2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</row>
    <row r="84" spans="1:40" x14ac:dyDescent="0.25">
      <c r="A84" s="22"/>
      <c r="B84" s="22"/>
      <c r="C84" s="22" t="e">
        <f>INDEX(RCL!$C:$C,MATCH('Receita Arrecadada'!A84,RCL!$B:$B,0))</f>
        <v>#N/A</v>
      </c>
      <c r="D84" s="2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</row>
    <row r="85" spans="1:40" x14ac:dyDescent="0.25">
      <c r="A85" s="22"/>
      <c r="B85" s="22"/>
      <c r="C85" s="22" t="e">
        <f>INDEX(RCL!$C:$C,MATCH('Receita Arrecadada'!A85,RCL!$B:$B,0))</f>
        <v>#N/A</v>
      </c>
      <c r="D85" s="2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</row>
    <row r="86" spans="1:40" x14ac:dyDescent="0.25">
      <c r="A86" s="22"/>
      <c r="B86" s="22"/>
      <c r="C86" s="22" t="e">
        <f>INDEX(RCL!$C:$C,MATCH('Receita Arrecadada'!A86,RCL!$B:$B,0))</f>
        <v>#N/A</v>
      </c>
      <c r="D86" s="2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</row>
    <row r="87" spans="1:40" x14ac:dyDescent="0.25">
      <c r="A87" s="22"/>
      <c r="B87" s="22"/>
      <c r="C87" s="22" t="e">
        <f>INDEX(RCL!$C:$C,MATCH('Receita Arrecadada'!A87,RCL!$B:$B,0))</f>
        <v>#N/A</v>
      </c>
      <c r="D87" s="2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</row>
    <row r="88" spans="1:40" x14ac:dyDescent="0.25">
      <c r="A88" s="22"/>
      <c r="B88" s="22"/>
      <c r="C88" s="22" t="e">
        <f>INDEX(RCL!$C:$C,MATCH('Receita Arrecadada'!A88,RCL!$B:$B,0))</f>
        <v>#N/A</v>
      </c>
      <c r="D88" s="2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</row>
    <row r="89" spans="1:40" x14ac:dyDescent="0.25">
      <c r="A89" s="22"/>
      <c r="B89" s="22"/>
      <c r="C89" s="22" t="e">
        <f>INDEX(RCL!$C:$C,MATCH('Receita Arrecadada'!A89,RCL!$B:$B,0))</f>
        <v>#N/A</v>
      </c>
      <c r="D89" s="2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</row>
    <row r="90" spans="1:40" x14ac:dyDescent="0.25">
      <c r="A90" s="22"/>
      <c r="B90" s="22"/>
      <c r="C90" s="22" t="e">
        <f>INDEX(RCL!$C:$C,MATCH('Receita Arrecadada'!A90,RCL!$B:$B,0))</f>
        <v>#N/A</v>
      </c>
      <c r="D90" s="2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</row>
    <row r="91" spans="1:40" x14ac:dyDescent="0.25">
      <c r="A91" s="22"/>
      <c r="B91" s="22"/>
      <c r="C91" s="22" t="e">
        <f>INDEX(RCL!$C:$C,MATCH('Receita Arrecadada'!A91,RCL!$B:$B,0))</f>
        <v>#N/A</v>
      </c>
      <c r="D91" s="2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</row>
    <row r="92" spans="1:40" x14ac:dyDescent="0.25">
      <c r="A92" s="22"/>
      <c r="B92" s="22"/>
      <c r="C92" s="22" t="e">
        <f>INDEX(RCL!$C:$C,MATCH('Receita Arrecadada'!A92,RCL!$B:$B,0))</f>
        <v>#N/A</v>
      </c>
      <c r="D92" s="2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</row>
    <row r="93" spans="1:40" x14ac:dyDescent="0.25">
      <c r="A93" s="22"/>
      <c r="B93" s="22"/>
      <c r="C93" s="22" t="e">
        <f>INDEX(RCL!$C:$C,MATCH('Receita Arrecadada'!A93,RCL!$B:$B,0))</f>
        <v>#N/A</v>
      </c>
      <c r="D93" s="2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x14ac:dyDescent="0.25">
      <c r="A94" s="22"/>
      <c r="B94" s="22"/>
      <c r="C94" s="22" t="e">
        <f>INDEX(RCL!$C:$C,MATCH('Receita Arrecadada'!A94,RCL!$B:$B,0))</f>
        <v>#N/A</v>
      </c>
      <c r="D94" s="2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  <row r="95" spans="1:40" x14ac:dyDescent="0.25">
      <c r="A95" s="22"/>
      <c r="B95" s="22"/>
      <c r="C95" s="22" t="e">
        <f>INDEX(RCL!$C:$C,MATCH('Receita Arrecadada'!A95,RCL!$B:$B,0))</f>
        <v>#N/A</v>
      </c>
      <c r="D95" s="2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</row>
    <row r="96" spans="1:40" x14ac:dyDescent="0.25">
      <c r="A96" s="22"/>
      <c r="B96" s="22"/>
      <c r="C96" s="22" t="e">
        <f>INDEX(RCL!$C:$C,MATCH('Receita Arrecadada'!A96,RCL!$B:$B,0))</f>
        <v>#N/A</v>
      </c>
      <c r="D96" s="2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</row>
    <row r="97" spans="1:40" x14ac:dyDescent="0.25">
      <c r="A97" s="22"/>
      <c r="B97" s="22"/>
      <c r="C97" s="22" t="e">
        <f>INDEX(RCL!$C:$C,MATCH('Receita Arrecadada'!A97,RCL!$B:$B,0))</f>
        <v>#N/A</v>
      </c>
      <c r="D97" s="2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</row>
    <row r="98" spans="1:40" x14ac:dyDescent="0.25">
      <c r="A98" s="22"/>
      <c r="B98" s="22"/>
      <c r="C98" s="22" t="e">
        <f>INDEX(RCL!$C:$C,MATCH('Receita Arrecadada'!A98,RCL!$B:$B,0))</f>
        <v>#N/A</v>
      </c>
      <c r="D98" s="2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</row>
    <row r="99" spans="1:40" x14ac:dyDescent="0.25">
      <c r="A99" s="22"/>
      <c r="B99" s="22"/>
      <c r="C99" s="22" t="e">
        <f>INDEX(RCL!$C:$C,MATCH('Receita Arrecadada'!A99,RCL!$B:$B,0))</f>
        <v>#N/A</v>
      </c>
      <c r="D99" s="2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</row>
    <row r="100" spans="1:40" x14ac:dyDescent="0.25">
      <c r="A100" s="22"/>
      <c r="B100" s="22"/>
      <c r="C100" s="22" t="e">
        <f>INDEX(RCL!$C:$C,MATCH('Receita Arrecadada'!A100,RCL!$B:$B,0))</f>
        <v>#N/A</v>
      </c>
      <c r="D100" s="2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</row>
  </sheetData>
  <sortState xmlns:xlrd2="http://schemas.microsoft.com/office/spreadsheetml/2017/richdata2" ref="A2:D26">
    <sortCondition ref="D2:D2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8E9C7-774A-4A7C-B3C0-1A2E9A4D365E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999E-3AD4-4EAA-8B47-024C30978AD6}">
  <sheetPr codeName="Planilha7">
    <tabColor theme="5" tint="-0.249977111117893"/>
  </sheetPr>
  <dimension ref="A1:AE28"/>
  <sheetViews>
    <sheetView workbookViewId="0">
      <pane xSplit="4" ySplit="1" topLeftCell="E2" activePane="bottomRight" state="frozen"/>
      <selection activeCell="D41" sqref="D41"/>
      <selection pane="topRight" activeCell="D41" sqref="D41"/>
      <selection pane="bottomLeft" activeCell="D41" sqref="D41"/>
      <selection pane="bottomRight" sqref="A1:D1"/>
    </sheetView>
  </sheetViews>
  <sheetFormatPr defaultRowHeight="15" x14ac:dyDescent="0.25"/>
  <cols>
    <col min="1" max="1" width="59.140625" customWidth="1"/>
    <col min="2" max="2" width="6.140625" customWidth="1"/>
    <col min="3" max="3" width="6.5703125" customWidth="1"/>
    <col min="4" max="4" width="23.85546875" bestFit="1" customWidth="1"/>
    <col min="5" max="7" width="12.42578125" style="18" customWidth="1"/>
    <col min="8" max="31" width="12.42578125" style="18" bestFit="1" customWidth="1"/>
    <col min="32" max="16384" width="9.140625" style="18"/>
  </cols>
  <sheetData>
    <row r="1" spans="1:31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44500</v>
      </c>
      <c r="F1" s="41">
        <v>44530</v>
      </c>
      <c r="G1" s="41">
        <v>44561</v>
      </c>
      <c r="H1" s="41">
        <v>44592</v>
      </c>
      <c r="I1" s="41">
        <v>44620</v>
      </c>
      <c r="J1" s="41">
        <v>44651</v>
      </c>
      <c r="K1" s="41">
        <v>44681</v>
      </c>
      <c r="L1" s="41">
        <v>44712</v>
      </c>
      <c r="M1" s="41">
        <v>44742</v>
      </c>
      <c r="N1" s="41">
        <v>44773</v>
      </c>
      <c r="O1" s="41">
        <v>44804</v>
      </c>
      <c r="P1" s="41">
        <v>44834</v>
      </c>
      <c r="Q1" s="41">
        <v>44865</v>
      </c>
      <c r="R1" s="41">
        <v>44895</v>
      </c>
      <c r="S1" s="41">
        <v>44926</v>
      </c>
      <c r="T1" s="41">
        <v>44957</v>
      </c>
      <c r="U1" s="41">
        <v>44985</v>
      </c>
      <c r="V1" s="41">
        <v>45016</v>
      </c>
      <c r="W1" s="41">
        <v>45046</v>
      </c>
      <c r="X1" s="41">
        <v>45077</v>
      </c>
      <c r="Y1" s="41">
        <v>45107</v>
      </c>
      <c r="Z1" s="41">
        <v>45138</v>
      </c>
      <c r="AA1" s="41">
        <v>45169</v>
      </c>
      <c r="AB1" s="41">
        <v>45199</v>
      </c>
      <c r="AC1" s="41">
        <v>45230</v>
      </c>
      <c r="AD1" s="41">
        <v>45260</v>
      </c>
      <c r="AE1" s="41">
        <v>45291</v>
      </c>
    </row>
    <row r="2" spans="1:31" customFormat="1" x14ac:dyDescent="0.25">
      <c r="A2" s="22" t="s">
        <v>254</v>
      </c>
      <c r="B2" s="22" t="s">
        <v>118</v>
      </c>
      <c r="C2" s="22"/>
      <c r="D2" s="22" t="s">
        <v>256</v>
      </c>
      <c r="E2" s="42">
        <v>1082.3900000000001</v>
      </c>
      <c r="F2" s="42">
        <v>1082.3900000000001</v>
      </c>
      <c r="G2" s="42">
        <v>2164.75</v>
      </c>
      <c r="H2" s="42"/>
      <c r="I2" s="42"/>
      <c r="J2" s="42"/>
      <c r="K2" s="42"/>
      <c r="L2" s="42"/>
      <c r="M2" s="42"/>
      <c r="N2" s="42"/>
      <c r="O2" s="42"/>
      <c r="P2" s="42">
        <v>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customFormat="1" x14ac:dyDescent="0.25">
      <c r="A3" s="22" t="s">
        <v>104</v>
      </c>
      <c r="B3" s="22" t="s">
        <v>116</v>
      </c>
      <c r="C3" s="22"/>
      <c r="D3" s="22" t="s">
        <v>187</v>
      </c>
      <c r="E3" s="42">
        <v>166014.42000000001</v>
      </c>
      <c r="F3" s="42">
        <v>166957.32</v>
      </c>
      <c r="G3" s="42">
        <v>328245.46000000002</v>
      </c>
      <c r="H3" s="43">
        <v>197611.78999999998</v>
      </c>
      <c r="I3" s="43">
        <v>204738.59000000003</v>
      </c>
      <c r="J3" s="43">
        <v>207519.68</v>
      </c>
      <c r="K3" s="43">
        <v>210495.22999999998</v>
      </c>
      <c r="L3" s="43">
        <v>219805.44</v>
      </c>
      <c r="M3" s="43">
        <v>219805.44</v>
      </c>
      <c r="N3" s="43">
        <v>219805.44</v>
      </c>
      <c r="O3" s="43">
        <v>219805.44</v>
      </c>
      <c r="P3" s="43">
        <v>219805.44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pans="1:31" x14ac:dyDescent="0.25">
      <c r="A4" s="22" t="s">
        <v>105</v>
      </c>
      <c r="B4" s="22" t="s">
        <v>117</v>
      </c>
      <c r="C4" s="22"/>
      <c r="D4" s="22" t="s">
        <v>188</v>
      </c>
      <c r="E4" s="42">
        <v>50034.840000000004</v>
      </c>
      <c r="F4" s="42">
        <v>50034.840000000004</v>
      </c>
      <c r="G4" s="42">
        <v>101388.88</v>
      </c>
      <c r="H4" s="43">
        <v>56744.36</v>
      </c>
      <c r="I4" s="43">
        <v>55532.36</v>
      </c>
      <c r="J4" s="43">
        <v>55532.36</v>
      </c>
      <c r="K4" s="43">
        <v>55532.36</v>
      </c>
      <c r="L4" s="43">
        <v>56383.43</v>
      </c>
      <c r="M4" s="43">
        <v>56383.43</v>
      </c>
      <c r="N4" s="43">
        <v>56383.43</v>
      </c>
      <c r="O4" s="43">
        <v>63833.87</v>
      </c>
      <c r="P4" s="43">
        <v>62769.53</v>
      </c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1:31" x14ac:dyDescent="0.25">
      <c r="A5" s="22" t="s">
        <v>253</v>
      </c>
      <c r="B5" s="22" t="s">
        <v>114</v>
      </c>
      <c r="C5" s="22"/>
      <c r="D5" s="22" t="s">
        <v>257</v>
      </c>
      <c r="E5" s="42">
        <v>45669.919999999998</v>
      </c>
      <c r="F5" s="42">
        <v>51252.05</v>
      </c>
      <c r="G5" s="42">
        <v>64375.140000000014</v>
      </c>
      <c r="H5" s="43">
        <v>16757.53</v>
      </c>
      <c r="I5" s="43">
        <v>22298.84</v>
      </c>
      <c r="J5" s="43">
        <v>22571.5</v>
      </c>
      <c r="K5" s="43">
        <v>23815.75</v>
      </c>
      <c r="L5" s="43">
        <v>32367.18</v>
      </c>
      <c r="M5" s="43">
        <v>43602.57</v>
      </c>
      <c r="N5" s="43">
        <v>40696.870000000003</v>
      </c>
      <c r="O5" s="43">
        <v>46202.27</v>
      </c>
      <c r="P5" s="43">
        <v>55803.609999999993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1:31" x14ac:dyDescent="0.25">
      <c r="A6" s="22" t="s">
        <v>251</v>
      </c>
      <c r="B6" s="22" t="s">
        <v>114</v>
      </c>
      <c r="C6" s="22"/>
      <c r="D6" s="22" t="s">
        <v>258</v>
      </c>
      <c r="E6" s="42">
        <v>755351.50999999966</v>
      </c>
      <c r="F6" s="42">
        <v>779321.94000000029</v>
      </c>
      <c r="G6" s="42">
        <v>1596934.169999999</v>
      </c>
      <c r="H6" s="43">
        <v>947214.0199999999</v>
      </c>
      <c r="I6" s="43">
        <v>904730.93</v>
      </c>
      <c r="J6" s="43">
        <v>888891.95000000007</v>
      </c>
      <c r="K6" s="43">
        <v>907069.28999999992</v>
      </c>
      <c r="L6" s="43">
        <v>949719.96999999974</v>
      </c>
      <c r="M6" s="43">
        <v>985961.32999999984</v>
      </c>
      <c r="N6" s="43">
        <v>987778.7300000001</v>
      </c>
      <c r="O6" s="43">
        <v>1013767.2100000003</v>
      </c>
      <c r="P6" s="43">
        <v>956198.86000000022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1:31" x14ac:dyDescent="0.25">
      <c r="A7" s="22" t="s">
        <v>102</v>
      </c>
      <c r="B7" s="22" t="s">
        <v>115</v>
      </c>
      <c r="C7" s="22"/>
      <c r="D7" s="22" t="s">
        <v>255</v>
      </c>
      <c r="E7" s="42">
        <v>40829.590000000004</v>
      </c>
      <c r="F7" s="42">
        <v>31438.46</v>
      </c>
      <c r="G7" s="42">
        <v>59158.099999999991</v>
      </c>
      <c r="H7" s="43">
        <v>38768.819999999992</v>
      </c>
      <c r="I7" s="43">
        <v>39919.64</v>
      </c>
      <c r="J7" s="43">
        <v>37754.26</v>
      </c>
      <c r="K7" s="43">
        <v>39792.87000000001</v>
      </c>
      <c r="L7" s="43">
        <v>42523.760000000009</v>
      </c>
      <c r="M7" s="43">
        <v>43749.900000000009</v>
      </c>
      <c r="N7" s="43">
        <v>46061.459999999992</v>
      </c>
      <c r="O7" s="43">
        <v>58725.090000000011</v>
      </c>
      <c r="P7" s="43">
        <v>52684.55000000001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1:31" x14ac:dyDescent="0.25">
      <c r="A8" s="22" t="s">
        <v>252</v>
      </c>
      <c r="B8" s="22" t="s">
        <v>114</v>
      </c>
      <c r="C8" s="22"/>
      <c r="D8" s="22" t="s">
        <v>259</v>
      </c>
      <c r="E8" s="42">
        <v>16184.2</v>
      </c>
      <c r="F8" s="42">
        <v>17272.719999999998</v>
      </c>
      <c r="G8" s="42">
        <v>14786.519999999995</v>
      </c>
      <c r="H8" s="43">
        <v>19924.269999999997</v>
      </c>
      <c r="I8" s="43">
        <v>11690.43</v>
      </c>
      <c r="J8" s="43">
        <v>14880.43</v>
      </c>
      <c r="K8" s="43">
        <v>22122.29</v>
      </c>
      <c r="L8" s="43">
        <v>24978.309999999998</v>
      </c>
      <c r="M8" s="43">
        <v>41252.770000000004</v>
      </c>
      <c r="N8" s="43">
        <v>31335.709999999992</v>
      </c>
      <c r="O8" s="43">
        <v>21591.049999999996</v>
      </c>
      <c r="P8" s="43">
        <v>33772.46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1:31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>
        <v>364320.4</v>
      </c>
      <c r="F9" s="42"/>
      <c r="G9" s="42"/>
      <c r="H9" s="43"/>
      <c r="I9" s="43"/>
      <c r="J9" s="43"/>
      <c r="K9" s="43"/>
      <c r="L9" s="43">
        <v>338866.9</v>
      </c>
      <c r="M9" s="43">
        <v>70985.66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1:31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>
        <v>1842.75</v>
      </c>
      <c r="H10" s="43"/>
      <c r="I10" s="43"/>
      <c r="J10" s="43"/>
      <c r="K10" s="43"/>
      <c r="L10" s="43">
        <v>1053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 spans="1:31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>
        <v>2976.54</v>
      </c>
      <c r="F11" s="42">
        <v>16573.919999999998</v>
      </c>
      <c r="G11" s="42">
        <v>26913.079999999998</v>
      </c>
      <c r="H11" s="43">
        <v>7692.9</v>
      </c>
      <c r="I11" s="43">
        <v>11583.33</v>
      </c>
      <c r="J11" s="43">
        <v>27098.739999999998</v>
      </c>
      <c r="K11" s="43">
        <v>21799.230000000003</v>
      </c>
      <c r="L11" s="43"/>
      <c r="M11" s="43">
        <v>12488.699999999999</v>
      </c>
      <c r="N11" s="43">
        <v>12987.830000000002</v>
      </c>
      <c r="O11" s="43">
        <v>26463.050000000003</v>
      </c>
      <c r="P11" s="43">
        <v>4197.22</v>
      </c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1:31" x14ac:dyDescent="0.25">
      <c r="A12" s="22" t="s">
        <v>102</v>
      </c>
      <c r="B12" s="22" t="s">
        <v>115</v>
      </c>
      <c r="C12" s="22"/>
      <c r="D12" s="22" t="s">
        <v>264</v>
      </c>
      <c r="E12" s="42">
        <v>216123.96</v>
      </c>
      <c r="F12" s="42">
        <v>196387.00999999992</v>
      </c>
      <c r="G12" s="42">
        <v>415282.89999999997</v>
      </c>
      <c r="H12" s="43">
        <v>252825.86</v>
      </c>
      <c r="I12" s="43">
        <v>248401.79999999987</v>
      </c>
      <c r="J12" s="43">
        <v>246041.99</v>
      </c>
      <c r="K12" s="43">
        <v>244193.34</v>
      </c>
      <c r="L12" s="43">
        <v>253030.00000000012</v>
      </c>
      <c r="M12" s="43">
        <v>256855.48999999996</v>
      </c>
      <c r="N12" s="43">
        <v>264125.44999999995</v>
      </c>
      <c r="O12" s="43">
        <v>264623.5</v>
      </c>
      <c r="P12" s="43">
        <v>251250.77</v>
      </c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1:31" x14ac:dyDescent="0.25">
      <c r="A13" s="22" t="s">
        <v>124</v>
      </c>
      <c r="B13" s="22" t="s">
        <v>118</v>
      </c>
      <c r="C13" s="22"/>
      <c r="D13" s="22" t="s">
        <v>263</v>
      </c>
      <c r="E13" s="42">
        <v>0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>
        <v>0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x14ac:dyDescent="0.25">
      <c r="A14" s="22" t="s">
        <v>125</v>
      </c>
      <c r="B14" s="22"/>
      <c r="C14" s="22" t="s">
        <v>123</v>
      </c>
      <c r="D14" s="22" t="s">
        <v>131</v>
      </c>
      <c r="E14" s="42">
        <v>166014.42000000001</v>
      </c>
      <c r="F14" s="42">
        <v>166957.32</v>
      </c>
      <c r="G14" s="42">
        <v>328245.46000000002</v>
      </c>
      <c r="H14" s="43">
        <v>197611.78999999998</v>
      </c>
      <c r="I14" s="43">
        <v>204738.59000000003</v>
      </c>
      <c r="J14" s="43">
        <v>207519.68</v>
      </c>
      <c r="K14" s="43">
        <v>210495.22999999998</v>
      </c>
      <c r="L14" s="43">
        <v>219805.44</v>
      </c>
      <c r="M14" s="43">
        <v>219805.44</v>
      </c>
      <c r="N14" s="43">
        <v>219805.44</v>
      </c>
      <c r="O14" s="43">
        <v>219805.44</v>
      </c>
      <c r="P14" s="43">
        <v>219805.44</v>
      </c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1:31" x14ac:dyDescent="0.25">
      <c r="A15" s="22" t="s">
        <v>126</v>
      </c>
      <c r="B15" s="22"/>
      <c r="C15" s="22" t="s">
        <v>123</v>
      </c>
      <c r="D15" s="22" t="s">
        <v>132</v>
      </c>
      <c r="E15" s="42">
        <v>50034.840000000004</v>
      </c>
      <c r="F15" s="42">
        <v>50034.840000000004</v>
      </c>
      <c r="G15" s="42">
        <v>101388.88</v>
      </c>
      <c r="H15" s="43">
        <v>56744.36</v>
      </c>
      <c r="I15" s="43">
        <v>55532.36</v>
      </c>
      <c r="J15" s="43">
        <v>55532.36</v>
      </c>
      <c r="K15" s="43">
        <v>55532.36</v>
      </c>
      <c r="L15" s="43">
        <v>56383.43</v>
      </c>
      <c r="M15" s="43">
        <v>56383.43</v>
      </c>
      <c r="N15" s="43">
        <v>56383.43</v>
      </c>
      <c r="O15" s="43">
        <v>63833.87</v>
      </c>
      <c r="P15" s="43">
        <v>62769.53</v>
      </c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1:31" x14ac:dyDescent="0.25">
      <c r="A16" s="22" t="s">
        <v>130</v>
      </c>
      <c r="B16" s="22" t="s">
        <v>119</v>
      </c>
      <c r="C16" s="22"/>
      <c r="D16" s="22" t="s">
        <v>162</v>
      </c>
      <c r="E16" s="42">
        <v>0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>
        <v>0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x14ac:dyDescent="0.25">
      <c r="A17" s="22" t="s">
        <v>163</v>
      </c>
      <c r="B17" s="22" t="s">
        <v>119</v>
      </c>
      <c r="C17" s="22"/>
      <c r="D17" s="22" t="s">
        <v>164</v>
      </c>
      <c r="E17" s="42">
        <v>0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>
        <v>0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x14ac:dyDescent="0.25">
      <c r="A18" s="22" t="s">
        <v>171</v>
      </c>
      <c r="B18" s="22"/>
      <c r="C18" s="22" t="s">
        <v>118</v>
      </c>
      <c r="D18" s="22" t="s">
        <v>182</v>
      </c>
      <c r="E18" s="42">
        <v>0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>
        <v>0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x14ac:dyDescent="0.25">
      <c r="A19" s="22" t="s">
        <v>172</v>
      </c>
      <c r="B19" s="22"/>
      <c r="C19" s="22" t="s">
        <v>118</v>
      </c>
      <c r="D19" s="22" t="s">
        <v>183</v>
      </c>
      <c r="E19" s="42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>
        <v>0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x14ac:dyDescent="0.25">
      <c r="A20" s="22" t="s">
        <v>173</v>
      </c>
      <c r="B20" s="22"/>
      <c r="C20" s="22" t="s">
        <v>118</v>
      </c>
      <c r="D20" s="22" t="s">
        <v>184</v>
      </c>
      <c r="E20" s="42">
        <v>0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>
        <v>0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x14ac:dyDescent="0.25">
      <c r="A21" s="22" t="s">
        <v>165</v>
      </c>
      <c r="B21" s="22"/>
      <c r="C21" s="22" t="s">
        <v>118</v>
      </c>
      <c r="D21" s="22" t="s">
        <v>176</v>
      </c>
      <c r="E21" s="42">
        <v>0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>
        <v>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x14ac:dyDescent="0.25">
      <c r="A22" s="22" t="s">
        <v>166</v>
      </c>
      <c r="B22" s="22"/>
      <c r="C22" s="22" t="s">
        <v>118</v>
      </c>
      <c r="D22" s="22" t="s">
        <v>177</v>
      </c>
      <c r="E22" s="42">
        <v>0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>
        <v>0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x14ac:dyDescent="0.25">
      <c r="A23" s="22" t="s">
        <v>167</v>
      </c>
      <c r="B23" s="22"/>
      <c r="C23" s="22" t="s">
        <v>118</v>
      </c>
      <c r="D23" s="22" t="s">
        <v>178</v>
      </c>
      <c r="E23" s="42">
        <v>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>
        <v>0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x14ac:dyDescent="0.25">
      <c r="A24" s="22" t="s">
        <v>168</v>
      </c>
      <c r="B24" s="22"/>
      <c r="C24" s="22" t="s">
        <v>118</v>
      </c>
      <c r="D24" s="22" t="s">
        <v>179</v>
      </c>
      <c r="E24" s="42">
        <v>0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>
        <v>0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x14ac:dyDescent="0.25">
      <c r="A25" s="22" t="s">
        <v>169</v>
      </c>
      <c r="B25" s="22"/>
      <c r="C25" s="22" t="s">
        <v>118</v>
      </c>
      <c r="D25" s="22" t="s">
        <v>180</v>
      </c>
      <c r="E25" s="42">
        <v>0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>
        <v>0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x14ac:dyDescent="0.25">
      <c r="A26" s="22" t="s">
        <v>170</v>
      </c>
      <c r="B26" s="22"/>
      <c r="C26" s="22" t="s">
        <v>118</v>
      </c>
      <c r="D26" s="22" t="s">
        <v>181</v>
      </c>
      <c r="E26" s="42">
        <v>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>
        <v>0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x14ac:dyDescent="0.25">
      <c r="A27" s="22" t="s">
        <v>174</v>
      </c>
      <c r="B27" s="22" t="s">
        <v>119</v>
      </c>
      <c r="C27" s="22"/>
      <c r="D27" s="22" t="s">
        <v>185</v>
      </c>
      <c r="E27" s="42">
        <v>0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>
        <v>0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x14ac:dyDescent="0.25">
      <c r="A28" s="22" t="s">
        <v>175</v>
      </c>
      <c r="B28" s="22" t="s">
        <v>119</v>
      </c>
      <c r="C28" s="22"/>
      <c r="D28" s="22" t="s">
        <v>186</v>
      </c>
      <c r="E28" s="42">
        <v>0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>
        <v>0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</sheetData>
  <sortState xmlns:xlrd2="http://schemas.microsoft.com/office/spreadsheetml/2017/richdata2" ref="A2:P13">
    <sortCondition ref="D2:D13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DD02A8-5689-4233-86EE-B563D0E8D575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FE9E-A45C-4D42-8BCF-EB63CB4E6CBE}">
  <sheetPr codeName="Planilha8">
    <tabColor theme="5" tint="-0.249977111117893"/>
  </sheetPr>
  <dimension ref="A1:P28"/>
  <sheetViews>
    <sheetView workbookViewId="0">
      <selection activeCell="B2" sqref="B2:C1048576"/>
    </sheetView>
  </sheetViews>
  <sheetFormatPr defaultRowHeight="15" x14ac:dyDescent="0.25"/>
  <cols>
    <col min="1" max="1" width="59.140625" customWidth="1"/>
    <col min="2" max="2" width="8.140625" customWidth="1"/>
    <col min="3" max="3" width="7.140625" customWidth="1"/>
    <col min="4" max="4" width="23.85546875" bestFit="1" customWidth="1"/>
    <col min="5" max="16" width="10.7109375" style="18" bestFit="1" customWidth="1"/>
    <col min="17" max="16384" width="9.140625" style="18"/>
  </cols>
  <sheetData>
    <row r="1" spans="1:16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44926</v>
      </c>
      <c r="F1" s="41">
        <v>45291</v>
      </c>
      <c r="G1" s="41">
        <v>45657</v>
      </c>
      <c r="H1" s="41">
        <v>46022</v>
      </c>
      <c r="I1" s="41">
        <v>46387</v>
      </c>
      <c r="J1" s="41">
        <v>46752</v>
      </c>
      <c r="K1" s="41">
        <v>47118</v>
      </c>
      <c r="L1" s="41">
        <v>47483</v>
      </c>
      <c r="M1" s="41">
        <v>47848</v>
      </c>
      <c r="N1" s="41">
        <v>48213</v>
      </c>
      <c r="O1" s="41">
        <v>48579</v>
      </c>
      <c r="P1" s="41">
        <v>48944</v>
      </c>
    </row>
    <row r="2" spans="1:16" x14ac:dyDescent="0.25">
      <c r="A2" s="22" t="s">
        <v>254</v>
      </c>
      <c r="B2" s="22" t="s">
        <v>118</v>
      </c>
      <c r="C2" s="22"/>
      <c r="D2" s="22" t="s">
        <v>256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x14ac:dyDescent="0.25">
      <c r="A3" s="22" t="s">
        <v>104</v>
      </c>
      <c r="B3" s="22" t="s">
        <v>116</v>
      </c>
      <c r="C3" s="22"/>
      <c r="D3" s="22" t="s">
        <v>187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x14ac:dyDescent="0.25">
      <c r="A4" s="22" t="s">
        <v>105</v>
      </c>
      <c r="B4" s="22" t="s">
        <v>117</v>
      </c>
      <c r="C4" s="22"/>
      <c r="D4" s="22" t="s">
        <v>188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x14ac:dyDescent="0.25">
      <c r="A5" s="22" t="s">
        <v>253</v>
      </c>
      <c r="B5" s="22" t="s">
        <v>114</v>
      </c>
      <c r="C5" s="22"/>
      <c r="D5" s="22" t="s">
        <v>257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25">
      <c r="A6" s="22" t="s">
        <v>251</v>
      </c>
      <c r="B6" s="22" t="s">
        <v>114</v>
      </c>
      <c r="C6" s="22"/>
      <c r="D6" s="22" t="s">
        <v>258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25">
      <c r="A7" s="22" t="s">
        <v>102</v>
      </c>
      <c r="B7" s="22" t="s">
        <v>115</v>
      </c>
      <c r="C7" s="22"/>
      <c r="D7" s="22" t="s">
        <v>255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x14ac:dyDescent="0.25">
      <c r="A8" s="22" t="s">
        <v>252</v>
      </c>
      <c r="B8" s="22" t="s">
        <v>114</v>
      </c>
      <c r="C8" s="22"/>
      <c r="D8" s="22" t="s">
        <v>259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spans="1:16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spans="1:16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x14ac:dyDescent="0.25">
      <c r="A12" s="22" t="s">
        <v>102</v>
      </c>
      <c r="B12" s="22" t="s">
        <v>115</v>
      </c>
      <c r="C12" s="22"/>
      <c r="D12" s="22" t="s">
        <v>264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x14ac:dyDescent="0.25">
      <c r="A13" s="22" t="s">
        <v>124</v>
      </c>
      <c r="B13" s="22" t="s">
        <v>118</v>
      </c>
      <c r="C13" s="22"/>
      <c r="D13" s="22" t="s">
        <v>263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22" t="s">
        <v>125</v>
      </c>
      <c r="B14" s="22"/>
      <c r="C14" s="22" t="s">
        <v>123</v>
      </c>
      <c r="D14" s="22" t="s">
        <v>131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22" t="s">
        <v>126</v>
      </c>
      <c r="B15" s="22"/>
      <c r="C15" s="22" t="s">
        <v>123</v>
      </c>
      <c r="D15" s="22" t="s">
        <v>132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25">
      <c r="A16" s="22" t="s">
        <v>130</v>
      </c>
      <c r="B16" s="22" t="s">
        <v>119</v>
      </c>
      <c r="C16" s="22"/>
      <c r="D16" s="22" t="s">
        <v>162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x14ac:dyDescent="0.25">
      <c r="A17" s="22" t="s">
        <v>163</v>
      </c>
      <c r="B17" s="22" t="s">
        <v>119</v>
      </c>
      <c r="C17" s="22"/>
      <c r="D17" s="22" t="s">
        <v>164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x14ac:dyDescent="0.25">
      <c r="A18" s="22" t="s">
        <v>171</v>
      </c>
      <c r="B18" s="22"/>
      <c r="C18" s="22" t="s">
        <v>118</v>
      </c>
      <c r="D18" s="22" t="s">
        <v>182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x14ac:dyDescent="0.25">
      <c r="A19" s="22" t="s">
        <v>172</v>
      </c>
      <c r="B19" s="22"/>
      <c r="C19" s="22" t="s">
        <v>118</v>
      </c>
      <c r="D19" s="22" t="s">
        <v>183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25">
      <c r="A20" s="22" t="s">
        <v>173</v>
      </c>
      <c r="B20" s="22"/>
      <c r="C20" s="22" t="s">
        <v>118</v>
      </c>
      <c r="D20" s="22" t="s">
        <v>184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22" t="s">
        <v>165</v>
      </c>
      <c r="B21" s="22"/>
      <c r="C21" s="22" t="s">
        <v>118</v>
      </c>
      <c r="D21" s="22" t="s">
        <v>176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22" t="s">
        <v>166</v>
      </c>
      <c r="B22" s="22"/>
      <c r="C22" s="22" t="s">
        <v>118</v>
      </c>
      <c r="D22" s="22" t="s">
        <v>177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22" t="s">
        <v>167</v>
      </c>
      <c r="B23" s="22"/>
      <c r="C23" s="22" t="s">
        <v>118</v>
      </c>
      <c r="D23" s="22" t="s">
        <v>178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22" t="s">
        <v>168</v>
      </c>
      <c r="B24" s="22"/>
      <c r="C24" s="22" t="s">
        <v>118</v>
      </c>
      <c r="D24" s="22" t="s">
        <v>179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22" t="s">
        <v>169</v>
      </c>
      <c r="B25" s="22"/>
      <c r="C25" s="22" t="s">
        <v>118</v>
      </c>
      <c r="D25" s="22" t="s">
        <v>180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x14ac:dyDescent="0.25">
      <c r="A26" s="22" t="s">
        <v>170</v>
      </c>
      <c r="B26" s="22"/>
      <c r="C26" s="22" t="s">
        <v>118</v>
      </c>
      <c r="D26" s="22" t="s">
        <v>181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25">
      <c r="A27" s="22" t="s">
        <v>174</v>
      </c>
      <c r="B27" s="22" t="s">
        <v>119</v>
      </c>
      <c r="C27" s="22"/>
      <c r="D27" s="22" t="s">
        <v>185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25">
      <c r="A28" s="22" t="s">
        <v>175</v>
      </c>
      <c r="B28" s="22" t="s">
        <v>119</v>
      </c>
      <c r="C28" s="22"/>
      <c r="D28" s="22" t="s">
        <v>186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E176E4-2426-4DCA-8A8B-AE8089EAC07C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A4BB-3FEE-4E0D-8F5D-3F6D759A602B}">
  <sheetPr codeName="Planilha5">
    <tabColor theme="9" tint="-0.249977111117893"/>
    <pageSetUpPr fitToPage="1"/>
  </sheetPr>
  <dimension ref="B2:R48"/>
  <sheetViews>
    <sheetView topLeftCell="A12" workbookViewId="0">
      <selection activeCell="B12" sqref="B12:B43"/>
    </sheetView>
  </sheetViews>
  <sheetFormatPr defaultRowHeight="15" x14ac:dyDescent="0.25"/>
  <cols>
    <col min="1" max="1" width="4.140625" customWidth="1"/>
    <col min="2" max="2" width="23.28515625" customWidth="1"/>
    <col min="3" max="3" width="6.42578125" customWidth="1"/>
    <col min="4" max="4" width="90.7109375" bestFit="1" customWidth="1"/>
    <col min="5" max="16" width="12.42578125" bestFit="1" customWidth="1"/>
    <col min="17" max="17" width="18" bestFit="1" customWidth="1"/>
    <col min="18" max="18" width="22" bestFit="1" customWidth="1"/>
  </cols>
  <sheetData>
    <row r="2" spans="2:18" x14ac:dyDescent="0.25">
      <c r="D2" s="48" t="str">
        <f>paramEnte</f>
        <v>Município de Independência/RS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2:18" x14ac:dyDescent="0.25">
      <c r="D3" s="48" t="s">
        <v>3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2:18" x14ac:dyDescent="0.25">
      <c r="D4" s="49" t="s">
        <v>4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2:18" x14ac:dyDescent="0.25">
      <c r="D5" s="48" t="s">
        <v>5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2:18" x14ac:dyDescent="0.25">
      <c r="D6" s="48" t="str">
        <f>_xlfn.CONCAT("de ",UPPER(TEXT(E10,"mmmm \d\e aaaa"))," até ",UPPER(TEXT(P10,"mmmm \d\e aaaa")))</f>
        <v>de OUTUBRO DE 2021 até SETEMBRO DE 2022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8" spans="2:18" x14ac:dyDescent="0.25">
      <c r="D8" s="51" t="s">
        <v>6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15" t="s">
        <v>14</v>
      </c>
    </row>
    <row r="9" spans="2:18" x14ac:dyDescent="0.25">
      <c r="D9" s="52" t="s">
        <v>15</v>
      </c>
      <c r="E9" s="53" t="s">
        <v>7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16" t="s">
        <v>8</v>
      </c>
      <c r="R9" s="52" t="s">
        <v>10</v>
      </c>
    </row>
    <row r="10" spans="2:18" x14ac:dyDescent="0.25">
      <c r="B10" t="s">
        <v>56</v>
      </c>
      <c r="D10" s="52"/>
      <c r="E10" s="19">
        <f>INDEX('Receita Arrecadada'!$N$1:$XFD$1,MATCH(paramDataBase,'Receita Arrecadada'!$N$1:$XFD$1,0)-11)</f>
        <v>44500</v>
      </c>
      <c r="F10" s="19">
        <f>INDEX('Receita Arrecadada'!$N$1:$XFD$1,MATCH(paramDataBase,'Receita Arrecadada'!$N$1:$XFD$1,0)-10)</f>
        <v>44530</v>
      </c>
      <c r="G10" s="19">
        <f>INDEX('Receita Arrecadada'!$N$1:$XFD$1,MATCH(paramDataBase,'Receita Arrecadada'!$N$1:$XFD$1,0)-9)</f>
        <v>44561</v>
      </c>
      <c r="H10" s="19">
        <f>INDEX('Receita Arrecadada'!$N$1:$XFD$1,MATCH(paramDataBase,'Receita Arrecadada'!$N$1:$XFD$1,0)-8)</f>
        <v>44592</v>
      </c>
      <c r="I10" s="19">
        <f>INDEX('Receita Arrecadada'!$N$1:$XFD$1,MATCH(paramDataBase,'Receita Arrecadada'!$N$1:$XFD$1,0)-7)</f>
        <v>44620</v>
      </c>
      <c r="J10" s="19">
        <f>INDEX('Receita Arrecadada'!$N$1:$XFD$1,MATCH(paramDataBase,'Receita Arrecadada'!$N$1:$XFD$1,0)-6)</f>
        <v>44651</v>
      </c>
      <c r="K10" s="19">
        <f>INDEX('Receita Arrecadada'!$N$1:$XFD$1,MATCH(paramDataBase,'Receita Arrecadada'!$N$1:$XFD$1,0)-5)</f>
        <v>44681</v>
      </c>
      <c r="L10" s="19">
        <f>INDEX('Receita Arrecadada'!$N$1:$XFD$1,MATCH(paramDataBase,'Receita Arrecadada'!$N$1:$XFD$1,0)-4)</f>
        <v>44712</v>
      </c>
      <c r="M10" s="19">
        <f>INDEX('Receita Arrecadada'!$N$1:$XFD$1,MATCH(paramDataBase,'Receita Arrecadada'!$N$1:$XFD$1,0)-3)</f>
        <v>44742</v>
      </c>
      <c r="N10" s="19">
        <f>INDEX('Receita Arrecadada'!$N$1:$XFD$1,MATCH(paramDataBase,'Receita Arrecadada'!$N$1:$XFD$1,0)-2)</f>
        <v>44773</v>
      </c>
      <c r="O10" s="19">
        <f>INDEX('Receita Arrecadada'!$N$1:$XFD$1,MATCH(paramDataBase,'Receita Arrecadada'!$N$1:$XFD$1,0)-1)</f>
        <v>44804</v>
      </c>
      <c r="P10" s="19">
        <f>paramDataBase</f>
        <v>44834</v>
      </c>
      <c r="Q10" s="17" t="s">
        <v>9</v>
      </c>
      <c r="R10" s="52"/>
    </row>
    <row r="11" spans="2:18" x14ac:dyDescent="0.25">
      <c r="D11" s="3" t="s">
        <v>17</v>
      </c>
      <c r="E11" s="5">
        <f ca="1">E12+E18+E19+E22+E23+E24+E25+E34</f>
        <v>2892703.4499999997</v>
      </c>
      <c r="F11" s="5">
        <f t="shared" ref="F11:R11" ca="1" si="0">F12+F18+F19+F22+F23+F24+F25+F34</f>
        <v>3845770.45</v>
      </c>
      <c r="G11" s="5">
        <f t="shared" ca="1" si="0"/>
        <v>5378210.71</v>
      </c>
      <c r="H11" s="5">
        <f t="shared" ca="1" si="0"/>
        <v>3181896.8</v>
      </c>
      <c r="I11" s="5">
        <f t="shared" ca="1" si="0"/>
        <v>3772441.21</v>
      </c>
      <c r="J11" s="5">
        <f t="shared" ca="1" si="0"/>
        <v>3634129.46</v>
      </c>
      <c r="K11" s="5">
        <f t="shared" ca="1" si="0"/>
        <v>3758277.38</v>
      </c>
      <c r="L11" s="5">
        <f t="shared" ca="1" si="0"/>
        <v>4451991.7</v>
      </c>
      <c r="M11" s="5">
        <f t="shared" ca="1" si="0"/>
        <v>3683596.07</v>
      </c>
      <c r="N11" s="5">
        <f t="shared" ca="1" si="0"/>
        <v>4321253.0999999996</v>
      </c>
      <c r="O11" s="5">
        <f t="shared" ca="1" si="0"/>
        <v>3687447.99</v>
      </c>
      <c r="P11" s="5">
        <f t="shared" ca="1" si="0"/>
        <v>3604919.9499999997</v>
      </c>
      <c r="Q11" s="5">
        <f ca="1">SUM(E11:P11)</f>
        <v>46212638.270000003</v>
      </c>
      <c r="R11" s="5">
        <f t="shared" si="0"/>
        <v>42666963.120000005</v>
      </c>
    </row>
    <row r="12" spans="2:18" x14ac:dyDescent="0.25">
      <c r="B12" t="s">
        <v>61</v>
      </c>
      <c r="C12" t="s">
        <v>242</v>
      </c>
      <c r="D12" s="12" t="s">
        <v>18</v>
      </c>
      <c r="E12" s="6">
        <f ca="1">SUMIF('Receita Arrecadada'!$A$2:$A$1048576,RCL!$B12,OFFSET('Receita Arrecadada'!$D2:$D1048576,,MATCH(RCL!E$10,'Receita Arrecadada'!$E$1:$XFD$1,0)))</f>
        <v>221538.59</v>
      </c>
      <c r="F12" s="6">
        <f ca="1">SUMIF('Receita Arrecadada'!$A$2:$A$1048576,RCL!$B12,OFFSET('Receita Arrecadada'!$D2:$D1048576,,MATCH(RCL!F$10,'Receita Arrecadada'!$E$1:$XFD$1,0)))</f>
        <v>200053.78</v>
      </c>
      <c r="G12" s="6">
        <f ca="1">SUMIF('Receita Arrecadada'!$A$2:$A$1048576,RCL!$B12,OFFSET('Receita Arrecadada'!$D2:$D1048576,,MATCH(RCL!G$10,'Receita Arrecadada'!$E$1:$XFD$1,0)))</f>
        <v>251651.22</v>
      </c>
      <c r="H12" s="6">
        <f ca="1">SUMIF('Receita Arrecadada'!$A$2:$A$1048576,RCL!$B12,OFFSET('Receita Arrecadada'!$D2:$D1048576,,MATCH(RCL!H$10,'Receita Arrecadada'!$E$1:$XFD$1,0)))</f>
        <v>159672.41</v>
      </c>
      <c r="I12" s="6">
        <f ca="1">SUMIF('Receita Arrecadada'!$A$2:$A$1048576,RCL!$B12,OFFSET('Receita Arrecadada'!$D2:$D1048576,,MATCH(RCL!I$10,'Receita Arrecadada'!$E$1:$XFD$1,0)))</f>
        <v>175360.19</v>
      </c>
      <c r="J12" s="6">
        <f ca="1">SUMIF('Receita Arrecadada'!$A$2:$A$1048576,RCL!$B12,OFFSET('Receita Arrecadada'!$D2:$D1048576,,MATCH(RCL!J$10,'Receita Arrecadada'!$E$1:$XFD$1,0)))</f>
        <v>214996.39</v>
      </c>
      <c r="K12" s="6">
        <f ca="1">SUMIF('Receita Arrecadada'!$A$2:$A$1048576,RCL!$B12,OFFSET('Receita Arrecadada'!$D2:$D1048576,,MATCH(RCL!K$10,'Receita Arrecadada'!$E$1:$XFD$1,0)))</f>
        <v>306258.88999999996</v>
      </c>
      <c r="L12" s="6">
        <f ca="1">SUMIF('Receita Arrecadada'!$A$2:$A$1048576,RCL!$B12,OFFSET('Receita Arrecadada'!$D2:$D1048576,,MATCH(RCL!L$10,'Receita Arrecadada'!$E$1:$XFD$1,0)))</f>
        <v>473048.01999999996</v>
      </c>
      <c r="M12" s="6">
        <f ca="1">SUMIF('Receita Arrecadada'!$A$2:$A$1048576,RCL!$B12,OFFSET('Receita Arrecadada'!$D2:$D1048576,,MATCH(RCL!M$10,'Receita Arrecadada'!$E$1:$XFD$1,0)))</f>
        <v>462384.29</v>
      </c>
      <c r="N12" s="6">
        <f ca="1">SUMIF('Receita Arrecadada'!$A$2:$A$1048576,RCL!$B12,OFFSET('Receita Arrecadada'!$D2:$D1048576,,MATCH(RCL!N$10,'Receita Arrecadada'!$E$1:$XFD$1,0)))</f>
        <v>224600.12</v>
      </c>
      <c r="O12" s="6">
        <f ca="1">SUMIF('Receita Arrecadada'!$A$2:$A$1048576,RCL!$B12,OFFSET('Receita Arrecadada'!$D2:$D1048576,,MATCH(RCL!O$10,'Receita Arrecadada'!$E$1:$XFD$1,0)))</f>
        <v>496799.08999999997</v>
      </c>
      <c r="P12" s="6">
        <f ca="1">SUMIF('Receita Arrecadada'!$A$2:$A$1048576,RCL!$B12,OFFSET('Receita Arrecadada'!$D2:$D1048576,,MATCH(RCL!P$10,'Receita Arrecadada'!$E$1:$XFD$1,0)))</f>
        <v>457964.64</v>
      </c>
      <c r="Q12" s="6">
        <f t="shared" ref="Q12:Q44" ca="1" si="1">SUM(E12:P12)</f>
        <v>3644327.63</v>
      </c>
      <c r="R12" s="6">
        <f>SUMIF('Receita Prevista'!$A$2:$A$1048576,RCL!$B12,'Receita Prevista'!$D$2:$D$1048576)</f>
        <v>3499623</v>
      </c>
    </row>
    <row r="13" spans="2:18" x14ac:dyDescent="0.25">
      <c r="B13" t="s">
        <v>57</v>
      </c>
      <c r="D13" s="13" t="s">
        <v>19</v>
      </c>
      <c r="E13" s="6">
        <f ca="1">SUMIF('Receita Arrecadada'!$A$2:$A$1048576,RCL!$B13,OFFSET('Receita Arrecadada'!$D$2:$D$1048576,,MATCH(RCL!E$10,'Receita Arrecadada'!$E$1:$XFD$1,0)))</f>
        <v>21653.68</v>
      </c>
      <c r="F13" s="6">
        <f ca="1">SUMIF('Receita Arrecadada'!$A$2:$A$1048576,RCL!$B13,OFFSET('Receita Arrecadada'!$D$2:$D$1048576,,MATCH(RCL!F$10,'Receita Arrecadada'!$E$1:$XFD$1,0)))</f>
        <v>19225.259999999998</v>
      </c>
      <c r="G13" s="6">
        <f ca="1">SUMIF('Receita Arrecadada'!$A$2:$A$1048576,RCL!$B13,OFFSET('Receita Arrecadada'!$D$2:$D$1048576,,MATCH(RCL!G$10,'Receita Arrecadada'!$E$1:$XFD$1,0)))</f>
        <v>14199.34</v>
      </c>
      <c r="H13" s="6">
        <f ca="1">SUMIF('Receita Arrecadada'!$A$2:$A$1048576,RCL!$B13,OFFSET('Receita Arrecadada'!$D$2:$D$1048576,,MATCH(RCL!H$10,'Receita Arrecadada'!$E$1:$XFD$1,0)))</f>
        <v>1392.62</v>
      </c>
      <c r="I13" s="6">
        <f ca="1">SUMIF('Receita Arrecadada'!$A$2:$A$1048576,RCL!$B13,OFFSET('Receita Arrecadada'!$D$2:$D$1048576,,MATCH(RCL!I$10,'Receita Arrecadada'!$E$1:$XFD$1,0)))</f>
        <v>5240.6499999999996</v>
      </c>
      <c r="J13" s="6">
        <f ca="1">SUMIF('Receita Arrecadada'!$A$2:$A$1048576,RCL!$B13,OFFSET('Receita Arrecadada'!$D$2:$D$1048576,,MATCH(RCL!J$10,'Receita Arrecadada'!$E$1:$XFD$1,0)))</f>
        <v>28208.25</v>
      </c>
      <c r="K13" s="6">
        <f ca="1">SUMIF('Receita Arrecadada'!$A$2:$A$1048576,RCL!$B13,OFFSET('Receita Arrecadada'!$D$2:$D$1048576,,MATCH(RCL!K$10,'Receita Arrecadada'!$E$1:$XFD$1,0)))</f>
        <v>68559.760000000009</v>
      </c>
      <c r="L13" s="6">
        <f ca="1">SUMIF('Receita Arrecadada'!$A$2:$A$1048576,RCL!$B13,OFFSET('Receita Arrecadada'!$D$2:$D$1048576,,MATCH(RCL!L$10,'Receita Arrecadada'!$E$1:$XFD$1,0)))</f>
        <v>135744.69</v>
      </c>
      <c r="M13" s="6">
        <f ca="1">SUMIF('Receita Arrecadada'!$A$2:$A$1048576,RCL!$B13,OFFSET('Receita Arrecadada'!$D$2:$D$1048576,,MATCH(RCL!M$10,'Receita Arrecadada'!$E$1:$XFD$1,0)))</f>
        <v>256258.95</v>
      </c>
      <c r="N13" s="6">
        <f ca="1">SUMIF('Receita Arrecadada'!$A$2:$A$1048576,RCL!$B13,OFFSET('Receita Arrecadada'!$D$2:$D$1048576,,MATCH(RCL!N$10,'Receita Arrecadada'!$E$1:$XFD$1,0)))</f>
        <v>23531.439999999999</v>
      </c>
      <c r="O13" s="6">
        <f ca="1">SUMIF('Receita Arrecadada'!$A$2:$A$1048576,RCL!$B13,OFFSET('Receita Arrecadada'!$D$2:$D$1048576,,MATCH(RCL!O$10,'Receita Arrecadada'!$E$1:$XFD$1,0)))</f>
        <v>24928.36</v>
      </c>
      <c r="P13" s="6">
        <f ca="1">SUMIF('Receita Arrecadada'!$A$2:$A$1048576,RCL!$B13,OFFSET('Receita Arrecadada'!$D$2:$D$1048576,,MATCH(RCL!P$10,'Receita Arrecadada'!$E$1:$XFD$1,0)))</f>
        <v>18237.04</v>
      </c>
      <c r="Q13" s="6">
        <f t="shared" ca="1" si="1"/>
        <v>617180.03999999992</v>
      </c>
      <c r="R13" s="6">
        <f>SUMIF('Receita Prevista'!$A$2:$A$1048576,RCL!$B13,'Receita Prevista'!$D$2:$D$1048576)</f>
        <v>606600</v>
      </c>
    </row>
    <row r="14" spans="2:18" x14ac:dyDescent="0.25">
      <c r="B14" t="s">
        <v>58</v>
      </c>
      <c r="D14" s="13" t="s">
        <v>20</v>
      </c>
      <c r="E14" s="6">
        <f ca="1">SUMIF('Receita Arrecadada'!$A$2:$A$1048576,RCL!$B14,OFFSET('Receita Arrecadada'!$D$2:$D$1048576,,MATCH(RCL!E$10,'Receita Arrecadada'!$E$1:$XFD$1,0)))</f>
        <v>55587.63</v>
      </c>
      <c r="F14" s="6">
        <f ca="1">SUMIF('Receita Arrecadada'!$A$2:$A$1048576,RCL!$B14,OFFSET('Receita Arrecadada'!$D$2:$D$1048576,,MATCH(RCL!F$10,'Receita Arrecadada'!$E$1:$XFD$1,0)))</f>
        <v>55296.97</v>
      </c>
      <c r="G14" s="6">
        <f ca="1">SUMIF('Receita Arrecadada'!$A$2:$A$1048576,RCL!$B14,OFFSET('Receita Arrecadada'!$D$2:$D$1048576,,MATCH(RCL!G$10,'Receita Arrecadada'!$E$1:$XFD$1,0)))</f>
        <v>50230.39</v>
      </c>
      <c r="H14" s="6">
        <f ca="1">SUMIF('Receita Arrecadada'!$A$2:$A$1048576,RCL!$B14,OFFSET('Receita Arrecadada'!$D$2:$D$1048576,,MATCH(RCL!H$10,'Receita Arrecadada'!$E$1:$XFD$1,0)))</f>
        <v>60777.24</v>
      </c>
      <c r="I14" s="6">
        <f ca="1">SUMIF('Receita Arrecadada'!$A$2:$A$1048576,RCL!$B14,OFFSET('Receita Arrecadada'!$D$2:$D$1048576,,MATCH(RCL!I$10,'Receita Arrecadada'!$E$1:$XFD$1,0)))</f>
        <v>42348.99</v>
      </c>
      <c r="J14" s="6">
        <f ca="1">SUMIF('Receita Arrecadada'!$A$2:$A$1048576,RCL!$B14,OFFSET('Receita Arrecadada'!$D$2:$D$1048576,,MATCH(RCL!J$10,'Receita Arrecadada'!$E$1:$XFD$1,0)))</f>
        <v>45562.95</v>
      </c>
      <c r="K14" s="6">
        <f ca="1">SUMIF('Receita Arrecadada'!$A$2:$A$1048576,RCL!$B14,OFFSET('Receita Arrecadada'!$D$2:$D$1048576,,MATCH(RCL!K$10,'Receita Arrecadada'!$E$1:$XFD$1,0)))</f>
        <v>48846.62</v>
      </c>
      <c r="L14" s="6">
        <f ca="1">SUMIF('Receita Arrecadada'!$A$2:$A$1048576,RCL!$B14,OFFSET('Receita Arrecadada'!$D$2:$D$1048576,,MATCH(RCL!L$10,'Receita Arrecadada'!$E$1:$XFD$1,0)))</f>
        <v>49649.35</v>
      </c>
      <c r="M14" s="6">
        <f ca="1">SUMIF('Receita Arrecadada'!$A$2:$A$1048576,RCL!$B14,OFFSET('Receita Arrecadada'!$D$2:$D$1048576,,MATCH(RCL!M$10,'Receita Arrecadada'!$E$1:$XFD$1,0)))</f>
        <v>47417.26</v>
      </c>
      <c r="N14" s="6">
        <f ca="1">SUMIF('Receita Arrecadada'!$A$2:$A$1048576,RCL!$B14,OFFSET('Receita Arrecadada'!$D$2:$D$1048576,,MATCH(RCL!N$10,'Receita Arrecadada'!$E$1:$XFD$1,0)))</f>
        <v>55545.3</v>
      </c>
      <c r="O14" s="6">
        <f ca="1">SUMIF('Receita Arrecadada'!$A$2:$A$1048576,RCL!$B14,OFFSET('Receita Arrecadada'!$D$2:$D$1048576,,MATCH(RCL!O$10,'Receita Arrecadada'!$E$1:$XFD$1,0)))</f>
        <v>61066.47</v>
      </c>
      <c r="P14" s="6">
        <f ca="1">SUMIF('Receita Arrecadada'!$A$2:$A$1048576,RCL!$B14,OFFSET('Receita Arrecadada'!$D$2:$D$1048576,,MATCH(RCL!P$10,'Receita Arrecadada'!$E$1:$XFD$1,0)))</f>
        <v>70235.070000000007</v>
      </c>
      <c r="Q14" s="6">
        <f t="shared" ca="1" si="1"/>
        <v>642564.24</v>
      </c>
      <c r="R14" s="6">
        <f>SUMIF('Receita Prevista'!$A$2:$A$1048576,RCL!$B14,'Receita Prevista'!$D$2:$D$1048576)</f>
        <v>569099</v>
      </c>
    </row>
    <row r="15" spans="2:18" x14ac:dyDescent="0.25">
      <c r="B15" t="s">
        <v>59</v>
      </c>
      <c r="D15" s="13" t="s">
        <v>21</v>
      </c>
      <c r="E15" s="6">
        <f ca="1">SUMIF('Receita Arrecadada'!$A$2:$A$1048576,RCL!$B15,OFFSET('Receita Arrecadada'!$D$2:$D$1048576,,MATCH(RCL!E$10,'Receita Arrecadada'!$E$1:$XFD$1,0)))</f>
        <v>65319</v>
      </c>
      <c r="F15" s="6">
        <f ca="1">SUMIF('Receita Arrecadada'!$A$2:$A$1048576,RCL!$B15,OFFSET('Receita Arrecadada'!$D$2:$D$1048576,,MATCH(RCL!F$10,'Receita Arrecadada'!$E$1:$XFD$1,0)))</f>
        <v>53613</v>
      </c>
      <c r="G15" s="6">
        <f ca="1">SUMIF('Receita Arrecadada'!$A$2:$A$1048576,RCL!$B15,OFFSET('Receita Arrecadada'!$D$2:$D$1048576,,MATCH(RCL!G$10,'Receita Arrecadada'!$E$1:$XFD$1,0)))</f>
        <v>71061</v>
      </c>
      <c r="H15" s="6">
        <f ca="1">SUMIF('Receita Arrecadada'!$A$2:$A$1048576,RCL!$B15,OFFSET('Receita Arrecadada'!$D$2:$D$1048576,,MATCH(RCL!H$10,'Receita Arrecadada'!$E$1:$XFD$1,0)))</f>
        <v>7479</v>
      </c>
      <c r="I15" s="6">
        <f ca="1">SUMIF('Receita Arrecadada'!$A$2:$A$1048576,RCL!$B15,OFFSET('Receita Arrecadada'!$D$2:$D$1048576,,MATCH(RCL!I$10,'Receita Arrecadada'!$E$1:$XFD$1,0)))</f>
        <v>49917</v>
      </c>
      <c r="J15" s="6">
        <f ca="1">SUMIF('Receita Arrecadada'!$A$2:$A$1048576,RCL!$B15,OFFSET('Receita Arrecadada'!$D$2:$D$1048576,,MATCH(RCL!J$10,'Receita Arrecadada'!$E$1:$XFD$1,0)))</f>
        <v>52788</v>
      </c>
      <c r="K15" s="6">
        <f ca="1">SUMIF('Receita Arrecadada'!$A$2:$A$1048576,RCL!$B15,OFFSET('Receita Arrecadada'!$D$2:$D$1048576,,MATCH(RCL!K$10,'Receita Arrecadada'!$E$1:$XFD$1,0)))</f>
        <v>65286</v>
      </c>
      <c r="L15" s="6">
        <f ca="1">SUMIF('Receita Arrecadada'!$A$2:$A$1048576,RCL!$B15,OFFSET('Receita Arrecadada'!$D$2:$D$1048576,,MATCH(RCL!L$10,'Receita Arrecadada'!$E$1:$XFD$1,0)))</f>
        <v>86361</v>
      </c>
      <c r="M15" s="6">
        <f ca="1">SUMIF('Receita Arrecadada'!$A$2:$A$1048576,RCL!$B15,OFFSET('Receita Arrecadada'!$D$2:$D$1048576,,MATCH(RCL!M$10,'Receita Arrecadada'!$E$1:$XFD$1,0)))</f>
        <v>42126</v>
      </c>
      <c r="N15" s="6">
        <f ca="1">SUMIF('Receita Arrecadada'!$A$2:$A$1048576,RCL!$B15,OFFSET('Receita Arrecadada'!$D$2:$D$1048576,,MATCH(RCL!N$10,'Receita Arrecadada'!$E$1:$XFD$1,0)))</f>
        <v>35250</v>
      </c>
      <c r="O15" s="6">
        <f ca="1">SUMIF('Receita Arrecadada'!$A$2:$A$1048576,RCL!$B15,OFFSET('Receita Arrecadada'!$D$2:$D$1048576,,MATCH(RCL!O$10,'Receita Arrecadada'!$E$1:$XFD$1,0)))</f>
        <v>291463</v>
      </c>
      <c r="P15" s="6">
        <f ca="1">SUMIF('Receita Arrecadada'!$A$2:$A$1048576,RCL!$B15,OFFSET('Receita Arrecadada'!$D$2:$D$1048576,,MATCH(RCL!P$10,'Receita Arrecadada'!$E$1:$XFD$1,0)))</f>
        <v>249186</v>
      </c>
      <c r="Q15" s="6">
        <f t="shared" ca="1" si="1"/>
        <v>1069849</v>
      </c>
      <c r="R15" s="6">
        <f>SUMIF('Receita Prevista'!$A$2:$A$1048576,RCL!$B15,'Receita Prevista'!$D$2:$D$1048576)</f>
        <v>1500000</v>
      </c>
    </row>
    <row r="16" spans="2:18" x14ac:dyDescent="0.25">
      <c r="B16" t="s">
        <v>60</v>
      </c>
      <c r="D16" s="13" t="s">
        <v>22</v>
      </c>
      <c r="E16" s="6">
        <f ca="1">SUMIF('Receita Arrecadada'!$A$2:$A$1048576,RCL!$B16,OFFSET('Receita Arrecadada'!$D$2:$D$1048576,,MATCH(RCL!E$10,'Receita Arrecadada'!$E$1:$XFD$1,0)))</f>
        <v>53366.25</v>
      </c>
      <c r="F16" s="6">
        <f ca="1">SUMIF('Receita Arrecadada'!$A$2:$A$1048576,RCL!$B16,OFFSET('Receita Arrecadada'!$D$2:$D$1048576,,MATCH(RCL!F$10,'Receita Arrecadada'!$E$1:$XFD$1,0)))</f>
        <v>51650.73</v>
      </c>
      <c r="G16" s="6">
        <f ca="1">SUMIF('Receita Arrecadada'!$A$2:$A$1048576,RCL!$B16,OFFSET('Receita Arrecadada'!$D$2:$D$1048576,,MATCH(RCL!G$10,'Receita Arrecadada'!$E$1:$XFD$1,0)))</f>
        <v>111922.32</v>
      </c>
      <c r="H16" s="6">
        <f ca="1">SUMIF('Receita Arrecadada'!$A$2:$A$1048576,RCL!$B16,OFFSET('Receita Arrecadada'!$D$2:$D$1048576,,MATCH(RCL!H$10,'Receita Arrecadada'!$E$1:$XFD$1,0)))</f>
        <v>80906.55</v>
      </c>
      <c r="I16" s="6">
        <f ca="1">SUMIF('Receita Arrecadada'!$A$2:$A$1048576,RCL!$B16,OFFSET('Receita Arrecadada'!$D$2:$D$1048576,,MATCH(RCL!I$10,'Receita Arrecadada'!$E$1:$XFD$1,0)))</f>
        <v>73297.56</v>
      </c>
      <c r="J16" s="6">
        <f ca="1">SUMIF('Receita Arrecadada'!$A$2:$A$1048576,RCL!$B16,OFFSET('Receita Arrecadada'!$D$2:$D$1048576,,MATCH(RCL!J$10,'Receita Arrecadada'!$E$1:$XFD$1,0)))</f>
        <v>71774.23</v>
      </c>
      <c r="K16" s="6">
        <f ca="1">SUMIF('Receita Arrecadada'!$A$2:$A$1048576,RCL!$B16,OFFSET('Receita Arrecadada'!$D$2:$D$1048576,,MATCH(RCL!K$10,'Receita Arrecadada'!$E$1:$XFD$1,0)))</f>
        <v>89818.1</v>
      </c>
      <c r="L16" s="6">
        <f ca="1">SUMIF('Receita Arrecadada'!$A$2:$A$1048576,RCL!$B16,OFFSET('Receita Arrecadada'!$D$2:$D$1048576,,MATCH(RCL!L$10,'Receita Arrecadada'!$E$1:$XFD$1,0)))</f>
        <v>85699.13</v>
      </c>
      <c r="M16" s="6">
        <f ca="1">SUMIF('Receita Arrecadada'!$A$2:$A$1048576,RCL!$B16,OFFSET('Receita Arrecadada'!$D$2:$D$1048576,,MATCH(RCL!M$10,'Receita Arrecadada'!$E$1:$XFD$1,0)))</f>
        <v>89701.15</v>
      </c>
      <c r="N16" s="6">
        <f ca="1">SUMIF('Receita Arrecadada'!$A$2:$A$1048576,RCL!$B16,OFFSET('Receita Arrecadada'!$D$2:$D$1048576,,MATCH(RCL!N$10,'Receita Arrecadada'!$E$1:$XFD$1,0)))</f>
        <v>99450.73</v>
      </c>
      <c r="O16" s="6">
        <f ca="1">SUMIF('Receita Arrecadada'!$A$2:$A$1048576,RCL!$B16,OFFSET('Receita Arrecadada'!$D$2:$D$1048576,,MATCH(RCL!O$10,'Receita Arrecadada'!$E$1:$XFD$1,0)))</f>
        <v>109086.13</v>
      </c>
      <c r="P16" s="6">
        <f ca="1">SUMIF('Receita Arrecadada'!$A$2:$A$1048576,RCL!$B16,OFFSET('Receita Arrecadada'!$D$2:$D$1048576,,MATCH(RCL!P$10,'Receita Arrecadada'!$E$1:$XFD$1,0)))</f>
        <v>95512.35</v>
      </c>
      <c r="Q16" s="6">
        <f t="shared" ca="1" si="1"/>
        <v>1012185.23</v>
      </c>
      <c r="R16" s="6">
        <f>SUMIF('Receita Prevista'!$A$2:$A$1048576,RCL!$B16,'Receita Prevista'!$D$2:$D$1048576)</f>
        <v>765567</v>
      </c>
    </row>
    <row r="17" spans="2:18" x14ac:dyDescent="0.25">
      <c r="D17" s="13" t="s">
        <v>23</v>
      </c>
      <c r="E17" s="6">
        <f ca="1">E12-SUM(E13:E16)</f>
        <v>25612.03</v>
      </c>
      <c r="F17" s="6">
        <f t="shared" ref="F17:R17" ca="1" si="2">F12-SUM(F13:F16)</f>
        <v>20267.820000000007</v>
      </c>
      <c r="G17" s="6">
        <f t="shared" ca="1" si="2"/>
        <v>4238.1700000000128</v>
      </c>
      <c r="H17" s="6">
        <f t="shared" ca="1" si="2"/>
        <v>9117</v>
      </c>
      <c r="I17" s="6">
        <f t="shared" ca="1" si="2"/>
        <v>4555.9899999999907</v>
      </c>
      <c r="J17" s="6">
        <f t="shared" ca="1" si="2"/>
        <v>16662.960000000021</v>
      </c>
      <c r="K17" s="6">
        <f t="shared" ca="1" si="2"/>
        <v>33748.409999999974</v>
      </c>
      <c r="L17" s="6">
        <f t="shared" ca="1" si="2"/>
        <v>115593.84999999992</v>
      </c>
      <c r="M17" s="6">
        <f t="shared" ca="1" si="2"/>
        <v>26880.929999999993</v>
      </c>
      <c r="N17" s="6">
        <f t="shared" ca="1" si="2"/>
        <v>10822.649999999994</v>
      </c>
      <c r="O17" s="6">
        <f t="shared" ca="1" si="2"/>
        <v>10255.129999999946</v>
      </c>
      <c r="P17" s="6">
        <f t="shared" ca="1" si="2"/>
        <v>24794.180000000051</v>
      </c>
      <c r="Q17" s="6">
        <f t="shared" ca="1" si="1"/>
        <v>302549.11999999994</v>
      </c>
      <c r="R17" s="6">
        <f t="shared" si="2"/>
        <v>58357</v>
      </c>
    </row>
    <row r="18" spans="2:18" x14ac:dyDescent="0.25">
      <c r="B18" t="s">
        <v>62</v>
      </c>
      <c r="C18" t="s">
        <v>242</v>
      </c>
      <c r="D18" s="12" t="s">
        <v>24</v>
      </c>
      <c r="E18" s="6">
        <f ca="1">SUMIF('Receita Arrecadada'!$A$2:$A$1048576,RCL!$B18,OFFSET('Receita Arrecadada'!$D$2:$D$1048576,,MATCH(RCL!E$10,'Receita Arrecadada'!$E$1:$XFD$1,0)))</f>
        <v>91093.41</v>
      </c>
      <c r="F18" s="6">
        <f ca="1">SUMIF('Receita Arrecadada'!$A$2:$A$1048576,RCL!$B18,OFFSET('Receita Arrecadada'!$D$2:$D$1048576,,MATCH(RCL!F$10,'Receita Arrecadada'!$E$1:$XFD$1,0)))</f>
        <v>89561.81</v>
      </c>
      <c r="G18" s="6">
        <f ca="1">SUMIF('Receita Arrecadada'!$A$2:$A$1048576,RCL!$B18,OFFSET('Receita Arrecadada'!$D$2:$D$1048576,,MATCH(RCL!G$10,'Receita Arrecadada'!$E$1:$XFD$1,0)))</f>
        <v>255577.11</v>
      </c>
      <c r="H18" s="6">
        <f ca="1">SUMIF('Receita Arrecadada'!$A$2:$A$1048576,RCL!$B18,OFFSET('Receita Arrecadada'!$D$2:$D$1048576,,MATCH(RCL!H$10,'Receita Arrecadada'!$E$1:$XFD$1,0)))</f>
        <v>17140.27</v>
      </c>
      <c r="I18" s="6">
        <f ca="1">SUMIF('Receita Arrecadada'!$A$2:$A$1048576,RCL!$B18,OFFSET('Receita Arrecadada'!$D$2:$D$1048576,,MATCH(RCL!I$10,'Receita Arrecadada'!$E$1:$XFD$1,0)))</f>
        <v>112778.72</v>
      </c>
      <c r="J18" s="6">
        <f ca="1">SUMIF('Receita Arrecadada'!$A$2:$A$1048576,RCL!$B18,OFFSET('Receita Arrecadada'!$D$2:$D$1048576,,MATCH(RCL!J$10,'Receita Arrecadada'!$E$1:$XFD$1,0)))</f>
        <v>112770.41</v>
      </c>
      <c r="K18" s="6">
        <f ca="1">SUMIF('Receita Arrecadada'!$A$2:$A$1048576,RCL!$B18,OFFSET('Receita Arrecadada'!$D$2:$D$1048576,,MATCH(RCL!K$10,'Receita Arrecadada'!$E$1:$XFD$1,0)))</f>
        <v>112808.22</v>
      </c>
      <c r="L18" s="6">
        <f ca="1">SUMIF('Receita Arrecadada'!$A$2:$A$1048576,RCL!$B18,OFFSET('Receita Arrecadada'!$D$2:$D$1048576,,MATCH(RCL!L$10,'Receita Arrecadada'!$E$1:$XFD$1,0)))</f>
        <v>110949.56</v>
      </c>
      <c r="M18" s="6">
        <f ca="1">SUMIF('Receita Arrecadada'!$A$2:$A$1048576,RCL!$B18,OFFSET('Receita Arrecadada'!$D$2:$D$1048576,,MATCH(RCL!M$10,'Receita Arrecadada'!$E$1:$XFD$1,0)))</f>
        <v>112047.16</v>
      </c>
      <c r="N18" s="6">
        <f ca="1">SUMIF('Receita Arrecadada'!$A$2:$A$1048576,RCL!$B18,OFFSET('Receita Arrecadada'!$D$2:$D$1048576,,MATCH(RCL!N$10,'Receita Arrecadada'!$E$1:$XFD$1,0)))</f>
        <v>112185.63</v>
      </c>
      <c r="O18" s="6">
        <f ca="1">SUMIF('Receita Arrecadada'!$A$2:$A$1048576,RCL!$B18,OFFSET('Receita Arrecadada'!$D$2:$D$1048576,,MATCH(RCL!O$10,'Receita Arrecadada'!$E$1:$XFD$1,0)))</f>
        <v>115207.35</v>
      </c>
      <c r="P18" s="6">
        <f ca="1">SUMIF('Receita Arrecadada'!$A$2:$A$1048576,RCL!$B18,OFFSET('Receita Arrecadada'!$D$2:$D$1048576,,MATCH(RCL!P$10,'Receita Arrecadada'!$E$1:$XFD$1,0)))</f>
        <v>115605.82</v>
      </c>
      <c r="Q18" s="6">
        <f t="shared" ca="1" si="1"/>
        <v>1357725.4700000002</v>
      </c>
      <c r="R18" s="6">
        <f>SUMIF('Receita Prevista'!$A$2:$A$1048576,RCL!$B18,'Receita Prevista'!$D$2:$D$1048576)</f>
        <v>1311678</v>
      </c>
    </row>
    <row r="19" spans="2:18" x14ac:dyDescent="0.25">
      <c r="B19" t="s">
        <v>63</v>
      </c>
      <c r="C19" t="s">
        <v>242</v>
      </c>
      <c r="D19" s="12" t="s">
        <v>25</v>
      </c>
      <c r="E19" s="6">
        <f ca="1">SUMIF('Receita Arrecadada'!$A$2:$A$1048576,RCL!$B19,OFFSET('Receita Arrecadada'!$D$2:$D$1048576,,MATCH(RCL!E$10,'Receita Arrecadada'!$E$1:$XFD$1,0)))</f>
        <v>-152547.28999999998</v>
      </c>
      <c r="F19" s="6">
        <f ca="1">SUMIF('Receita Arrecadada'!$A$2:$A$1048576,RCL!$B19,OFFSET('Receita Arrecadada'!$D$2:$D$1048576,,MATCH(RCL!F$10,'Receita Arrecadada'!$E$1:$XFD$1,0)))</f>
        <v>593429.07999999996</v>
      </c>
      <c r="G19" s="6">
        <f ca="1">SUMIF('Receita Arrecadada'!$A$2:$A$1048576,RCL!$B19,OFFSET('Receita Arrecadada'!$D$2:$D$1048576,,MATCH(RCL!G$10,'Receita Arrecadada'!$E$1:$XFD$1,0)))</f>
        <v>338457.75</v>
      </c>
      <c r="H19" s="6">
        <f ca="1">SUMIF('Receita Arrecadada'!$A$2:$A$1048576,RCL!$B19,OFFSET('Receita Arrecadada'!$D$2:$D$1048576,,MATCH(RCL!H$10,'Receita Arrecadada'!$E$1:$XFD$1,0)))</f>
        <v>136133.06</v>
      </c>
      <c r="I19" s="6">
        <f ca="1">SUMIF('Receita Arrecadada'!$A$2:$A$1048576,RCL!$B19,OFFSET('Receita Arrecadada'!$D$2:$D$1048576,,MATCH(RCL!I$10,'Receita Arrecadada'!$E$1:$XFD$1,0)))</f>
        <v>334745.95</v>
      </c>
      <c r="J19" s="6">
        <f ca="1">SUMIF('Receita Arrecadada'!$A$2:$A$1048576,RCL!$B19,OFFSET('Receita Arrecadada'!$D$2:$D$1048576,,MATCH(RCL!J$10,'Receita Arrecadada'!$E$1:$XFD$1,0)))</f>
        <v>560962.81000000006</v>
      </c>
      <c r="K19" s="6">
        <f ca="1">SUMIF('Receita Arrecadada'!$A$2:$A$1048576,RCL!$B19,OFFSET('Receita Arrecadada'!$D$2:$D$1048576,,MATCH(RCL!K$10,'Receita Arrecadada'!$E$1:$XFD$1,0)))</f>
        <v>336498.19</v>
      </c>
      <c r="L19" s="6">
        <f ca="1">SUMIF('Receita Arrecadada'!$A$2:$A$1048576,RCL!$B19,OFFSET('Receita Arrecadada'!$D$2:$D$1048576,,MATCH(RCL!L$10,'Receita Arrecadada'!$E$1:$XFD$1,0)))</f>
        <v>371179.45</v>
      </c>
      <c r="M19" s="6">
        <f ca="1">SUMIF('Receita Arrecadada'!$A$2:$A$1048576,RCL!$B19,OFFSET('Receita Arrecadada'!$D$2:$D$1048576,,MATCH(RCL!M$10,'Receita Arrecadada'!$E$1:$XFD$1,0)))</f>
        <v>286548.01</v>
      </c>
      <c r="N19" s="6">
        <f ca="1">SUMIF('Receita Arrecadada'!$A$2:$A$1048576,RCL!$B19,OFFSET('Receita Arrecadada'!$D$2:$D$1048576,,MATCH(RCL!N$10,'Receita Arrecadada'!$E$1:$XFD$1,0)))</f>
        <v>239534.44</v>
      </c>
      <c r="O19" s="6">
        <f ca="1">SUMIF('Receita Arrecadada'!$A$2:$A$1048576,RCL!$B19,OFFSET('Receita Arrecadada'!$D$2:$D$1048576,,MATCH(RCL!O$10,'Receita Arrecadada'!$E$1:$XFD$1,0)))</f>
        <v>338254.8</v>
      </c>
      <c r="P19" s="6">
        <f ca="1">SUMIF('Receita Arrecadada'!$A$2:$A$1048576,RCL!$B19,OFFSET('Receita Arrecadada'!$D$2:$D$1048576,,MATCH(RCL!P$10,'Receita Arrecadada'!$E$1:$XFD$1,0)))</f>
        <v>384518.67</v>
      </c>
      <c r="Q19" s="6">
        <f t="shared" ca="1" si="1"/>
        <v>3767714.9200000004</v>
      </c>
      <c r="R19" s="6">
        <f>SUMIF('Receita Prevista'!$A$2:$A$1048576,RCL!$B19,'Receita Prevista'!$D$2:$D$1048576)</f>
        <v>1917470.17</v>
      </c>
    </row>
    <row r="20" spans="2:18" x14ac:dyDescent="0.25">
      <c r="B20" t="s">
        <v>70</v>
      </c>
      <c r="D20" s="13" t="s">
        <v>26</v>
      </c>
      <c r="E20" s="6">
        <f ca="1">SUMIF('Receita Arrecadada'!$A$2:$A$1048576,RCL!$B20,OFFSET('Receita Arrecadada'!$D$2:$D$1048576,,MATCH(RCL!E$10,'Receita Arrecadada'!$E$1:$XFD$1,0)))</f>
        <v>-170952.28999999998</v>
      </c>
      <c r="F20" s="6">
        <f ca="1">SUMIF('Receita Arrecadada'!$A$2:$A$1048576,RCL!$B20,OFFSET('Receita Arrecadada'!$D$2:$D$1048576,,MATCH(RCL!F$10,'Receita Arrecadada'!$E$1:$XFD$1,0)))</f>
        <v>575569.07999999996</v>
      </c>
      <c r="G20" s="6">
        <f ca="1">SUMIF('Receita Arrecadada'!$A$2:$A$1048576,RCL!$B20,OFFSET('Receita Arrecadada'!$D$2:$D$1048576,,MATCH(RCL!G$10,'Receita Arrecadada'!$E$1:$XFD$1,0)))</f>
        <v>319486.75</v>
      </c>
      <c r="H20" s="6">
        <f ca="1">SUMIF('Receita Arrecadada'!$A$2:$A$1048576,RCL!$B20,OFFSET('Receita Arrecadada'!$D$2:$D$1048576,,MATCH(RCL!H$10,'Receita Arrecadada'!$E$1:$XFD$1,0)))</f>
        <v>119384.06</v>
      </c>
      <c r="I20" s="6">
        <f ca="1">SUMIF('Receita Arrecadada'!$A$2:$A$1048576,RCL!$B20,OFFSET('Receita Arrecadada'!$D$2:$D$1048576,,MATCH(RCL!I$10,'Receita Arrecadada'!$E$1:$XFD$1,0)))</f>
        <v>313710.95</v>
      </c>
      <c r="J20" s="6">
        <f ca="1">SUMIF('Receita Arrecadada'!$A$2:$A$1048576,RCL!$B20,OFFSET('Receita Arrecadada'!$D$2:$D$1048576,,MATCH(RCL!J$10,'Receita Arrecadada'!$E$1:$XFD$1,0)))</f>
        <v>539927.81000000006</v>
      </c>
      <c r="K20" s="6">
        <f ca="1">SUMIF('Receita Arrecadada'!$A$2:$A$1048576,RCL!$B20,OFFSET('Receita Arrecadada'!$D$2:$D$1048576,,MATCH(RCL!K$10,'Receita Arrecadada'!$E$1:$XFD$1,0)))</f>
        <v>320122.44999999995</v>
      </c>
      <c r="L20" s="6">
        <f ca="1">SUMIF('Receita Arrecadada'!$A$2:$A$1048576,RCL!$B20,OFFSET('Receita Arrecadada'!$D$2:$D$1048576,,MATCH(RCL!L$10,'Receita Arrecadada'!$E$1:$XFD$1,0)))</f>
        <v>350144.45</v>
      </c>
      <c r="M20" s="6">
        <f ca="1">SUMIF('Receita Arrecadada'!$A$2:$A$1048576,RCL!$B20,OFFSET('Receita Arrecadada'!$D$2:$D$1048576,,MATCH(RCL!M$10,'Receita Arrecadada'!$E$1:$XFD$1,0)))</f>
        <v>270142.18</v>
      </c>
      <c r="N20" s="6">
        <f ca="1">SUMIF('Receita Arrecadada'!$A$2:$A$1048576,RCL!$B20,OFFSET('Receita Arrecadada'!$D$2:$D$1048576,,MATCH(RCL!N$10,'Receita Arrecadada'!$E$1:$XFD$1,0)))</f>
        <v>262277.02</v>
      </c>
      <c r="O20" s="6">
        <f ca="1">SUMIF('Receita Arrecadada'!$A$2:$A$1048576,RCL!$B20,OFFSET('Receita Arrecadada'!$D$2:$D$1048576,,MATCH(RCL!O$10,'Receita Arrecadada'!$E$1:$XFD$1,0)))</f>
        <v>341423.51</v>
      </c>
      <c r="P20" s="6">
        <f ca="1">SUMIF('Receita Arrecadada'!$A$2:$A$1048576,RCL!$B20,OFFSET('Receita Arrecadada'!$D$2:$D$1048576,,MATCH(RCL!P$10,'Receita Arrecadada'!$E$1:$XFD$1,0)))</f>
        <v>363386.67</v>
      </c>
      <c r="Q20" s="6">
        <f t="shared" ca="1" si="1"/>
        <v>3604622.6400000006</v>
      </c>
      <c r="R20" s="6">
        <f>SUMIF('Receita Prevista'!$A$2:$A$1048576,RCL!$B20,'Receita Prevista'!$D$2:$D$1048576)</f>
        <v>1682585.17</v>
      </c>
    </row>
    <row r="21" spans="2:18" x14ac:dyDescent="0.25">
      <c r="D21" s="13" t="s">
        <v>27</v>
      </c>
      <c r="E21" s="6">
        <f ca="1">E19-E20</f>
        <v>18405</v>
      </c>
      <c r="F21" s="6">
        <f t="shared" ref="F21:R21" ca="1" si="3">F19-F20</f>
        <v>17860</v>
      </c>
      <c r="G21" s="6">
        <f t="shared" ca="1" si="3"/>
        <v>18971</v>
      </c>
      <c r="H21" s="6">
        <f t="shared" ca="1" si="3"/>
        <v>16749</v>
      </c>
      <c r="I21" s="6">
        <f t="shared" ca="1" si="3"/>
        <v>21035</v>
      </c>
      <c r="J21" s="6">
        <f t="shared" ca="1" si="3"/>
        <v>21035</v>
      </c>
      <c r="K21" s="6">
        <f t="shared" ca="1" si="3"/>
        <v>16375.740000000049</v>
      </c>
      <c r="L21" s="6">
        <f t="shared" ca="1" si="3"/>
        <v>21035</v>
      </c>
      <c r="M21" s="6">
        <f t="shared" ca="1" si="3"/>
        <v>16405.830000000016</v>
      </c>
      <c r="N21" s="6">
        <f t="shared" ca="1" si="3"/>
        <v>-22742.580000000016</v>
      </c>
      <c r="O21" s="6">
        <f t="shared" ca="1" si="3"/>
        <v>-3168.710000000021</v>
      </c>
      <c r="P21" s="6">
        <f t="shared" ca="1" si="3"/>
        <v>21132</v>
      </c>
      <c r="Q21" s="6">
        <f t="shared" ca="1" si="1"/>
        <v>163092.28000000003</v>
      </c>
      <c r="R21" s="6">
        <f t="shared" si="3"/>
        <v>234885</v>
      </c>
    </row>
    <row r="22" spans="2:18" x14ac:dyDescent="0.25">
      <c r="B22" t="s">
        <v>71</v>
      </c>
      <c r="C22" t="s">
        <v>242</v>
      </c>
      <c r="D22" s="12" t="s">
        <v>28</v>
      </c>
      <c r="E22" s="6">
        <f ca="1">SUMIF('Receita Arrecadada'!$A$2:$A$1048576,RCL!$B22,OFFSET('Receita Arrecadada'!$D$2:$D$1048576,,MATCH(RCL!E$10,'Receita Arrecadada'!$E$1:$XFD$1,0)))</f>
        <v>0</v>
      </c>
      <c r="F22" s="6">
        <f ca="1">SUMIF('Receita Arrecadada'!$A$2:$A$1048576,RCL!$B22,OFFSET('Receita Arrecadada'!$D$2:$D$1048576,,MATCH(RCL!F$10,'Receita Arrecadada'!$E$1:$XFD$1,0)))</f>
        <v>0</v>
      </c>
      <c r="G22" s="6">
        <f ca="1">SUMIF('Receita Arrecadada'!$A$2:$A$1048576,RCL!$B22,OFFSET('Receita Arrecadada'!$D$2:$D$1048576,,MATCH(RCL!G$10,'Receita Arrecadada'!$E$1:$XFD$1,0)))</f>
        <v>0</v>
      </c>
      <c r="H22" s="6">
        <f ca="1">SUMIF('Receita Arrecadada'!$A$2:$A$1048576,RCL!$B22,OFFSET('Receita Arrecadada'!$D$2:$D$1048576,,MATCH(RCL!H$10,'Receita Arrecadada'!$E$1:$XFD$1,0)))</f>
        <v>0</v>
      </c>
      <c r="I22" s="6">
        <f ca="1">SUMIF('Receita Arrecadada'!$A$2:$A$1048576,RCL!$B22,OFFSET('Receita Arrecadada'!$D$2:$D$1048576,,MATCH(RCL!I$10,'Receita Arrecadada'!$E$1:$XFD$1,0)))</f>
        <v>0</v>
      </c>
      <c r="J22" s="6">
        <f ca="1">SUMIF('Receita Arrecadada'!$A$2:$A$1048576,RCL!$B22,OFFSET('Receita Arrecadada'!$D$2:$D$1048576,,MATCH(RCL!J$10,'Receita Arrecadada'!$E$1:$XFD$1,0)))</f>
        <v>0</v>
      </c>
      <c r="K22" s="6">
        <f ca="1">SUMIF('Receita Arrecadada'!$A$2:$A$1048576,RCL!$B22,OFFSET('Receita Arrecadada'!$D$2:$D$1048576,,MATCH(RCL!K$10,'Receita Arrecadada'!$E$1:$XFD$1,0)))</f>
        <v>0</v>
      </c>
      <c r="L22" s="6">
        <f ca="1">SUMIF('Receita Arrecadada'!$A$2:$A$1048576,RCL!$B22,OFFSET('Receita Arrecadada'!$D$2:$D$1048576,,MATCH(RCL!L$10,'Receita Arrecadada'!$E$1:$XFD$1,0)))</f>
        <v>0</v>
      </c>
      <c r="M22" s="6">
        <f ca="1">SUMIF('Receita Arrecadada'!$A$2:$A$1048576,RCL!$B22,OFFSET('Receita Arrecadada'!$D$2:$D$1048576,,MATCH(RCL!M$10,'Receita Arrecadada'!$E$1:$XFD$1,0)))</f>
        <v>0</v>
      </c>
      <c r="N22" s="6">
        <f ca="1">SUMIF('Receita Arrecadada'!$A$2:$A$1048576,RCL!$B22,OFFSET('Receita Arrecadada'!$D$2:$D$1048576,,MATCH(RCL!N$10,'Receita Arrecadada'!$E$1:$XFD$1,0)))</f>
        <v>0</v>
      </c>
      <c r="O22" s="6">
        <f ca="1">SUMIF('Receita Arrecadada'!$A$2:$A$1048576,RCL!$B22,OFFSET('Receita Arrecadada'!$D$2:$D$1048576,,MATCH(RCL!O$10,'Receita Arrecadada'!$E$1:$XFD$1,0)))</f>
        <v>0</v>
      </c>
      <c r="P22" s="6">
        <f ca="1">SUMIF('Receita Arrecadada'!$A$2:$A$1048576,RCL!$B22,OFFSET('Receita Arrecadada'!$D$2:$D$1048576,,MATCH(RCL!P$10,'Receita Arrecadada'!$E$1:$XFD$1,0)))</f>
        <v>0</v>
      </c>
      <c r="Q22" s="6">
        <f t="shared" ca="1" si="1"/>
        <v>0</v>
      </c>
      <c r="R22" s="6">
        <f>SUMIF('Receita Prevista'!$A$2:$A$1048576,RCL!$B22,'Receita Prevista'!$D$2:$D$1048576)</f>
        <v>0</v>
      </c>
    </row>
    <row r="23" spans="2:18" x14ac:dyDescent="0.25">
      <c r="B23" t="s">
        <v>64</v>
      </c>
      <c r="C23" t="s">
        <v>242</v>
      </c>
      <c r="D23" s="12" t="s">
        <v>29</v>
      </c>
      <c r="E23" s="6">
        <f ca="1">SUMIF('Receita Arrecadada'!$A$2:$A$1048576,RCL!$B23,OFFSET('Receita Arrecadada'!$D$2:$D$1048576,,MATCH(RCL!E$10,'Receita Arrecadada'!$E$1:$XFD$1,0)))</f>
        <v>0</v>
      </c>
      <c r="F23" s="6">
        <f ca="1">SUMIF('Receita Arrecadada'!$A$2:$A$1048576,RCL!$B23,OFFSET('Receita Arrecadada'!$D$2:$D$1048576,,MATCH(RCL!F$10,'Receita Arrecadada'!$E$1:$XFD$1,0)))</f>
        <v>0</v>
      </c>
      <c r="G23" s="6">
        <f ca="1">SUMIF('Receita Arrecadada'!$A$2:$A$1048576,RCL!$B23,OFFSET('Receita Arrecadada'!$D$2:$D$1048576,,MATCH(RCL!G$10,'Receita Arrecadada'!$E$1:$XFD$1,0)))</f>
        <v>0</v>
      </c>
      <c r="H23" s="6">
        <f ca="1">SUMIF('Receita Arrecadada'!$A$2:$A$1048576,RCL!$B23,OFFSET('Receita Arrecadada'!$D$2:$D$1048576,,MATCH(RCL!H$10,'Receita Arrecadada'!$E$1:$XFD$1,0)))</f>
        <v>0</v>
      </c>
      <c r="I23" s="6">
        <f ca="1">SUMIF('Receita Arrecadada'!$A$2:$A$1048576,RCL!$B23,OFFSET('Receita Arrecadada'!$D$2:$D$1048576,,MATCH(RCL!I$10,'Receita Arrecadada'!$E$1:$XFD$1,0)))</f>
        <v>0</v>
      </c>
      <c r="J23" s="6">
        <f ca="1">SUMIF('Receita Arrecadada'!$A$2:$A$1048576,RCL!$B23,OFFSET('Receita Arrecadada'!$D$2:$D$1048576,,MATCH(RCL!J$10,'Receita Arrecadada'!$E$1:$XFD$1,0)))</f>
        <v>0</v>
      </c>
      <c r="K23" s="6">
        <f ca="1">SUMIF('Receita Arrecadada'!$A$2:$A$1048576,RCL!$B23,OFFSET('Receita Arrecadada'!$D$2:$D$1048576,,MATCH(RCL!K$10,'Receita Arrecadada'!$E$1:$XFD$1,0)))</f>
        <v>0</v>
      </c>
      <c r="L23" s="6">
        <f ca="1">SUMIF('Receita Arrecadada'!$A$2:$A$1048576,RCL!$B23,OFFSET('Receita Arrecadada'!$D$2:$D$1048576,,MATCH(RCL!L$10,'Receita Arrecadada'!$E$1:$XFD$1,0)))</f>
        <v>0</v>
      </c>
      <c r="M23" s="6">
        <f ca="1">SUMIF('Receita Arrecadada'!$A$2:$A$1048576,RCL!$B23,OFFSET('Receita Arrecadada'!$D$2:$D$1048576,,MATCH(RCL!M$10,'Receita Arrecadada'!$E$1:$XFD$1,0)))</f>
        <v>0</v>
      </c>
      <c r="N23" s="6">
        <f ca="1">SUMIF('Receita Arrecadada'!$A$2:$A$1048576,RCL!$B23,OFFSET('Receita Arrecadada'!$D$2:$D$1048576,,MATCH(RCL!N$10,'Receita Arrecadada'!$E$1:$XFD$1,0)))</f>
        <v>0</v>
      </c>
      <c r="O23" s="6">
        <f ca="1">SUMIF('Receita Arrecadada'!$A$2:$A$1048576,RCL!$B23,OFFSET('Receita Arrecadada'!$D$2:$D$1048576,,MATCH(RCL!O$10,'Receita Arrecadada'!$E$1:$XFD$1,0)))</f>
        <v>0</v>
      </c>
      <c r="P23" s="6">
        <f ca="1">SUMIF('Receita Arrecadada'!$A$2:$A$1048576,RCL!$B23,OFFSET('Receita Arrecadada'!$D$2:$D$1048576,,MATCH(RCL!P$10,'Receita Arrecadada'!$E$1:$XFD$1,0)))</f>
        <v>0</v>
      </c>
      <c r="Q23" s="6">
        <f t="shared" ca="1" si="1"/>
        <v>0</v>
      </c>
      <c r="R23" s="6">
        <f>SUMIF('Receita Prevista'!$A$2:$A$1048576,RCL!$B23,'Receita Prevista'!$D$2:$D$1048576)</f>
        <v>0</v>
      </c>
    </row>
    <row r="24" spans="2:18" x14ac:dyDescent="0.25">
      <c r="B24" t="s">
        <v>72</v>
      </c>
      <c r="C24" t="s">
        <v>242</v>
      </c>
      <c r="D24" s="12" t="s">
        <v>30</v>
      </c>
      <c r="E24" s="6">
        <f ca="1">SUMIF('Receita Arrecadada'!$A$2:$A$1048576,RCL!$B24,OFFSET('Receita Arrecadada'!$D$2:$D$1048576,,MATCH(RCL!E$10,'Receita Arrecadada'!$E$1:$XFD$1,0)))</f>
        <v>1150</v>
      </c>
      <c r="F24" s="6">
        <f ca="1">SUMIF('Receita Arrecadada'!$A$2:$A$1048576,RCL!$B24,OFFSET('Receita Arrecadada'!$D$2:$D$1048576,,MATCH(RCL!F$10,'Receita Arrecadada'!$E$1:$XFD$1,0)))</f>
        <v>1515</v>
      </c>
      <c r="G24" s="6">
        <f ca="1">SUMIF('Receita Arrecadada'!$A$2:$A$1048576,RCL!$B24,OFFSET('Receita Arrecadada'!$D$2:$D$1048576,,MATCH(RCL!G$10,'Receita Arrecadada'!$E$1:$XFD$1,0)))</f>
        <v>3375</v>
      </c>
      <c r="H24" s="6">
        <f ca="1">SUMIF('Receita Arrecadada'!$A$2:$A$1048576,RCL!$B24,OFFSET('Receita Arrecadada'!$D$2:$D$1048576,,MATCH(RCL!H$10,'Receita Arrecadada'!$E$1:$XFD$1,0)))</f>
        <v>1195</v>
      </c>
      <c r="I24" s="6">
        <f ca="1">SUMIF('Receita Arrecadada'!$A$2:$A$1048576,RCL!$B24,OFFSET('Receita Arrecadada'!$D$2:$D$1048576,,MATCH(RCL!I$10,'Receita Arrecadada'!$E$1:$XFD$1,0)))</f>
        <v>845</v>
      </c>
      <c r="J24" s="6">
        <f ca="1">SUMIF('Receita Arrecadada'!$A$2:$A$1048576,RCL!$B24,OFFSET('Receita Arrecadada'!$D$2:$D$1048576,,MATCH(RCL!J$10,'Receita Arrecadada'!$E$1:$XFD$1,0)))</f>
        <v>1255</v>
      </c>
      <c r="K24" s="6">
        <f ca="1">SUMIF('Receita Arrecadada'!$A$2:$A$1048576,RCL!$B24,OFFSET('Receita Arrecadada'!$D$2:$D$1048576,,MATCH(RCL!K$10,'Receita Arrecadada'!$E$1:$XFD$1,0)))</f>
        <v>2862.5</v>
      </c>
      <c r="L24" s="6">
        <f ca="1">SUMIF('Receita Arrecadada'!$A$2:$A$1048576,RCL!$B24,OFFSET('Receita Arrecadada'!$D$2:$D$1048576,,MATCH(RCL!L$10,'Receita Arrecadada'!$E$1:$XFD$1,0)))</f>
        <v>2345</v>
      </c>
      <c r="M24" s="6">
        <f ca="1">SUMIF('Receita Arrecadada'!$A$2:$A$1048576,RCL!$B24,OFFSET('Receita Arrecadada'!$D$2:$D$1048576,,MATCH(RCL!M$10,'Receita Arrecadada'!$E$1:$XFD$1,0)))</f>
        <v>4964.5</v>
      </c>
      <c r="N24" s="6">
        <f ca="1">SUMIF('Receita Arrecadada'!$A$2:$A$1048576,RCL!$B24,OFFSET('Receita Arrecadada'!$D$2:$D$1048576,,MATCH(RCL!N$10,'Receita Arrecadada'!$E$1:$XFD$1,0)))</f>
        <v>2140</v>
      </c>
      <c r="O24" s="6">
        <f ca="1">SUMIF('Receita Arrecadada'!$A$2:$A$1048576,RCL!$B24,OFFSET('Receita Arrecadada'!$D$2:$D$1048576,,MATCH(RCL!O$10,'Receita Arrecadada'!$E$1:$XFD$1,0)))</f>
        <v>3077.5</v>
      </c>
      <c r="P24" s="6">
        <f ca="1">SUMIF('Receita Arrecadada'!$A$2:$A$1048576,RCL!$B24,OFFSET('Receita Arrecadada'!$D$2:$D$1048576,,MATCH(RCL!P$10,'Receita Arrecadada'!$E$1:$XFD$1,0)))</f>
        <v>1435</v>
      </c>
      <c r="Q24" s="6">
        <f t="shared" ca="1" si="1"/>
        <v>26159.5</v>
      </c>
      <c r="R24" s="6">
        <f>SUMIF('Receita Prevista'!$A$2:$A$1048576,RCL!$B24,'Receita Prevista'!$D$2:$D$1048576)</f>
        <v>42746</v>
      </c>
    </row>
    <row r="25" spans="2:18" x14ac:dyDescent="0.25">
      <c r="B25" t="s">
        <v>73</v>
      </c>
      <c r="C25" t="s">
        <v>242</v>
      </c>
      <c r="D25" s="12" t="s">
        <v>31</v>
      </c>
      <c r="E25" s="6">
        <f ca="1">SUMIF('Receita Arrecadada'!$A$2:$A$1048576,RCL!$B25,OFFSET('Receita Arrecadada'!$D$2:$D$1048576,,MATCH(RCL!E$10,'Receita Arrecadada'!$E$1:$XFD$1,0)))</f>
        <v>2711889.94</v>
      </c>
      <c r="F25" s="6">
        <f ca="1">SUMIF('Receita Arrecadada'!$A$2:$A$1048576,RCL!$B25,OFFSET('Receita Arrecadada'!$D$2:$D$1048576,,MATCH(RCL!F$10,'Receita Arrecadada'!$E$1:$XFD$1,0)))</f>
        <v>2941503.08</v>
      </c>
      <c r="G25" s="6">
        <f ca="1">SUMIF('Receita Arrecadada'!$A$2:$A$1048576,RCL!$B25,OFFSET('Receita Arrecadada'!$D$2:$D$1048576,,MATCH(RCL!G$10,'Receita Arrecadada'!$E$1:$XFD$1,0)))</f>
        <v>4499770.0999999996</v>
      </c>
      <c r="H25" s="6">
        <f ca="1">SUMIF('Receita Arrecadada'!$A$2:$A$1048576,RCL!$B25,OFFSET('Receita Arrecadada'!$D$2:$D$1048576,,MATCH(RCL!H$10,'Receita Arrecadada'!$E$1:$XFD$1,0)))</f>
        <v>2862741.72</v>
      </c>
      <c r="I25" s="6">
        <f ca="1">SUMIF('Receita Arrecadada'!$A$2:$A$1048576,RCL!$B25,OFFSET('Receita Arrecadada'!$D$2:$D$1048576,,MATCH(RCL!I$10,'Receita Arrecadada'!$E$1:$XFD$1,0)))</f>
        <v>3133398.22</v>
      </c>
      <c r="J25" s="6">
        <f ca="1">SUMIF('Receita Arrecadada'!$A$2:$A$1048576,RCL!$B25,OFFSET('Receita Arrecadada'!$D$2:$D$1048576,,MATCH(RCL!J$10,'Receita Arrecadada'!$E$1:$XFD$1,0)))</f>
        <v>2731213.31</v>
      </c>
      <c r="K25" s="6">
        <f ca="1">SUMIF('Receita Arrecadada'!$A$2:$A$1048576,RCL!$B25,OFFSET('Receita Arrecadada'!$D$2:$D$1048576,,MATCH(RCL!K$10,'Receita Arrecadada'!$E$1:$XFD$1,0)))</f>
        <v>2980597.28</v>
      </c>
      <c r="L25" s="6">
        <f ca="1">SUMIF('Receita Arrecadada'!$A$2:$A$1048576,RCL!$B25,OFFSET('Receita Arrecadada'!$D$2:$D$1048576,,MATCH(RCL!L$10,'Receita Arrecadada'!$E$1:$XFD$1,0)))</f>
        <v>3472173.19</v>
      </c>
      <c r="M25" s="6">
        <f ca="1">SUMIF('Receita Arrecadada'!$A$2:$A$1048576,RCL!$B25,OFFSET('Receita Arrecadada'!$D$2:$D$1048576,,MATCH(RCL!M$10,'Receita Arrecadada'!$E$1:$XFD$1,0)))</f>
        <v>2792462.5</v>
      </c>
      <c r="N25" s="6">
        <f ca="1">SUMIF('Receita Arrecadada'!$A$2:$A$1048576,RCL!$B25,OFFSET('Receita Arrecadada'!$D$2:$D$1048576,,MATCH(RCL!N$10,'Receita Arrecadada'!$E$1:$XFD$1,0)))</f>
        <v>3644125.85</v>
      </c>
      <c r="O25" s="6">
        <f ca="1">SUMIF('Receita Arrecadada'!$A$2:$A$1048576,RCL!$B25,OFFSET('Receita Arrecadada'!$D$2:$D$1048576,,MATCH(RCL!O$10,'Receita Arrecadada'!$E$1:$XFD$1,0)))</f>
        <v>2722757.26</v>
      </c>
      <c r="P25" s="6">
        <f ca="1">SUMIF('Receita Arrecadada'!$A$2:$A$1048576,RCL!$B25,OFFSET('Receita Arrecadada'!$D$2:$D$1048576,,MATCH(RCL!P$10,'Receita Arrecadada'!$E$1:$XFD$1,0)))</f>
        <v>2624508.5099999998</v>
      </c>
      <c r="Q25" s="6">
        <f t="shared" ca="1" si="1"/>
        <v>37117140.960000001</v>
      </c>
      <c r="R25" s="6">
        <f>SUMIF('Receita Prevista'!$A$2:$A$1048576,RCL!$B25,'Receita Prevista'!$D$2:$D$1048576)</f>
        <v>35693103.950000003</v>
      </c>
    </row>
    <row r="26" spans="2:18" x14ac:dyDescent="0.25">
      <c r="B26" t="s">
        <v>65</v>
      </c>
      <c r="D26" s="13" t="s">
        <v>32</v>
      </c>
      <c r="E26" s="6">
        <f ca="1">SUMIF('Receita Arrecadada'!$A$2:$A$1048576,RCL!$B26,OFFSET('Receita Arrecadada'!$D$2:$D$1048576,,MATCH(RCL!E$10,'Receita Arrecadada'!$E$1:$XFD$1,0)))</f>
        <v>772745.64</v>
      </c>
      <c r="F26" s="6">
        <f ca="1">SUMIF('Receita Arrecadada'!$A$2:$A$1048576,RCL!$B26,OFFSET('Receita Arrecadada'!$D$2:$D$1048576,,MATCH(RCL!F$10,'Receita Arrecadada'!$E$1:$XFD$1,0)))</f>
        <v>1003585.36</v>
      </c>
      <c r="G26" s="6">
        <f ca="1">SUMIF('Receita Arrecadada'!$A$2:$A$1048576,RCL!$B26,OFFSET('Receita Arrecadada'!$D$2:$D$1048576,,MATCH(RCL!G$10,'Receita Arrecadada'!$E$1:$XFD$1,0)))</f>
        <v>1494032.81</v>
      </c>
      <c r="H26" s="6">
        <f ca="1">SUMIF('Receita Arrecadada'!$A$2:$A$1048576,RCL!$B26,OFFSET('Receita Arrecadada'!$D$2:$D$1048576,,MATCH(RCL!H$10,'Receita Arrecadada'!$E$1:$XFD$1,0)))</f>
        <v>1036783.19</v>
      </c>
      <c r="I26" s="6">
        <f ca="1">SUMIF('Receita Arrecadada'!$A$2:$A$1048576,RCL!$B26,OFFSET('Receita Arrecadada'!$D$2:$D$1048576,,MATCH(RCL!I$10,'Receita Arrecadada'!$E$1:$XFD$1,0)))</f>
        <v>1447261.91</v>
      </c>
      <c r="J26" s="6">
        <f ca="1">SUMIF('Receita Arrecadada'!$A$2:$A$1048576,RCL!$B26,OFFSET('Receita Arrecadada'!$D$2:$D$1048576,,MATCH(RCL!J$10,'Receita Arrecadada'!$E$1:$XFD$1,0)))</f>
        <v>877388.9</v>
      </c>
      <c r="K26" s="6">
        <f ca="1">SUMIF('Receita Arrecadada'!$A$2:$A$1048576,RCL!$B26,OFFSET('Receita Arrecadada'!$D$2:$D$1048576,,MATCH(RCL!K$10,'Receita Arrecadada'!$E$1:$XFD$1,0)))</f>
        <v>1040016.53</v>
      </c>
      <c r="L26" s="6">
        <f ca="1">SUMIF('Receita Arrecadada'!$A$2:$A$1048576,RCL!$B26,OFFSET('Receita Arrecadada'!$D$2:$D$1048576,,MATCH(RCL!L$10,'Receita Arrecadada'!$E$1:$XFD$1,0)))</f>
        <v>1156914.6000000001</v>
      </c>
      <c r="M26" s="6">
        <f ca="1">SUMIF('Receita Arrecadada'!$A$2:$A$1048576,RCL!$B26,OFFSET('Receita Arrecadada'!$D$2:$D$1048576,,MATCH(RCL!M$10,'Receita Arrecadada'!$E$1:$XFD$1,0)))</f>
        <v>1082514.3799999999</v>
      </c>
      <c r="N26" s="6">
        <f ca="1">SUMIF('Receita Arrecadada'!$A$2:$A$1048576,RCL!$B26,OFFSET('Receita Arrecadada'!$D$2:$D$1048576,,MATCH(RCL!N$10,'Receita Arrecadada'!$E$1:$XFD$1,0)))</f>
        <v>1456996.25</v>
      </c>
      <c r="O26" s="6">
        <f ca="1">SUMIF('Receita Arrecadada'!$A$2:$A$1048576,RCL!$B26,OFFSET('Receita Arrecadada'!$D$2:$D$1048576,,MATCH(RCL!O$10,'Receita Arrecadada'!$E$1:$XFD$1,0)))</f>
        <v>1058586.6100000001</v>
      </c>
      <c r="P26" s="6">
        <f ca="1">SUMIF('Receita Arrecadada'!$A$2:$A$1048576,RCL!$B26,OFFSET('Receita Arrecadada'!$D$2:$D$1048576,,MATCH(RCL!P$10,'Receita Arrecadada'!$E$1:$XFD$1,0)))</f>
        <v>974942.91</v>
      </c>
      <c r="Q26" s="6">
        <f t="shared" ca="1" si="1"/>
        <v>13401769.09</v>
      </c>
      <c r="R26" s="6">
        <f>SUMIF('Receita Prevista'!$A$2:$A$1048576,RCL!$B26,'Receita Prevista'!$D$2:$D$1048576)</f>
        <v>12402513</v>
      </c>
    </row>
    <row r="27" spans="2:18" x14ac:dyDescent="0.25">
      <c r="B27" t="s">
        <v>66</v>
      </c>
      <c r="D27" s="13" t="s">
        <v>33</v>
      </c>
      <c r="E27" s="6">
        <f ca="1">SUMIF('Receita Arrecadada'!$A$2:$A$1048576,RCL!$B27,OFFSET('Receita Arrecadada'!$D$2:$D$1048576,,MATCH(RCL!E$10,'Receita Arrecadada'!$E$1:$XFD$1,0)))</f>
        <v>1074007.45</v>
      </c>
      <c r="F27" s="6">
        <f ca="1">SUMIF('Receita Arrecadada'!$A$2:$A$1048576,RCL!$B27,OFFSET('Receita Arrecadada'!$D$2:$D$1048576,,MATCH(RCL!F$10,'Receita Arrecadada'!$E$1:$XFD$1,0)))</f>
        <v>1272981.73</v>
      </c>
      <c r="G27" s="6">
        <f ca="1">SUMIF('Receita Arrecadada'!$A$2:$A$1048576,RCL!$B27,OFFSET('Receita Arrecadada'!$D$2:$D$1048576,,MATCH(RCL!G$10,'Receita Arrecadada'!$E$1:$XFD$1,0)))</f>
        <v>1286418.3999999999</v>
      </c>
      <c r="H27" s="6">
        <f ca="1">SUMIF('Receita Arrecadada'!$A$2:$A$1048576,RCL!$B27,OFFSET('Receita Arrecadada'!$D$2:$D$1048576,,MATCH(RCL!H$10,'Receita Arrecadada'!$E$1:$XFD$1,0)))</f>
        <v>799187.05</v>
      </c>
      <c r="I27" s="6">
        <f ca="1">SUMIF('Receita Arrecadada'!$A$2:$A$1048576,RCL!$B27,OFFSET('Receita Arrecadada'!$D$2:$D$1048576,,MATCH(RCL!I$10,'Receita Arrecadada'!$E$1:$XFD$1,0)))</f>
        <v>1004209.91</v>
      </c>
      <c r="J27" s="6">
        <f ca="1">SUMIF('Receita Arrecadada'!$A$2:$A$1048576,RCL!$B27,OFFSET('Receita Arrecadada'!$D$2:$D$1048576,,MATCH(RCL!J$10,'Receita Arrecadada'!$E$1:$XFD$1,0)))</f>
        <v>1077657.24</v>
      </c>
      <c r="K27" s="6">
        <f ca="1">SUMIF('Receita Arrecadada'!$A$2:$A$1048576,RCL!$B27,OFFSET('Receita Arrecadada'!$D$2:$D$1048576,,MATCH(RCL!K$10,'Receita Arrecadada'!$E$1:$XFD$1,0)))</f>
        <v>969133.75</v>
      </c>
      <c r="L27" s="6">
        <f ca="1">SUMIF('Receita Arrecadada'!$A$2:$A$1048576,RCL!$B27,OFFSET('Receita Arrecadada'!$D$2:$D$1048576,,MATCH(RCL!L$10,'Receita Arrecadada'!$E$1:$XFD$1,0)))</f>
        <v>1202029.69</v>
      </c>
      <c r="M27" s="6">
        <f ca="1">SUMIF('Receita Arrecadada'!$A$2:$A$1048576,RCL!$B27,OFFSET('Receita Arrecadada'!$D$2:$D$1048576,,MATCH(RCL!M$10,'Receita Arrecadada'!$E$1:$XFD$1,0)))</f>
        <v>955517.84</v>
      </c>
      <c r="N27" s="6">
        <f ca="1">SUMIF('Receita Arrecadada'!$A$2:$A$1048576,RCL!$B27,OFFSET('Receita Arrecadada'!$D$2:$D$1048576,,MATCH(RCL!N$10,'Receita Arrecadada'!$E$1:$XFD$1,0)))</f>
        <v>964004.55</v>
      </c>
      <c r="O27" s="6">
        <f ca="1">SUMIF('Receita Arrecadada'!$A$2:$A$1048576,RCL!$B27,OFFSET('Receita Arrecadada'!$D$2:$D$1048576,,MATCH(RCL!O$10,'Receita Arrecadada'!$E$1:$XFD$1,0)))</f>
        <v>1000900.71</v>
      </c>
      <c r="P27" s="6">
        <f ca="1">SUMIF('Receita Arrecadada'!$A$2:$A$1048576,RCL!$B27,OFFSET('Receita Arrecadada'!$D$2:$D$1048576,,MATCH(RCL!P$10,'Receita Arrecadada'!$E$1:$XFD$1,0)))</f>
        <v>937826.61</v>
      </c>
      <c r="Q27" s="6">
        <f t="shared" ca="1" si="1"/>
        <v>12543874.93</v>
      </c>
      <c r="R27" s="6">
        <f>SUMIF('Receita Prevista'!$A$2:$A$1048576,RCL!$B27,'Receita Prevista'!$D$2:$D$1048576)</f>
        <v>13500000</v>
      </c>
    </row>
    <row r="28" spans="2:18" x14ac:dyDescent="0.25">
      <c r="B28" t="s">
        <v>67</v>
      </c>
      <c r="D28" s="13" t="s">
        <v>34</v>
      </c>
      <c r="E28" s="6">
        <f ca="1">SUMIF('Receita Arrecadada'!$A$2:$A$1048576,RCL!$B28,OFFSET('Receita Arrecadada'!$D$2:$D$1048576,,MATCH(RCL!E$10,'Receita Arrecadada'!$E$1:$XFD$1,0)))</f>
        <v>3911.95</v>
      </c>
      <c r="F28" s="6">
        <f ca="1">SUMIF('Receita Arrecadada'!$A$2:$A$1048576,RCL!$B28,OFFSET('Receita Arrecadada'!$D$2:$D$1048576,,MATCH(RCL!F$10,'Receita Arrecadada'!$E$1:$XFD$1,0)))</f>
        <v>4225.26</v>
      </c>
      <c r="G28" s="6">
        <f ca="1">SUMIF('Receita Arrecadada'!$A$2:$A$1048576,RCL!$B28,OFFSET('Receita Arrecadada'!$D$2:$D$1048576,,MATCH(RCL!G$10,'Receita Arrecadada'!$E$1:$XFD$1,0)))</f>
        <v>267539.82</v>
      </c>
      <c r="H28" s="6">
        <f ca="1">SUMIF('Receita Arrecadada'!$A$2:$A$1048576,RCL!$B28,OFFSET('Receita Arrecadada'!$D$2:$D$1048576,,MATCH(RCL!H$10,'Receita Arrecadada'!$E$1:$XFD$1,0)))</f>
        <v>240068.81</v>
      </c>
      <c r="I28" s="6">
        <f ca="1">SUMIF('Receita Arrecadada'!$A$2:$A$1048576,RCL!$B28,OFFSET('Receita Arrecadada'!$D$2:$D$1048576,,MATCH(RCL!I$10,'Receita Arrecadada'!$E$1:$XFD$1,0)))</f>
        <v>48318.400000000001</v>
      </c>
      <c r="J28" s="6">
        <f ca="1">SUMIF('Receita Arrecadada'!$A$2:$A$1048576,RCL!$B28,OFFSET('Receita Arrecadada'!$D$2:$D$1048576,,MATCH(RCL!J$10,'Receita Arrecadada'!$E$1:$XFD$1,0)))</f>
        <v>67606.240000000005</v>
      </c>
      <c r="K28" s="6">
        <f ca="1">SUMIF('Receita Arrecadada'!$A$2:$A$1048576,RCL!$B28,OFFSET('Receita Arrecadada'!$D$2:$D$1048576,,MATCH(RCL!K$10,'Receita Arrecadada'!$E$1:$XFD$1,0)))</f>
        <v>193575.57</v>
      </c>
      <c r="L28" s="6">
        <f ca="1">SUMIF('Receita Arrecadada'!$A$2:$A$1048576,RCL!$B28,OFFSET('Receita Arrecadada'!$D$2:$D$1048576,,MATCH(RCL!L$10,'Receita Arrecadada'!$E$1:$XFD$1,0)))</f>
        <v>141565.19</v>
      </c>
      <c r="M28" s="6">
        <f ca="1">SUMIF('Receita Arrecadada'!$A$2:$A$1048576,RCL!$B28,OFFSET('Receita Arrecadada'!$D$2:$D$1048576,,MATCH(RCL!M$10,'Receita Arrecadada'!$E$1:$XFD$1,0)))</f>
        <v>37920.639999999999</v>
      </c>
      <c r="N28" s="6">
        <f ca="1">SUMIF('Receita Arrecadada'!$A$2:$A$1048576,RCL!$B28,OFFSET('Receita Arrecadada'!$D$2:$D$1048576,,MATCH(RCL!N$10,'Receita Arrecadada'!$E$1:$XFD$1,0)))</f>
        <v>33093.54</v>
      </c>
      <c r="O28" s="6">
        <f ca="1">SUMIF('Receita Arrecadada'!$A$2:$A$1048576,RCL!$B28,OFFSET('Receita Arrecadada'!$D$2:$D$1048576,,MATCH(RCL!O$10,'Receita Arrecadada'!$E$1:$XFD$1,0)))</f>
        <v>17692.43</v>
      </c>
      <c r="P28" s="6">
        <f ca="1">SUMIF('Receita Arrecadada'!$A$2:$A$1048576,RCL!$B28,OFFSET('Receita Arrecadada'!$D$2:$D$1048576,,MATCH(RCL!P$10,'Receita Arrecadada'!$E$1:$XFD$1,0)))</f>
        <v>10474.41</v>
      </c>
      <c r="Q28" s="6">
        <f t="shared" ca="1" si="1"/>
        <v>1065992.26</v>
      </c>
      <c r="R28" s="6">
        <f>SUMIF('Receita Prevista'!$A$2:$A$1048576,RCL!$B28,'Receita Prevista'!$D$2:$D$1048576)</f>
        <v>719962</v>
      </c>
    </row>
    <row r="29" spans="2:18" x14ac:dyDescent="0.25">
      <c r="B29" t="s">
        <v>68</v>
      </c>
      <c r="D29" s="13" t="s">
        <v>35</v>
      </c>
      <c r="E29" s="6">
        <f ca="1">SUMIF('Receita Arrecadada'!$A$2:$A$1048576,RCL!$B29,OFFSET('Receita Arrecadada'!$D$2:$D$1048576,,MATCH(RCL!E$10,'Receita Arrecadada'!$E$1:$XFD$1,0)))</f>
        <v>193585.38</v>
      </c>
      <c r="F29" s="6">
        <f ca="1">SUMIF('Receita Arrecadada'!$A$2:$A$1048576,RCL!$B29,OFFSET('Receita Arrecadada'!$D$2:$D$1048576,,MATCH(RCL!F$10,'Receita Arrecadada'!$E$1:$XFD$1,0)))</f>
        <v>10007.35</v>
      </c>
      <c r="G29" s="6">
        <f ca="1">SUMIF('Receita Arrecadada'!$A$2:$A$1048576,RCL!$B29,OFFSET('Receita Arrecadada'!$D$2:$D$1048576,,MATCH(RCL!G$10,'Receita Arrecadada'!$E$1:$XFD$1,0)))</f>
        <v>12158.52</v>
      </c>
      <c r="H29" s="6">
        <f ca="1">SUMIF('Receita Arrecadada'!$A$2:$A$1048576,RCL!$B29,OFFSET('Receita Arrecadada'!$D$2:$D$1048576,,MATCH(RCL!H$10,'Receita Arrecadada'!$E$1:$XFD$1,0)))</f>
        <v>5469.57</v>
      </c>
      <c r="I29" s="6">
        <f ca="1">SUMIF('Receita Arrecadada'!$A$2:$A$1048576,RCL!$B29,OFFSET('Receita Arrecadada'!$D$2:$D$1048576,,MATCH(RCL!I$10,'Receita Arrecadada'!$E$1:$XFD$1,0)))</f>
        <v>2203.5300000000002</v>
      </c>
      <c r="J29" s="6">
        <f ca="1">SUMIF('Receita Arrecadada'!$A$2:$A$1048576,RCL!$B29,OFFSET('Receita Arrecadada'!$D$2:$D$1048576,,MATCH(RCL!J$10,'Receita Arrecadada'!$E$1:$XFD$1,0)))</f>
        <v>2567.5500000000002</v>
      </c>
      <c r="K29" s="6">
        <f ca="1">SUMIF('Receita Arrecadada'!$A$2:$A$1048576,RCL!$B29,OFFSET('Receita Arrecadada'!$D$2:$D$1048576,,MATCH(RCL!K$10,'Receita Arrecadada'!$E$1:$XFD$1,0)))</f>
        <v>0</v>
      </c>
      <c r="L29" s="6">
        <f ca="1">SUMIF('Receita Arrecadada'!$A$2:$A$1048576,RCL!$B29,OFFSET('Receita Arrecadada'!$D$2:$D$1048576,,MATCH(RCL!L$10,'Receita Arrecadada'!$E$1:$XFD$1,0)))</f>
        <v>71.650000000000006</v>
      </c>
      <c r="M29" s="6">
        <f ca="1">SUMIF('Receita Arrecadada'!$A$2:$A$1048576,RCL!$B29,OFFSET('Receita Arrecadada'!$D$2:$D$1048576,,MATCH(RCL!M$10,'Receita Arrecadada'!$E$1:$XFD$1,0)))</f>
        <v>1997.16</v>
      </c>
      <c r="N29" s="6">
        <f ca="1">SUMIF('Receita Arrecadada'!$A$2:$A$1048576,RCL!$B29,OFFSET('Receita Arrecadada'!$D$2:$D$1048576,,MATCH(RCL!N$10,'Receita Arrecadada'!$E$1:$XFD$1,0)))</f>
        <v>2147.08</v>
      </c>
      <c r="O29" s="6">
        <f ca="1">SUMIF('Receita Arrecadada'!$A$2:$A$1048576,RCL!$B29,OFFSET('Receita Arrecadada'!$D$2:$D$1048576,,MATCH(RCL!O$10,'Receita Arrecadada'!$E$1:$XFD$1,0)))</f>
        <v>19195.22</v>
      </c>
      <c r="P29" s="6">
        <f ca="1">SUMIF('Receita Arrecadada'!$A$2:$A$1048576,RCL!$B29,OFFSET('Receita Arrecadada'!$D$2:$D$1048576,,MATCH(RCL!P$10,'Receita Arrecadada'!$E$1:$XFD$1,0)))</f>
        <v>97526.7</v>
      </c>
      <c r="Q29" s="6">
        <f t="shared" ca="1" si="1"/>
        <v>346929.70999999996</v>
      </c>
      <c r="R29" s="6">
        <f>SUMIF('Receita Prevista'!$A$2:$A$1048576,RCL!$B29,'Receita Prevista'!$D$2:$D$1048576)</f>
        <v>400000</v>
      </c>
    </row>
    <row r="30" spans="2:18" x14ac:dyDescent="0.25">
      <c r="B30" t="s">
        <v>75</v>
      </c>
      <c r="D30" s="13" t="s">
        <v>36</v>
      </c>
      <c r="E30" s="6">
        <f ca="1">SUMIF('Receita Arrecadada'!$A$2:$A$1048576,RCL!$B30,OFFSET('Receita Arrecadada'!$D$2:$D$1048576,,MATCH(RCL!E$10,'Receita Arrecadada'!$E$1:$XFD$1,0)))</f>
        <v>0</v>
      </c>
      <c r="F30" s="6">
        <f ca="1">SUMIF('Receita Arrecadada'!$A$2:$A$1048576,RCL!$B30,OFFSET('Receita Arrecadada'!$D$2:$D$1048576,,MATCH(RCL!F$10,'Receita Arrecadada'!$E$1:$XFD$1,0)))</f>
        <v>0</v>
      </c>
      <c r="G30" s="6">
        <f ca="1">SUMIF('Receita Arrecadada'!$A$2:$A$1048576,RCL!$B30,OFFSET('Receita Arrecadada'!$D$2:$D$1048576,,MATCH(RCL!G$10,'Receita Arrecadada'!$E$1:$XFD$1,0)))</f>
        <v>0</v>
      </c>
      <c r="H30" s="6">
        <f ca="1">SUMIF('Receita Arrecadada'!$A$2:$A$1048576,RCL!$B30,OFFSET('Receita Arrecadada'!$D$2:$D$1048576,,MATCH(RCL!H$10,'Receita Arrecadada'!$E$1:$XFD$1,0)))</f>
        <v>0</v>
      </c>
      <c r="I30" s="6">
        <f ca="1">SUMIF('Receita Arrecadada'!$A$2:$A$1048576,RCL!$B30,OFFSET('Receita Arrecadada'!$D$2:$D$1048576,,MATCH(RCL!I$10,'Receita Arrecadada'!$E$1:$XFD$1,0)))</f>
        <v>0</v>
      </c>
      <c r="J30" s="6">
        <f ca="1">SUMIF('Receita Arrecadada'!$A$2:$A$1048576,RCL!$B30,OFFSET('Receita Arrecadada'!$D$2:$D$1048576,,MATCH(RCL!J$10,'Receita Arrecadada'!$E$1:$XFD$1,0)))</f>
        <v>0</v>
      </c>
      <c r="K30" s="6">
        <f ca="1">SUMIF('Receita Arrecadada'!$A$2:$A$1048576,RCL!$B30,OFFSET('Receita Arrecadada'!$D$2:$D$1048576,,MATCH(RCL!K$10,'Receita Arrecadada'!$E$1:$XFD$1,0)))</f>
        <v>0</v>
      </c>
      <c r="L30" s="6">
        <f ca="1">SUMIF('Receita Arrecadada'!$A$2:$A$1048576,RCL!$B30,OFFSET('Receita Arrecadada'!$D$2:$D$1048576,,MATCH(RCL!L$10,'Receita Arrecadada'!$E$1:$XFD$1,0)))</f>
        <v>0</v>
      </c>
      <c r="M30" s="6">
        <f ca="1">SUMIF('Receita Arrecadada'!$A$2:$A$1048576,RCL!$B30,OFFSET('Receita Arrecadada'!$D$2:$D$1048576,,MATCH(RCL!M$10,'Receita Arrecadada'!$E$1:$XFD$1,0)))</f>
        <v>0</v>
      </c>
      <c r="N30" s="6">
        <f ca="1">SUMIF('Receita Arrecadada'!$A$2:$A$1048576,RCL!$B30,OFFSET('Receita Arrecadada'!$D$2:$D$1048576,,MATCH(RCL!N$10,'Receita Arrecadada'!$E$1:$XFD$1,0)))</f>
        <v>0</v>
      </c>
      <c r="O30" s="6">
        <f ca="1">SUMIF('Receita Arrecadada'!$A$2:$A$1048576,RCL!$B30,OFFSET('Receita Arrecadada'!$D$2:$D$1048576,,MATCH(RCL!O$10,'Receita Arrecadada'!$E$1:$XFD$1,0)))</f>
        <v>0</v>
      </c>
      <c r="P30" s="6">
        <f ca="1">SUMIF('Receita Arrecadada'!$A$2:$A$1048576,RCL!$B30,OFFSET('Receita Arrecadada'!$D$2:$D$1048576,,MATCH(RCL!P$10,'Receita Arrecadada'!$E$1:$XFD$1,0)))</f>
        <v>0</v>
      </c>
      <c r="Q30" s="6">
        <f t="shared" ca="1" si="1"/>
        <v>0</v>
      </c>
      <c r="R30" s="6">
        <f>SUMIF('Receita Prevista'!$A$2:$A$1048576,RCL!$B30,'Receita Prevista'!$D$2:$D$1048576)</f>
        <v>0</v>
      </c>
    </row>
    <row r="31" spans="2:18" x14ac:dyDescent="0.25">
      <c r="B31" t="s">
        <v>74</v>
      </c>
      <c r="D31" s="13" t="s">
        <v>37</v>
      </c>
      <c r="E31" s="6">
        <f ca="1">SUMIF('Receita Arrecadada'!$A$2:$A$1048576,RCL!$B31,OFFSET('Receita Arrecadada'!$D$2:$D$1048576,,MATCH(RCL!E$10,'Receita Arrecadada'!$E$1:$XFD$1,0)))</f>
        <v>12872.15</v>
      </c>
      <c r="F31" s="6">
        <f ca="1">SUMIF('Receita Arrecadada'!$A$2:$A$1048576,RCL!$B31,OFFSET('Receita Arrecadada'!$D$2:$D$1048576,,MATCH(RCL!F$10,'Receita Arrecadada'!$E$1:$XFD$1,0)))</f>
        <v>12153.72</v>
      </c>
      <c r="G31" s="6">
        <f ca="1">SUMIF('Receita Arrecadada'!$A$2:$A$1048576,RCL!$B31,OFFSET('Receita Arrecadada'!$D$2:$D$1048576,,MATCH(RCL!G$10,'Receita Arrecadada'!$E$1:$XFD$1,0)))</f>
        <v>11189.2</v>
      </c>
      <c r="H31" s="6">
        <f ca="1">SUMIF('Receita Arrecadada'!$A$2:$A$1048576,RCL!$B31,OFFSET('Receita Arrecadada'!$D$2:$D$1048576,,MATCH(RCL!H$10,'Receita Arrecadada'!$E$1:$XFD$1,0)))</f>
        <v>10767.34</v>
      </c>
      <c r="I31" s="6">
        <f ca="1">SUMIF('Receita Arrecadada'!$A$2:$A$1048576,RCL!$B31,OFFSET('Receita Arrecadada'!$D$2:$D$1048576,,MATCH(RCL!I$10,'Receita Arrecadada'!$E$1:$XFD$1,0)))</f>
        <v>13231.57</v>
      </c>
      <c r="J31" s="6">
        <f ca="1">SUMIF('Receita Arrecadada'!$A$2:$A$1048576,RCL!$B31,OFFSET('Receita Arrecadada'!$D$2:$D$1048576,,MATCH(RCL!J$10,'Receita Arrecadada'!$E$1:$XFD$1,0)))</f>
        <v>11962.21</v>
      </c>
      <c r="K31" s="6">
        <f ca="1">SUMIF('Receita Arrecadada'!$A$2:$A$1048576,RCL!$B31,OFFSET('Receita Arrecadada'!$D$2:$D$1048576,,MATCH(RCL!K$10,'Receita Arrecadada'!$E$1:$XFD$1,0)))</f>
        <v>10876.42</v>
      </c>
      <c r="L31" s="6">
        <f ca="1">SUMIF('Receita Arrecadada'!$A$2:$A$1048576,RCL!$B31,OFFSET('Receita Arrecadada'!$D$2:$D$1048576,,MATCH(RCL!L$10,'Receita Arrecadada'!$E$1:$XFD$1,0)))</f>
        <v>8330.01</v>
      </c>
      <c r="M31" s="6">
        <f ca="1">SUMIF('Receita Arrecadada'!$A$2:$A$1048576,RCL!$B31,OFFSET('Receita Arrecadada'!$D$2:$D$1048576,,MATCH(RCL!M$10,'Receita Arrecadada'!$E$1:$XFD$1,0)))</f>
        <v>7732.02</v>
      </c>
      <c r="N31" s="6">
        <f ca="1">SUMIF('Receita Arrecadada'!$A$2:$A$1048576,RCL!$B31,OFFSET('Receita Arrecadada'!$D$2:$D$1048576,,MATCH(RCL!N$10,'Receita Arrecadada'!$E$1:$XFD$1,0)))</f>
        <v>9396.4500000000007</v>
      </c>
      <c r="O31" s="6">
        <f ca="1">SUMIF('Receita Arrecadada'!$A$2:$A$1048576,RCL!$B31,OFFSET('Receita Arrecadada'!$D$2:$D$1048576,,MATCH(RCL!O$10,'Receita Arrecadada'!$E$1:$XFD$1,0)))</f>
        <v>6550.43</v>
      </c>
      <c r="P31" s="6">
        <f ca="1">SUMIF('Receita Arrecadada'!$A$2:$A$1048576,RCL!$B31,OFFSET('Receita Arrecadada'!$D$2:$D$1048576,,MATCH(RCL!P$10,'Receita Arrecadada'!$E$1:$XFD$1,0)))</f>
        <v>9908.3700000000008</v>
      </c>
      <c r="Q31" s="6">
        <f t="shared" ca="1" si="1"/>
        <v>124969.88999999998</v>
      </c>
      <c r="R31" s="6">
        <f>SUMIF('Receita Prevista'!$A$2:$A$1048576,RCL!$B31,'Receita Prevista'!$D$2:$D$1048576)</f>
        <v>148116.00000000003</v>
      </c>
    </row>
    <row r="32" spans="2:18" x14ac:dyDescent="0.25">
      <c r="B32" t="s">
        <v>69</v>
      </c>
      <c r="D32" s="13" t="s">
        <v>38</v>
      </c>
      <c r="E32" s="6">
        <f ca="1">SUMIF('Receita Arrecadada'!$A$2:$A$1048576,RCL!$B32,OFFSET('Receita Arrecadada'!$D$2:$D$1048576,,MATCH(RCL!E$10,'Receita Arrecadada'!$E$1:$XFD$1,0)))</f>
        <v>359365.16</v>
      </c>
      <c r="F32" s="6">
        <f ca="1">SUMIF('Receita Arrecadada'!$A$2:$A$1048576,RCL!$B32,OFFSET('Receita Arrecadada'!$D$2:$D$1048576,,MATCH(RCL!F$10,'Receita Arrecadada'!$E$1:$XFD$1,0)))</f>
        <v>428785.97</v>
      </c>
      <c r="G32" s="6">
        <f ca="1">SUMIF('Receita Arrecadada'!$A$2:$A$1048576,RCL!$B32,OFFSET('Receita Arrecadada'!$D$2:$D$1048576,,MATCH(RCL!G$10,'Receita Arrecadada'!$E$1:$XFD$1,0)))</f>
        <v>426823.55</v>
      </c>
      <c r="H32" s="6">
        <f ca="1">SUMIF('Receita Arrecadada'!$A$2:$A$1048576,RCL!$B32,OFFSET('Receita Arrecadada'!$D$2:$D$1048576,,MATCH(RCL!H$10,'Receita Arrecadada'!$E$1:$XFD$1,0)))</f>
        <v>443280.96</v>
      </c>
      <c r="I32" s="6">
        <f ca="1">SUMIF('Receita Arrecadada'!$A$2:$A$1048576,RCL!$B32,OFFSET('Receita Arrecadada'!$D$2:$D$1048576,,MATCH(RCL!I$10,'Receita Arrecadada'!$E$1:$XFD$1,0)))</f>
        <v>428555.58</v>
      </c>
      <c r="J32" s="6">
        <f ca="1">SUMIF('Receita Arrecadada'!$A$2:$A$1048576,RCL!$B32,OFFSET('Receita Arrecadada'!$D$2:$D$1048576,,MATCH(RCL!J$10,'Receita Arrecadada'!$E$1:$XFD$1,0)))</f>
        <v>414523.66</v>
      </c>
      <c r="K32" s="6">
        <f ca="1">SUMIF('Receita Arrecadada'!$A$2:$A$1048576,RCL!$B32,OFFSET('Receita Arrecadada'!$D$2:$D$1048576,,MATCH(RCL!K$10,'Receita Arrecadada'!$E$1:$XFD$1,0)))</f>
        <v>393528.31</v>
      </c>
      <c r="L32" s="6">
        <f ca="1">SUMIF('Receita Arrecadada'!$A$2:$A$1048576,RCL!$B32,OFFSET('Receita Arrecadada'!$D$2:$D$1048576,,MATCH(RCL!L$10,'Receita Arrecadada'!$E$1:$XFD$1,0)))</f>
        <v>512084.08</v>
      </c>
      <c r="M32" s="6">
        <f ca="1">SUMIF('Receita Arrecadada'!$A$2:$A$1048576,RCL!$B32,OFFSET('Receita Arrecadada'!$D$2:$D$1048576,,MATCH(RCL!M$10,'Receita Arrecadada'!$E$1:$XFD$1,0)))</f>
        <v>383493.38</v>
      </c>
      <c r="N32" s="6">
        <f ca="1">SUMIF('Receita Arrecadada'!$A$2:$A$1048576,RCL!$B32,OFFSET('Receita Arrecadada'!$D$2:$D$1048576,,MATCH(RCL!N$10,'Receita Arrecadada'!$E$1:$XFD$1,0)))</f>
        <v>363481.03</v>
      </c>
      <c r="O32" s="6">
        <f ca="1">SUMIF('Receita Arrecadada'!$A$2:$A$1048576,RCL!$B32,OFFSET('Receita Arrecadada'!$D$2:$D$1048576,,MATCH(RCL!O$10,'Receita Arrecadada'!$E$1:$XFD$1,0)))</f>
        <v>388131.4</v>
      </c>
      <c r="P32" s="6">
        <f ca="1">SUMIF('Receita Arrecadada'!$A$2:$A$1048576,RCL!$B32,OFFSET('Receita Arrecadada'!$D$2:$D$1048576,,MATCH(RCL!P$10,'Receita Arrecadada'!$E$1:$XFD$1,0)))</f>
        <v>348767.15</v>
      </c>
      <c r="Q32" s="6">
        <f t="shared" ca="1" si="1"/>
        <v>4890820.2300000004</v>
      </c>
      <c r="R32" s="6">
        <f>SUMIF('Receita Prevista'!$A$2:$A$1048576,RCL!$B32,'Receita Prevista'!$D$2:$D$1048576)</f>
        <v>4776723.43</v>
      </c>
    </row>
    <row r="33" spans="2:18" x14ac:dyDescent="0.25">
      <c r="D33" s="13" t="s">
        <v>39</v>
      </c>
      <c r="E33" s="6">
        <f ca="1">E25-SUM(E26:E32)</f>
        <v>295402.20999999996</v>
      </c>
      <c r="F33" s="6">
        <f t="shared" ref="F33:R33" ca="1" si="4">F25-SUM(F26:F32)</f>
        <v>209763.69000000041</v>
      </c>
      <c r="G33" s="6">
        <f t="shared" ca="1" si="4"/>
        <v>1001607.7999999998</v>
      </c>
      <c r="H33" s="6">
        <f t="shared" ca="1" si="4"/>
        <v>327184.79999999981</v>
      </c>
      <c r="I33" s="6">
        <f t="shared" ca="1" si="4"/>
        <v>189617.32000000076</v>
      </c>
      <c r="J33" s="6">
        <f t="shared" ca="1" si="4"/>
        <v>279507.50999999978</v>
      </c>
      <c r="K33" s="6">
        <f t="shared" ca="1" si="4"/>
        <v>373466.69999999972</v>
      </c>
      <c r="L33" s="6">
        <f t="shared" ca="1" si="4"/>
        <v>451177.9700000002</v>
      </c>
      <c r="M33" s="6">
        <f t="shared" ca="1" si="4"/>
        <v>323287.08000000054</v>
      </c>
      <c r="N33" s="6">
        <f t="shared" ca="1" si="4"/>
        <v>815006.94999999972</v>
      </c>
      <c r="O33" s="6">
        <f t="shared" ca="1" si="4"/>
        <v>231700.45999999996</v>
      </c>
      <c r="P33" s="6">
        <f t="shared" ca="1" si="4"/>
        <v>245062.35999999987</v>
      </c>
      <c r="Q33" s="6">
        <f t="shared" ca="1" si="1"/>
        <v>4742784.8500000015</v>
      </c>
      <c r="R33" s="6">
        <f t="shared" si="4"/>
        <v>3745789.5200000033</v>
      </c>
    </row>
    <row r="34" spans="2:18" x14ac:dyDescent="0.25">
      <c r="B34" t="s">
        <v>76</v>
      </c>
      <c r="C34" t="s">
        <v>242</v>
      </c>
      <c r="D34" s="12" t="s">
        <v>40</v>
      </c>
      <c r="E34" s="6">
        <f ca="1">SUMIF('Receita Arrecadada'!$A$2:$A$1048576,RCL!$B34,OFFSET('Receita Arrecadada'!$D$2:$D$1048576,,MATCH(RCL!E$10,'Receita Arrecadada'!$E$1:$XFD$1,0)))</f>
        <v>19578.8</v>
      </c>
      <c r="F34" s="6">
        <f ca="1">SUMIF('Receita Arrecadada'!$A$2:$A$1048576,RCL!$B34,OFFSET('Receita Arrecadada'!$D$2:$D$1048576,,MATCH(RCL!F$10,'Receita Arrecadada'!$E$1:$XFD$1,0)))</f>
        <v>19707.7</v>
      </c>
      <c r="G34" s="6">
        <f ca="1">SUMIF('Receita Arrecadada'!$A$2:$A$1048576,RCL!$B34,OFFSET('Receita Arrecadada'!$D$2:$D$1048576,,MATCH(RCL!G$10,'Receita Arrecadada'!$E$1:$XFD$1,0)))</f>
        <v>29379.53</v>
      </c>
      <c r="H34" s="6">
        <f ca="1">SUMIF('Receita Arrecadada'!$A$2:$A$1048576,RCL!$B34,OFFSET('Receita Arrecadada'!$D$2:$D$1048576,,MATCH(RCL!H$10,'Receita Arrecadada'!$E$1:$XFD$1,0)))</f>
        <v>5014.34</v>
      </c>
      <c r="I34" s="6">
        <f ca="1">SUMIF('Receita Arrecadada'!$A$2:$A$1048576,RCL!$B34,OFFSET('Receita Arrecadada'!$D$2:$D$1048576,,MATCH(RCL!I$10,'Receita Arrecadada'!$E$1:$XFD$1,0)))</f>
        <v>15313.13</v>
      </c>
      <c r="J34" s="6">
        <f ca="1">SUMIF('Receita Arrecadada'!$A$2:$A$1048576,RCL!$B34,OFFSET('Receita Arrecadada'!$D$2:$D$1048576,,MATCH(RCL!J$10,'Receita Arrecadada'!$E$1:$XFD$1,0)))</f>
        <v>12931.54</v>
      </c>
      <c r="K34" s="6">
        <f ca="1">SUMIF('Receita Arrecadada'!$A$2:$A$1048576,RCL!$B34,OFFSET('Receita Arrecadada'!$D$2:$D$1048576,,MATCH(RCL!K$10,'Receita Arrecadada'!$E$1:$XFD$1,0)))</f>
        <v>19252.3</v>
      </c>
      <c r="L34" s="6">
        <f ca="1">SUMIF('Receita Arrecadada'!$A$2:$A$1048576,RCL!$B34,OFFSET('Receita Arrecadada'!$D$2:$D$1048576,,MATCH(RCL!L$10,'Receita Arrecadada'!$E$1:$XFD$1,0)))</f>
        <v>22296.48</v>
      </c>
      <c r="M34" s="6">
        <f ca="1">SUMIF('Receita Arrecadada'!$A$2:$A$1048576,RCL!$B34,OFFSET('Receita Arrecadada'!$D$2:$D$1048576,,MATCH(RCL!M$10,'Receita Arrecadada'!$E$1:$XFD$1,0)))</f>
        <v>25189.61</v>
      </c>
      <c r="N34" s="6">
        <f ca="1">SUMIF('Receita Arrecadada'!$A$2:$A$1048576,RCL!$B34,OFFSET('Receita Arrecadada'!$D$2:$D$1048576,,MATCH(RCL!N$10,'Receita Arrecadada'!$E$1:$XFD$1,0)))</f>
        <v>98667.06</v>
      </c>
      <c r="O34" s="6">
        <f ca="1">SUMIF('Receita Arrecadada'!$A$2:$A$1048576,RCL!$B34,OFFSET('Receita Arrecadada'!$D$2:$D$1048576,,MATCH(RCL!O$10,'Receita Arrecadada'!$E$1:$XFD$1,0)))</f>
        <v>11351.99</v>
      </c>
      <c r="P34" s="6">
        <f ca="1">SUMIF('Receita Arrecadada'!$A$2:$A$1048576,RCL!$B34,OFFSET('Receita Arrecadada'!$D$2:$D$1048576,,MATCH(RCL!P$10,'Receita Arrecadada'!$E$1:$XFD$1,0)))</f>
        <v>20887.310000000001</v>
      </c>
      <c r="Q34" s="6">
        <f t="shared" ca="1" si="1"/>
        <v>299569.78999999998</v>
      </c>
      <c r="R34" s="6">
        <f>SUMIF('Receita Prevista'!$A$2:$A$1048576,RCL!$B34,'Receita Prevista'!$D$2:$D$1048576)</f>
        <v>202342</v>
      </c>
    </row>
    <row r="35" spans="2:18" x14ac:dyDescent="0.25">
      <c r="D35" s="4" t="s">
        <v>41</v>
      </c>
      <c r="E35" s="7">
        <f ca="1">SUM(E36:E39)</f>
        <v>292259.80999999994</v>
      </c>
      <c r="F35" s="7">
        <f t="shared" ref="F35:R35" ca="1" si="5">SUM(F36:F39)</f>
        <v>1061486.22</v>
      </c>
      <c r="G35" s="7">
        <f t="shared" ca="1" si="5"/>
        <v>1026909.0999999999</v>
      </c>
      <c r="H35" s="7">
        <f t="shared" ca="1" si="5"/>
        <v>481258.32</v>
      </c>
      <c r="I35" s="7">
        <f t="shared" ca="1" si="5"/>
        <v>847528.07000000007</v>
      </c>
      <c r="J35" s="7">
        <f t="shared" ca="1" si="5"/>
        <v>962543.55</v>
      </c>
      <c r="K35" s="7">
        <f t="shared" ca="1" si="5"/>
        <v>792236.38</v>
      </c>
      <c r="L35" s="7">
        <f t="shared" ca="1" si="5"/>
        <v>854272.63</v>
      </c>
      <c r="M35" s="7">
        <f t="shared" ca="1" si="5"/>
        <v>688666.89</v>
      </c>
      <c r="N35" s="7">
        <f t="shared" ca="1" si="5"/>
        <v>595159.92000000004</v>
      </c>
      <c r="O35" s="7">
        <f t="shared" ca="1" si="5"/>
        <v>742830.34000000008</v>
      </c>
      <c r="P35" s="7">
        <f t="shared" ca="1" si="5"/>
        <v>749888.62</v>
      </c>
      <c r="Q35" s="7">
        <f t="shared" ca="1" si="1"/>
        <v>9095039.8499999978</v>
      </c>
      <c r="R35" s="7">
        <f t="shared" si="5"/>
        <v>2675951</v>
      </c>
    </row>
    <row r="36" spans="2:18" x14ac:dyDescent="0.25">
      <c r="B36" t="s">
        <v>77</v>
      </c>
      <c r="C36" t="s">
        <v>238</v>
      </c>
      <c r="D36" s="12" t="s">
        <v>42</v>
      </c>
      <c r="E36" s="6">
        <f ca="1">SUMIF('Receita Arrecadada'!$A$2:$A$1048576,RCL!$B36,OFFSET('Receita Arrecadada'!$D$2:$D$1048576,,MATCH(RCL!E$10,'Receita Arrecadada'!$E$1:$XFD$1,0)))</f>
        <v>77335.429999999993</v>
      </c>
      <c r="F36" s="6">
        <f ca="1">SUMIF('Receita Arrecadada'!$A$2:$A$1048576,RCL!$B36,OFFSET('Receita Arrecadada'!$D$2:$D$1048576,,MATCH(RCL!F$10,'Receita Arrecadada'!$E$1:$XFD$1,0)))</f>
        <v>75847.39</v>
      </c>
      <c r="G36" s="6">
        <f ca="1">SUMIF('Receita Arrecadada'!$A$2:$A$1048576,RCL!$B36,OFFSET('Receita Arrecadada'!$D$2:$D$1048576,,MATCH(RCL!G$10,'Receita Arrecadada'!$E$1:$XFD$1,0)))</f>
        <v>240185.71</v>
      </c>
      <c r="H36" s="6">
        <f ca="1">SUMIF('Receita Arrecadada'!$A$2:$A$1048576,RCL!$B36,OFFSET('Receita Arrecadada'!$D$2:$D$1048576,,MATCH(RCL!H$10,'Receita Arrecadada'!$E$1:$XFD$1,0)))</f>
        <v>0</v>
      </c>
      <c r="I36" s="6">
        <f ca="1">SUMIF('Receita Arrecadada'!$A$2:$A$1048576,RCL!$B36,OFFSET('Receita Arrecadada'!$D$2:$D$1048576,,MATCH(RCL!I$10,'Receita Arrecadada'!$E$1:$XFD$1,0)))</f>
        <v>96966.04</v>
      </c>
      <c r="J36" s="6">
        <f ca="1">SUMIF('Receita Arrecadada'!$A$2:$A$1048576,RCL!$B36,OFFSET('Receita Arrecadada'!$D$2:$D$1048576,,MATCH(RCL!J$10,'Receita Arrecadada'!$E$1:$XFD$1,0)))</f>
        <v>94320.73</v>
      </c>
      <c r="K36" s="6">
        <f ca="1">SUMIF('Receita Arrecadada'!$A$2:$A$1048576,RCL!$B36,OFFSET('Receita Arrecadada'!$D$2:$D$1048576,,MATCH(RCL!K$10,'Receita Arrecadada'!$E$1:$XFD$1,0)))</f>
        <v>93586.77</v>
      </c>
      <c r="L36" s="6">
        <f ca="1">SUMIF('Receita Arrecadada'!$A$2:$A$1048576,RCL!$B36,OFFSET('Receita Arrecadada'!$D$2:$D$1048576,,MATCH(RCL!L$10,'Receita Arrecadada'!$E$1:$XFD$1,0)))</f>
        <v>93077.35</v>
      </c>
      <c r="M36" s="6">
        <f ca="1">SUMIF('Receita Arrecadada'!$A$2:$A$1048576,RCL!$B36,OFFSET('Receita Arrecadada'!$D$2:$D$1048576,,MATCH(RCL!M$10,'Receita Arrecadada'!$E$1:$XFD$1,0)))</f>
        <v>96450.49</v>
      </c>
      <c r="N36" s="6">
        <f ca="1">SUMIF('Receita Arrecadada'!$A$2:$A$1048576,RCL!$B36,OFFSET('Receita Arrecadada'!$D$2:$D$1048576,,MATCH(RCL!N$10,'Receita Arrecadada'!$E$1:$XFD$1,0)))</f>
        <v>97902.74</v>
      </c>
      <c r="O36" s="6">
        <f ca="1">SUMIF('Receita Arrecadada'!$A$2:$A$1048576,RCL!$B36,OFFSET('Receita Arrecadada'!$D$2:$D$1048576,,MATCH(RCL!O$10,'Receita Arrecadada'!$E$1:$XFD$1,0)))</f>
        <v>100662.45</v>
      </c>
      <c r="P36" s="6">
        <f ca="1">SUMIF('Receita Arrecadada'!$A$2:$A$1048576,RCL!$B36,OFFSET('Receita Arrecadada'!$D$2:$D$1048576,,MATCH(RCL!P$10,'Receita Arrecadada'!$E$1:$XFD$1,0)))</f>
        <v>100851.53</v>
      </c>
      <c r="Q36" s="6">
        <f t="shared" ca="1" si="1"/>
        <v>1167186.6300000001</v>
      </c>
      <c r="R36" s="6">
        <f>SUMIF('Receita Prevista'!$A$2:$A$1048576,RCL!$B36,'Receita Prevista'!$D$2:$D$1048576)</f>
        <v>1114008</v>
      </c>
    </row>
    <row r="37" spans="2:18" x14ac:dyDescent="0.25">
      <c r="B37" t="s">
        <v>78</v>
      </c>
      <c r="C37" t="s">
        <v>238</v>
      </c>
      <c r="D37" s="12" t="s">
        <v>43</v>
      </c>
      <c r="E37" s="6">
        <f ca="1">SUMIF('Receita Arrecadada'!$A$2:$A$1048576,RCL!$B37,OFFSET('Receita Arrecadada'!$D$2:$D$1048576,,MATCH(RCL!E$10,'Receita Arrecadada'!$E$1:$XFD$1,0)))</f>
        <v>0</v>
      </c>
      <c r="F37" s="6">
        <f ca="1">SUMIF('Receita Arrecadada'!$A$2:$A$1048576,RCL!$B37,OFFSET('Receita Arrecadada'!$D$2:$D$1048576,,MATCH(RCL!F$10,'Receita Arrecadada'!$E$1:$XFD$1,0)))</f>
        <v>0</v>
      </c>
      <c r="G37" s="6">
        <f ca="1">SUMIF('Receita Arrecadada'!$A$2:$A$1048576,RCL!$B37,OFFSET('Receita Arrecadada'!$D$2:$D$1048576,,MATCH(RCL!G$10,'Receita Arrecadada'!$E$1:$XFD$1,0)))</f>
        <v>0</v>
      </c>
      <c r="H37" s="6">
        <f ca="1">SUMIF('Receita Arrecadada'!$A$2:$A$1048576,RCL!$B37,OFFSET('Receita Arrecadada'!$D$2:$D$1048576,,MATCH(RCL!H$10,'Receita Arrecadada'!$E$1:$XFD$1,0)))</f>
        <v>0</v>
      </c>
      <c r="I37" s="6">
        <f ca="1">SUMIF('Receita Arrecadada'!$A$2:$A$1048576,RCL!$B37,OFFSET('Receita Arrecadada'!$D$2:$D$1048576,,MATCH(RCL!I$10,'Receita Arrecadada'!$E$1:$XFD$1,0)))</f>
        <v>0</v>
      </c>
      <c r="J37" s="6">
        <f ca="1">SUMIF('Receita Arrecadada'!$A$2:$A$1048576,RCL!$B37,OFFSET('Receita Arrecadada'!$D$2:$D$1048576,,MATCH(RCL!J$10,'Receita Arrecadada'!$E$1:$XFD$1,0)))</f>
        <v>0</v>
      </c>
      <c r="K37" s="6">
        <f ca="1">SUMIF('Receita Arrecadada'!$A$2:$A$1048576,RCL!$B37,OFFSET('Receita Arrecadada'!$D$2:$D$1048576,,MATCH(RCL!K$10,'Receita Arrecadada'!$E$1:$XFD$1,0)))</f>
        <v>0</v>
      </c>
      <c r="L37" s="6">
        <f ca="1">SUMIF('Receita Arrecadada'!$A$2:$A$1048576,RCL!$B37,OFFSET('Receita Arrecadada'!$D$2:$D$1048576,,MATCH(RCL!L$10,'Receita Arrecadada'!$E$1:$XFD$1,0)))</f>
        <v>0</v>
      </c>
      <c r="M37" s="6">
        <f ca="1">SUMIF('Receita Arrecadada'!$A$2:$A$1048576,RCL!$B37,OFFSET('Receita Arrecadada'!$D$2:$D$1048576,,MATCH(RCL!M$10,'Receita Arrecadada'!$E$1:$XFD$1,0)))</f>
        <v>0</v>
      </c>
      <c r="N37" s="6">
        <f ca="1">SUMIF('Receita Arrecadada'!$A$2:$A$1048576,RCL!$B37,OFFSET('Receita Arrecadada'!$D$2:$D$1048576,,MATCH(RCL!N$10,'Receita Arrecadada'!$E$1:$XFD$1,0)))</f>
        <v>0</v>
      </c>
      <c r="O37" s="6">
        <f ca="1">SUMIF('Receita Arrecadada'!$A$2:$A$1048576,RCL!$B37,OFFSET('Receita Arrecadada'!$D$2:$D$1048576,,MATCH(RCL!O$10,'Receita Arrecadada'!$E$1:$XFD$1,0)))</f>
        <v>0</v>
      </c>
      <c r="P37" s="6">
        <f ca="1">SUMIF('Receita Arrecadada'!$A$2:$A$1048576,RCL!$B37,OFFSET('Receita Arrecadada'!$D$2:$D$1048576,,MATCH(RCL!P$10,'Receita Arrecadada'!$E$1:$XFD$1,0)))</f>
        <v>0</v>
      </c>
      <c r="Q37" s="6">
        <f t="shared" ca="1" si="1"/>
        <v>0</v>
      </c>
      <c r="R37" s="6">
        <f>SUMIF('Receita Prevista'!$A$2:$A$1048576,RCL!$B37,'Receita Prevista'!$D$2:$D$1048576)</f>
        <v>0</v>
      </c>
    </row>
    <row r="38" spans="2:18" x14ac:dyDescent="0.25">
      <c r="B38" t="s">
        <v>79</v>
      </c>
      <c r="C38" t="s">
        <v>238</v>
      </c>
      <c r="D38" s="12" t="s">
        <v>44</v>
      </c>
      <c r="E38" s="6">
        <f ca="1">SUMIF('Receita Arrecadada'!$A$2:$A$1048576,RCL!$B38,OFFSET('Receita Arrecadada'!$D$2:$D$1048576,,MATCH(RCL!E$10,'Receita Arrecadada'!$E$1:$XFD$1,0)))</f>
        <v>-196500.1</v>
      </c>
      <c r="F38" s="6">
        <f ca="1">SUMIF('Receita Arrecadada'!$A$2:$A$1048576,RCL!$B38,OFFSET('Receita Arrecadada'!$D$2:$D$1048576,,MATCH(RCL!F$10,'Receita Arrecadada'!$E$1:$XFD$1,0)))</f>
        <v>525048.16</v>
      </c>
      <c r="G38" s="6">
        <f ca="1">SUMIF('Receita Arrecadada'!$A$2:$A$1048576,RCL!$B38,OFFSET('Receita Arrecadada'!$D$2:$D$1048576,,MATCH(RCL!G$10,'Receita Arrecadada'!$E$1:$XFD$1,0)))</f>
        <v>262923.23</v>
      </c>
      <c r="H38" s="6">
        <f ca="1">SUMIF('Receita Arrecadada'!$A$2:$A$1048576,RCL!$B38,OFFSET('Receita Arrecadada'!$D$2:$D$1048576,,MATCH(RCL!H$10,'Receita Arrecadada'!$E$1:$XFD$1,0)))</f>
        <v>62803.12</v>
      </c>
      <c r="I38" s="6">
        <f ca="1">SUMIF('Receita Arrecadada'!$A$2:$A$1048576,RCL!$B38,OFFSET('Receita Arrecadada'!$D$2:$D$1048576,,MATCH(RCL!I$10,'Receita Arrecadada'!$E$1:$XFD$1,0)))</f>
        <v>247516.97</v>
      </c>
      <c r="J38" s="6">
        <f ca="1">SUMIF('Receita Arrecadada'!$A$2:$A$1048576,RCL!$B38,OFFSET('Receita Arrecadada'!$D$2:$D$1048576,,MATCH(RCL!J$10,'Receita Arrecadada'!$E$1:$XFD$1,0)))</f>
        <v>460786.39</v>
      </c>
      <c r="K38" s="6">
        <f ca="1">SUMIF('Receita Arrecadada'!$A$2:$A$1048576,RCL!$B38,OFFSET('Receita Arrecadada'!$D$2:$D$1048576,,MATCH(RCL!K$10,'Receita Arrecadada'!$E$1:$XFD$1,0)))</f>
        <v>255929.16</v>
      </c>
      <c r="L38" s="6">
        <f ca="1">SUMIF('Receita Arrecadada'!$A$2:$A$1048576,RCL!$B38,OFFSET('Receita Arrecadada'!$D$2:$D$1048576,,MATCH(RCL!L$10,'Receita Arrecadada'!$E$1:$XFD$1,0)))</f>
        <v>259413.06</v>
      </c>
      <c r="M38" s="6">
        <f ca="1">SUMIF('Receita Arrecadada'!$A$2:$A$1048576,RCL!$B38,OFFSET('Receita Arrecadada'!$D$2:$D$1048576,,MATCH(RCL!M$10,'Receita Arrecadada'!$E$1:$XFD$1,0)))</f>
        <v>175080.03</v>
      </c>
      <c r="N38" s="6">
        <f ca="1">SUMIF('Receita Arrecadada'!$A$2:$A$1048576,RCL!$B38,OFFSET('Receita Arrecadada'!$D$2:$D$1048576,,MATCH(RCL!N$10,'Receita Arrecadada'!$E$1:$XFD$1,0)))</f>
        <v>109849.8</v>
      </c>
      <c r="O38" s="6">
        <f ca="1">SUMIF('Receita Arrecadada'!$A$2:$A$1048576,RCL!$B38,OFFSET('Receita Arrecadada'!$D$2:$D$1048576,,MATCH(RCL!O$10,'Receita Arrecadada'!$E$1:$XFD$1,0)))</f>
        <v>221582.80000000002</v>
      </c>
      <c r="P38" s="6">
        <f ca="1">SUMIF('Receita Arrecadada'!$A$2:$A$1048576,RCL!$B38,OFFSET('Receita Arrecadada'!$D$2:$D$1048576,,MATCH(RCL!P$10,'Receita Arrecadada'!$E$1:$XFD$1,0)))</f>
        <v>262003.23</v>
      </c>
      <c r="Q38" s="6">
        <f t="shared" ca="1" si="1"/>
        <v>2646435.8499999996</v>
      </c>
      <c r="R38" s="6">
        <f>SUMIF('Receita Prevista'!$A$2:$A$1048576,RCL!$B38,'Receita Prevista'!$D$2:$D$1048576)</f>
        <v>1561943</v>
      </c>
    </row>
    <row r="39" spans="2:18" x14ac:dyDescent="0.25">
      <c r="B39" t="s">
        <v>80</v>
      </c>
      <c r="C39" t="s">
        <v>242</v>
      </c>
      <c r="D39" s="14" t="s">
        <v>45</v>
      </c>
      <c r="E39" s="8">
        <f ca="1">SUMIF('Receita Arrecadada'!$A$2:$A$1048576,RCL!$B39,OFFSET('Receita Arrecadada'!$D$2:$D$1048576,,MATCH(RCL!E$10,'Receita Arrecadada'!$E$1:$XFD$1,0)))*-1</f>
        <v>411424.48</v>
      </c>
      <c r="F39" s="8">
        <f ca="1">SUMIF('Receita Arrecadada'!$A$2:$A$1048576,RCL!$B39,OFFSET('Receita Arrecadada'!$D$2:$D$1048576,,MATCH(RCL!F$10,'Receita Arrecadada'!$E$1:$XFD$1,0)))*-1</f>
        <v>460590.67</v>
      </c>
      <c r="G39" s="8">
        <f ca="1">SUMIF('Receita Arrecadada'!$A$2:$A$1048576,RCL!$B39,OFFSET('Receita Arrecadada'!$D$2:$D$1048576,,MATCH(RCL!G$10,'Receita Arrecadada'!$E$1:$XFD$1,0)))*-1</f>
        <v>523800.16</v>
      </c>
      <c r="H39" s="8">
        <f ca="1">SUMIF('Receita Arrecadada'!$A$2:$A$1048576,RCL!$B39,OFFSET('Receita Arrecadada'!$D$2:$D$1048576,,MATCH(RCL!H$10,'Receita Arrecadada'!$E$1:$XFD$1,0)))*-1</f>
        <v>418455.2</v>
      </c>
      <c r="I39" s="8">
        <f ca="1">SUMIF('Receita Arrecadada'!$A$2:$A$1048576,RCL!$B39,OFFSET('Receita Arrecadada'!$D$2:$D$1048576,,MATCH(RCL!I$10,'Receita Arrecadada'!$E$1:$XFD$1,0)))*-1</f>
        <v>503045.06</v>
      </c>
      <c r="J39" s="8">
        <f ca="1">SUMIF('Receita Arrecadada'!$A$2:$A$1048576,RCL!$B39,OFFSET('Receita Arrecadada'!$D$2:$D$1048576,,MATCH(RCL!J$10,'Receita Arrecadada'!$E$1:$XFD$1,0)))*-1</f>
        <v>407436.43</v>
      </c>
      <c r="K39" s="8">
        <f ca="1">SUMIF('Receita Arrecadada'!$A$2:$A$1048576,RCL!$B39,OFFSET('Receita Arrecadada'!$D$2:$D$1048576,,MATCH(RCL!K$10,'Receita Arrecadada'!$E$1:$XFD$1,0)))*-1</f>
        <v>442720.45</v>
      </c>
      <c r="L39" s="8">
        <f ca="1">SUMIF('Receita Arrecadada'!$A$2:$A$1048576,RCL!$B39,OFFSET('Receita Arrecadada'!$D$2:$D$1048576,,MATCH(RCL!L$10,'Receita Arrecadada'!$E$1:$XFD$1,0)))*-1</f>
        <v>501782.22</v>
      </c>
      <c r="M39" s="8">
        <f ca="1">SUMIF('Receita Arrecadada'!$A$2:$A$1048576,RCL!$B39,OFFSET('Receita Arrecadada'!$D$2:$D$1048576,,MATCH(RCL!M$10,'Receita Arrecadada'!$E$1:$XFD$1,0)))*-1</f>
        <v>417136.37</v>
      </c>
      <c r="N39" s="8">
        <f ca="1">SUMIF('Receita Arrecadada'!$A$2:$A$1048576,RCL!$B39,OFFSET('Receita Arrecadada'!$D$2:$D$1048576,,MATCH(RCL!N$10,'Receita Arrecadada'!$E$1:$XFD$1,0)))*-1</f>
        <v>387407.38</v>
      </c>
      <c r="O39" s="8">
        <f ca="1">SUMIF('Receita Arrecadada'!$A$2:$A$1048576,RCL!$B39,OFFSET('Receita Arrecadada'!$D$2:$D$1048576,,MATCH(RCL!O$10,'Receita Arrecadada'!$E$1:$XFD$1,0)))*-1</f>
        <v>420585.09</v>
      </c>
      <c r="P39" s="8">
        <f ca="1">SUMIF('Receita Arrecadada'!$A$2:$A$1048576,RCL!$B39,OFFSET('Receita Arrecadada'!$D$2:$D$1048576,,MATCH(RCL!P$10,'Receita Arrecadada'!$E$1:$XFD$1,0)))*-1</f>
        <v>387033.86</v>
      </c>
      <c r="Q39" s="8">
        <f t="shared" ca="1" si="1"/>
        <v>5281417.37</v>
      </c>
      <c r="R39" s="8">
        <f>SUMIF('Receita Prevista'!$A$2:$A$1048576,RCL!$B39,'Receita Prevista'!$D$2:$D$1048576)</f>
        <v>0</v>
      </c>
    </row>
    <row r="40" spans="2:18" x14ac:dyDescent="0.25">
      <c r="D40" s="1" t="s">
        <v>46</v>
      </c>
      <c r="E40" s="10">
        <f ca="1">E11-E35</f>
        <v>2600443.6399999997</v>
      </c>
      <c r="F40" s="10">
        <f t="shared" ref="F40:R40" ca="1" si="6">F11-F35</f>
        <v>2784284.2300000004</v>
      </c>
      <c r="G40" s="10">
        <f t="shared" ca="1" si="6"/>
        <v>4351301.6100000003</v>
      </c>
      <c r="H40" s="10">
        <f t="shared" ca="1" si="6"/>
        <v>2700638.48</v>
      </c>
      <c r="I40" s="10">
        <f t="shared" ca="1" si="6"/>
        <v>2924913.1399999997</v>
      </c>
      <c r="J40" s="10">
        <f t="shared" ca="1" si="6"/>
        <v>2671585.91</v>
      </c>
      <c r="K40" s="10">
        <f t="shared" ca="1" si="6"/>
        <v>2966041</v>
      </c>
      <c r="L40" s="10">
        <f t="shared" ca="1" si="6"/>
        <v>3597719.0700000003</v>
      </c>
      <c r="M40" s="10">
        <f t="shared" ca="1" si="6"/>
        <v>2994929.1799999997</v>
      </c>
      <c r="N40" s="10">
        <f t="shared" ca="1" si="6"/>
        <v>3726093.1799999997</v>
      </c>
      <c r="O40" s="10">
        <f t="shared" ca="1" si="6"/>
        <v>2944617.6500000004</v>
      </c>
      <c r="P40" s="10">
        <f t="shared" ca="1" si="6"/>
        <v>2855031.3299999996</v>
      </c>
      <c r="Q40" s="10">
        <f t="shared" ca="1" si="1"/>
        <v>37117598.420000002</v>
      </c>
      <c r="R40" s="10">
        <f t="shared" si="6"/>
        <v>39991012.120000005</v>
      </c>
    </row>
    <row r="41" spans="2:18" ht="29.25" customHeight="1" x14ac:dyDescent="0.25">
      <c r="B41" t="s">
        <v>81</v>
      </c>
      <c r="C41" t="s">
        <v>238</v>
      </c>
      <c r="D41" s="2" t="s">
        <v>47</v>
      </c>
      <c r="E41" s="9">
        <f ca="1">SUMIF('Receita Arrecadada'!$A$2:$A$1048576,RCL!$B41,OFFSET('Receita Arrecadada'!$D$2:$D$1048576,,MATCH(RCL!E$10,'Receita Arrecadada'!$E$1:$XFD$1,0)))</f>
        <v>0</v>
      </c>
      <c r="F41" s="9">
        <f ca="1">SUMIF('Receita Arrecadada'!$A$2:$A$1048576,RCL!$B41,OFFSET('Receita Arrecadada'!$D$2:$D$1048576,,MATCH(RCL!F$10,'Receita Arrecadada'!$E$1:$XFD$1,0)))</f>
        <v>0</v>
      </c>
      <c r="G41" s="9">
        <f ca="1">SUMIF('Receita Arrecadada'!$A$2:$A$1048576,RCL!$B41,OFFSET('Receita Arrecadada'!$D$2:$D$1048576,,MATCH(RCL!G$10,'Receita Arrecadada'!$E$1:$XFD$1,0)))</f>
        <v>100000</v>
      </c>
      <c r="H41" s="9">
        <f ca="1">SUMIF('Receita Arrecadada'!$A$2:$A$1048576,RCL!$B41,OFFSET('Receita Arrecadada'!$D$2:$D$1048576,,MATCH(RCL!H$10,'Receita Arrecadada'!$E$1:$XFD$1,0)))</f>
        <v>0</v>
      </c>
      <c r="I41" s="9">
        <f ca="1">SUMIF('Receita Arrecadada'!$A$2:$A$1048576,RCL!$B41,OFFSET('Receita Arrecadada'!$D$2:$D$1048576,,MATCH(RCL!I$10,'Receita Arrecadada'!$E$1:$XFD$1,0)))</f>
        <v>0</v>
      </c>
      <c r="J41" s="9">
        <f ca="1">SUMIF('Receita Arrecadada'!$A$2:$A$1048576,RCL!$B41,OFFSET('Receita Arrecadada'!$D$2:$D$1048576,,MATCH(RCL!J$10,'Receita Arrecadada'!$E$1:$XFD$1,0)))</f>
        <v>0</v>
      </c>
      <c r="K41" s="9">
        <f ca="1">SUMIF('Receita Arrecadada'!$A$2:$A$1048576,RCL!$B41,OFFSET('Receita Arrecadada'!$D$2:$D$1048576,,MATCH(RCL!K$10,'Receita Arrecadada'!$E$1:$XFD$1,0)))</f>
        <v>0</v>
      </c>
      <c r="L41" s="9">
        <f ca="1">SUMIF('Receita Arrecadada'!$A$2:$A$1048576,RCL!$B41,OFFSET('Receita Arrecadada'!$D$2:$D$1048576,,MATCH(RCL!L$10,'Receita Arrecadada'!$E$1:$XFD$1,0)))</f>
        <v>0</v>
      </c>
      <c r="M41" s="9">
        <f ca="1">SUMIF('Receita Arrecadada'!$A$2:$A$1048576,RCL!$B41,OFFSET('Receita Arrecadada'!$D$2:$D$1048576,,MATCH(RCL!M$10,'Receita Arrecadada'!$E$1:$XFD$1,0)))</f>
        <v>80000</v>
      </c>
      <c r="N41" s="9">
        <f ca="1">SUMIF('Receita Arrecadada'!$A$2:$A$1048576,RCL!$B41,OFFSET('Receita Arrecadada'!$D$2:$D$1048576,,MATCH(RCL!N$10,'Receita Arrecadada'!$E$1:$XFD$1,0)))</f>
        <v>0</v>
      </c>
      <c r="O41" s="9">
        <f ca="1">SUMIF('Receita Arrecadada'!$A$2:$A$1048576,RCL!$B41,OFFSET('Receita Arrecadada'!$D$2:$D$1048576,,MATCH(RCL!O$10,'Receita Arrecadada'!$E$1:$XFD$1,0)))</f>
        <v>0</v>
      </c>
      <c r="P41" s="9">
        <f ca="1">SUMIF('Receita Arrecadada'!$A$2:$A$1048576,RCL!$B41,OFFSET('Receita Arrecadada'!$D$2:$D$1048576,,MATCH(RCL!P$10,'Receita Arrecadada'!$E$1:$XFD$1,0)))</f>
        <v>0</v>
      </c>
      <c r="Q41" s="9">
        <f t="shared" ca="1" si="1"/>
        <v>180000</v>
      </c>
      <c r="R41" s="9">
        <f>SUMIF('Receita Prevista'!$A$2:$A$1048576,RCL!$B41,'Receita Prevista'!$D$2:$D$1048576)</f>
        <v>0</v>
      </c>
    </row>
    <row r="42" spans="2:18" ht="30.75" customHeight="1" x14ac:dyDescent="0.25">
      <c r="D42" s="11" t="s">
        <v>48</v>
      </c>
      <c r="E42" s="10">
        <f ca="1">E40-E41</f>
        <v>2600443.6399999997</v>
      </c>
      <c r="F42" s="10">
        <f t="shared" ref="F42:R42" ca="1" si="7">F40-F41</f>
        <v>2784284.2300000004</v>
      </c>
      <c r="G42" s="10">
        <f t="shared" ca="1" si="7"/>
        <v>4251301.6100000003</v>
      </c>
      <c r="H42" s="10">
        <f t="shared" ca="1" si="7"/>
        <v>2700638.48</v>
      </c>
      <c r="I42" s="10">
        <f t="shared" ca="1" si="7"/>
        <v>2924913.1399999997</v>
      </c>
      <c r="J42" s="10">
        <f t="shared" ca="1" si="7"/>
        <v>2671585.91</v>
      </c>
      <c r="K42" s="10">
        <f t="shared" ca="1" si="7"/>
        <v>2966041</v>
      </c>
      <c r="L42" s="10">
        <f t="shared" ca="1" si="7"/>
        <v>3597719.0700000003</v>
      </c>
      <c r="M42" s="10">
        <f t="shared" ca="1" si="7"/>
        <v>2914929.1799999997</v>
      </c>
      <c r="N42" s="10">
        <f t="shared" ca="1" si="7"/>
        <v>3726093.1799999997</v>
      </c>
      <c r="O42" s="10">
        <f t="shared" ca="1" si="7"/>
        <v>2944617.6500000004</v>
      </c>
      <c r="P42" s="10">
        <f t="shared" ca="1" si="7"/>
        <v>2855031.3299999996</v>
      </c>
      <c r="Q42" s="10">
        <f t="shared" ca="1" si="1"/>
        <v>36937598.420000002</v>
      </c>
      <c r="R42" s="10">
        <f t="shared" si="7"/>
        <v>39991012.120000005</v>
      </c>
    </row>
    <row r="43" spans="2:18" ht="30.75" customHeight="1" x14ac:dyDescent="0.25">
      <c r="B43" t="s">
        <v>82</v>
      </c>
      <c r="C43" t="s">
        <v>238</v>
      </c>
      <c r="D43" s="2" t="s">
        <v>49</v>
      </c>
      <c r="E43" s="9">
        <f ca="1">SUMIF('Receita Arrecadada'!$A$2:$A$1048576,RCL!$B43,OFFSET('Receita Arrecadada'!$D$2:$D$1048576,,MATCH(RCL!E$10,'Receita Arrecadada'!$E$1:$XFD$1,0)))</f>
        <v>0</v>
      </c>
      <c r="F43" s="9">
        <f ca="1">SUMIF('Receita Arrecadada'!$A$2:$A$1048576,RCL!$B43,OFFSET('Receita Arrecadada'!$D$2:$D$1048576,,MATCH(RCL!F$10,'Receita Arrecadada'!$E$1:$XFD$1,0)))</f>
        <v>0</v>
      </c>
      <c r="G43" s="9">
        <f ca="1">SUMIF('Receita Arrecadada'!$A$2:$A$1048576,RCL!$B43,OFFSET('Receita Arrecadada'!$D$2:$D$1048576,,MATCH(RCL!G$10,'Receita Arrecadada'!$E$1:$XFD$1,0)))</f>
        <v>0</v>
      </c>
      <c r="H43" s="9">
        <f ca="1">SUMIF('Receita Arrecadada'!$A$2:$A$1048576,RCL!$B43,OFFSET('Receita Arrecadada'!$D$2:$D$1048576,,MATCH(RCL!H$10,'Receita Arrecadada'!$E$1:$XFD$1,0)))</f>
        <v>0</v>
      </c>
      <c r="I43" s="9">
        <f ca="1">SUMIF('Receita Arrecadada'!$A$2:$A$1048576,RCL!$B43,OFFSET('Receita Arrecadada'!$D$2:$D$1048576,,MATCH(RCL!I$10,'Receita Arrecadada'!$E$1:$XFD$1,0)))</f>
        <v>0</v>
      </c>
      <c r="J43" s="9">
        <f ca="1">SUMIF('Receita Arrecadada'!$A$2:$A$1048576,RCL!$B43,OFFSET('Receita Arrecadada'!$D$2:$D$1048576,,MATCH(RCL!J$10,'Receita Arrecadada'!$E$1:$XFD$1,0)))</f>
        <v>0</v>
      </c>
      <c r="K43" s="9">
        <f ca="1">SUMIF('Receita Arrecadada'!$A$2:$A$1048576,RCL!$B43,OFFSET('Receita Arrecadada'!$D$2:$D$1048576,,MATCH(RCL!K$10,'Receita Arrecadada'!$E$1:$XFD$1,0)))</f>
        <v>0</v>
      </c>
      <c r="L43" s="9">
        <f ca="1">SUMIF('Receita Arrecadada'!$A$2:$A$1048576,RCL!$B43,OFFSET('Receita Arrecadada'!$D$2:$D$1048576,,MATCH(RCL!L$10,'Receita Arrecadada'!$E$1:$XFD$1,0)))</f>
        <v>0</v>
      </c>
      <c r="M43" s="9">
        <f ca="1">SUMIF('Receita Arrecadada'!$A$2:$A$1048576,RCL!$B43,OFFSET('Receita Arrecadada'!$D$2:$D$1048576,,MATCH(RCL!M$10,'Receita Arrecadada'!$E$1:$XFD$1,0)))</f>
        <v>0</v>
      </c>
      <c r="N43" s="9">
        <f ca="1">SUMIF('Receita Arrecadada'!$A$2:$A$1048576,RCL!$B43,OFFSET('Receita Arrecadada'!$D$2:$D$1048576,,MATCH(RCL!N$10,'Receita Arrecadada'!$E$1:$XFD$1,0)))</f>
        <v>0</v>
      </c>
      <c r="O43" s="9">
        <f ca="1">SUMIF('Receita Arrecadada'!$A$2:$A$1048576,RCL!$B43,OFFSET('Receita Arrecadada'!$D$2:$D$1048576,,MATCH(RCL!O$10,'Receita Arrecadada'!$E$1:$XFD$1,0)))</f>
        <v>0</v>
      </c>
      <c r="P43" s="9">
        <f ca="1">SUMIF('Receita Arrecadada'!$A$2:$A$1048576,RCL!$B43,OFFSET('Receita Arrecadada'!$D$2:$D$1048576,,MATCH(RCL!P$10,'Receita Arrecadada'!$E$1:$XFD$1,0)))</f>
        <v>0</v>
      </c>
      <c r="Q43" s="9">
        <f t="shared" ca="1" si="1"/>
        <v>0</v>
      </c>
      <c r="R43" s="9">
        <f>SUMIF('Receita Prevista'!$A$2:$A$1048576,RCL!$B43,'Receita Prevista'!$D$2:$D$1048576)</f>
        <v>0</v>
      </c>
    </row>
    <row r="44" spans="2:18" ht="30.75" customHeight="1" x14ac:dyDescent="0.25">
      <c r="D44" s="11" t="s">
        <v>50</v>
      </c>
      <c r="E44" s="10">
        <f ca="1">E42-E43</f>
        <v>2600443.6399999997</v>
      </c>
      <c r="F44" s="10">
        <f t="shared" ref="F44:R44" ca="1" si="8">F42-F43</f>
        <v>2784284.2300000004</v>
      </c>
      <c r="G44" s="10">
        <f t="shared" ca="1" si="8"/>
        <v>4251301.6100000003</v>
      </c>
      <c r="H44" s="10">
        <f t="shared" ca="1" si="8"/>
        <v>2700638.48</v>
      </c>
      <c r="I44" s="10">
        <f t="shared" ca="1" si="8"/>
        <v>2924913.1399999997</v>
      </c>
      <c r="J44" s="10">
        <f t="shared" ca="1" si="8"/>
        <v>2671585.91</v>
      </c>
      <c r="K44" s="10">
        <f t="shared" ca="1" si="8"/>
        <v>2966041</v>
      </c>
      <c r="L44" s="10">
        <f t="shared" ca="1" si="8"/>
        <v>3597719.0700000003</v>
      </c>
      <c r="M44" s="10">
        <f t="shared" ca="1" si="8"/>
        <v>2914929.1799999997</v>
      </c>
      <c r="N44" s="10">
        <f t="shared" ca="1" si="8"/>
        <v>3726093.1799999997</v>
      </c>
      <c r="O44" s="10">
        <f t="shared" ca="1" si="8"/>
        <v>2944617.6500000004</v>
      </c>
      <c r="P44" s="10">
        <f t="shared" ca="1" si="8"/>
        <v>2855031.3299999996</v>
      </c>
      <c r="Q44" s="10">
        <f t="shared" ca="1" si="1"/>
        <v>36937598.420000002</v>
      </c>
      <c r="R44" s="10">
        <f t="shared" si="8"/>
        <v>39991012.120000005</v>
      </c>
    </row>
    <row r="45" spans="2:18" x14ac:dyDescent="0.25">
      <c r="D45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25/10/2022, às 16:31:10</v>
      </c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7" spans="2:18" x14ac:dyDescent="0.25">
      <c r="D47" t="s">
        <v>55</v>
      </c>
    </row>
    <row r="48" spans="2:18" x14ac:dyDescent="0.25"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</sheetData>
  <sheetProtection sheet="1" insertColumns="0" insertRows="0" insertHyperlinks="0" deleteColumns="0" deleteRows="0" sort="0" autoFilter="0" pivotTables="0"/>
  <mergeCells count="11">
    <mergeCell ref="D2:R2"/>
    <mergeCell ref="D3:R3"/>
    <mergeCell ref="D4:R4"/>
    <mergeCell ref="D5:R5"/>
    <mergeCell ref="D48:R48"/>
    <mergeCell ref="D6:R6"/>
    <mergeCell ref="D8:Q8"/>
    <mergeCell ref="R9:R10"/>
    <mergeCell ref="E9:P9"/>
    <mergeCell ref="D9:D10"/>
    <mergeCell ref="D45:R45"/>
  </mergeCells>
  <pageMargins left="0.7" right="0.7" top="0.75" bottom="0.75" header="0.3" footer="0.3"/>
  <pageSetup paperSize="9" scale="4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232A-482E-4AE6-BC6D-44FD6BB42172}">
  <sheetPr codeName="Planilha9">
    <tabColor theme="9" tint="-0.249977111117893"/>
    <pageSetUpPr fitToPage="1"/>
  </sheetPr>
  <dimension ref="B2:Q41"/>
  <sheetViews>
    <sheetView topLeftCell="A13" workbookViewId="0">
      <selection activeCell="C18" sqref="C18"/>
    </sheetView>
  </sheetViews>
  <sheetFormatPr defaultRowHeight="15" x14ac:dyDescent="0.25"/>
  <cols>
    <col min="1" max="1" width="4.140625" customWidth="1"/>
    <col min="2" max="2" width="31.28515625" customWidth="1"/>
    <col min="3" max="3" width="64.28515625" customWidth="1"/>
    <col min="4" max="14" width="12.42578125" bestFit="1" customWidth="1"/>
    <col min="15" max="15" width="13.5703125" bestFit="1" customWidth="1"/>
    <col min="16" max="16" width="18" bestFit="1" customWidth="1"/>
    <col min="17" max="17" width="25.7109375" bestFit="1" customWidth="1"/>
  </cols>
  <sheetData>
    <row r="2" spans="2:17" x14ac:dyDescent="0.25">
      <c r="C2" s="48" t="str">
        <f>paramEnte</f>
        <v>Município de Independência/RS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2:17" x14ac:dyDescent="0.25">
      <c r="C3" s="48" t="str">
        <f>UPPER(paramOrgao)</f>
        <v>PODER EXECUTIVO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2:17" x14ac:dyDescent="0.25">
      <c r="C4" s="48" t="s">
        <v>89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2:17" x14ac:dyDescent="0.25">
      <c r="C5" s="49" t="s">
        <v>92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2:17" x14ac:dyDescent="0.25">
      <c r="C6" s="48" t="s">
        <v>5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2:17" x14ac:dyDescent="0.25">
      <c r="C7" s="48" t="str">
        <f>_xlfn.CONCAT("de ",UPPER(TEXT(D12,"mmmm \d\e aaaa"))," até ",UPPER(TEXT(O12,"mmmm \d\e aaaa")))</f>
        <v>de OUTUBRO DE 2021 até SETEMBRO DE 2022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9" spans="2:17" x14ac:dyDescent="0.25">
      <c r="C9" s="51" t="s">
        <v>93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15" t="s">
        <v>14</v>
      </c>
    </row>
    <row r="10" spans="2:17" ht="30.75" customHeight="1" x14ac:dyDescent="0.25">
      <c r="C10" s="52" t="s">
        <v>94</v>
      </c>
      <c r="D10" s="60" t="s">
        <v>96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spans="2:17" ht="30.75" customHeight="1" x14ac:dyDescent="0.25">
      <c r="C11" s="52"/>
      <c r="D11" s="60" t="s">
        <v>95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 t="s">
        <v>98</v>
      </c>
    </row>
    <row r="12" spans="2:17" ht="45" x14ac:dyDescent="0.25">
      <c r="B12" t="s">
        <v>56</v>
      </c>
      <c r="C12" s="52"/>
      <c r="D12" s="21">
        <f>INDEX('Receita Arrecadada'!$N$1:$XFD$1,MATCH(paramDataBase,'Receita Arrecadada'!$N$1:$XFD$1,0)-11)</f>
        <v>44500</v>
      </c>
      <c r="E12" s="21">
        <f>INDEX('Receita Arrecadada'!$N$1:$XFD$1,MATCH(paramDataBase,'Receita Arrecadada'!$N$1:$XFD$1,0)-10)</f>
        <v>44530</v>
      </c>
      <c r="F12" s="21">
        <f>INDEX('Receita Arrecadada'!$N$1:$XFD$1,MATCH(paramDataBase,'Receita Arrecadada'!$N$1:$XFD$1,0)-9)</f>
        <v>44561</v>
      </c>
      <c r="G12" s="21">
        <f>INDEX('Receita Arrecadada'!$N$1:$XFD$1,MATCH(paramDataBase,'Receita Arrecadada'!$N$1:$XFD$1,0)-8)</f>
        <v>44592</v>
      </c>
      <c r="H12" s="21">
        <f>INDEX('Receita Arrecadada'!$N$1:$XFD$1,MATCH(paramDataBase,'Receita Arrecadada'!$N$1:$XFD$1,0)-7)</f>
        <v>44620</v>
      </c>
      <c r="I12" s="21">
        <f>INDEX('Receita Arrecadada'!$N$1:$XFD$1,MATCH(paramDataBase,'Receita Arrecadada'!$N$1:$XFD$1,0)-6)</f>
        <v>44651</v>
      </c>
      <c r="J12" s="21">
        <f>INDEX('Receita Arrecadada'!$N$1:$XFD$1,MATCH(paramDataBase,'Receita Arrecadada'!$N$1:$XFD$1,0)-5)</f>
        <v>44681</v>
      </c>
      <c r="K12" s="21">
        <f>INDEX('Receita Arrecadada'!$N$1:$XFD$1,MATCH(paramDataBase,'Receita Arrecadada'!$N$1:$XFD$1,0)-4)</f>
        <v>44712</v>
      </c>
      <c r="L12" s="21">
        <f>INDEX('Receita Arrecadada'!$N$1:$XFD$1,MATCH(paramDataBase,'Receita Arrecadada'!$N$1:$XFD$1,0)-3)</f>
        <v>44742</v>
      </c>
      <c r="M12" s="21">
        <f>INDEX('Receita Arrecadada'!$N$1:$XFD$1,MATCH(paramDataBase,'Receita Arrecadada'!$N$1:$XFD$1,0)-2)</f>
        <v>44773</v>
      </c>
      <c r="N12" s="21">
        <f>INDEX('Receita Arrecadada'!$N$1:$XFD$1,MATCH(paramDataBase,'Receita Arrecadada'!$N$1:$XFD$1,0)-1)</f>
        <v>44804</v>
      </c>
      <c r="O12" s="21">
        <f>paramDataBase</f>
        <v>44834</v>
      </c>
      <c r="P12" s="20" t="s">
        <v>97</v>
      </c>
      <c r="Q12" s="60"/>
    </row>
    <row r="13" spans="2:17" x14ac:dyDescent="0.25">
      <c r="C13" s="3" t="s">
        <v>99</v>
      </c>
      <c r="D13" s="5">
        <f ca="1">D14+D17+D20+D21</f>
        <v>1658587.7699999998</v>
      </c>
      <c r="E13" s="5">
        <f t="shared" ref="E13:Q13" ca="1" si="0">E14+E17+E20+E21</f>
        <v>1310320.6500000001</v>
      </c>
      <c r="F13" s="5">
        <f t="shared" ca="1" si="0"/>
        <v>2611091.7499999991</v>
      </c>
      <c r="G13" s="5">
        <f t="shared" ca="1" si="0"/>
        <v>1537539.5499999998</v>
      </c>
      <c r="H13" s="5">
        <f t="shared" ca="1" si="0"/>
        <v>1498895.92</v>
      </c>
      <c r="I13" s="5">
        <f t="shared" ca="1" si="0"/>
        <v>1500290.9100000001</v>
      </c>
      <c r="J13" s="5">
        <f t="shared" ca="1" si="0"/>
        <v>1524820.3599999999</v>
      </c>
      <c r="K13" s="5">
        <f t="shared" ca="1" si="0"/>
        <v>1918727.9900000002</v>
      </c>
      <c r="L13" s="5">
        <f t="shared" ca="1" si="0"/>
        <v>1731085.2899999996</v>
      </c>
      <c r="M13" s="5">
        <f t="shared" ca="1" si="0"/>
        <v>1659174.92</v>
      </c>
      <c r="N13" s="5">
        <f t="shared" ca="1" si="0"/>
        <v>1715011.4800000004</v>
      </c>
      <c r="O13" s="5">
        <f t="shared" ca="1" si="0"/>
        <v>1636482.4400000002</v>
      </c>
      <c r="P13" s="5">
        <f ca="1">SUM(D13:O13)</f>
        <v>20302029.030000001</v>
      </c>
      <c r="Q13" s="5">
        <f t="shared" ca="1" si="0"/>
        <v>0</v>
      </c>
    </row>
    <row r="14" spans="2:17" x14ac:dyDescent="0.25">
      <c r="C14" s="12" t="s">
        <v>100</v>
      </c>
      <c r="D14" s="6">
        <f ca="1">SUM(D15:D16)</f>
        <v>1441456.1199999999</v>
      </c>
      <c r="E14" s="6">
        <f t="shared" ref="E14:Q14" ca="1" si="1">SUM(E15:E16)</f>
        <v>1092246.1000000003</v>
      </c>
      <c r="F14" s="6">
        <f t="shared" ca="1" si="1"/>
        <v>2179292.6599999992</v>
      </c>
      <c r="G14" s="6">
        <f t="shared" ca="1" si="1"/>
        <v>1283183.3999999999</v>
      </c>
      <c r="H14" s="6">
        <f t="shared" ca="1" si="1"/>
        <v>1238624.97</v>
      </c>
      <c r="I14" s="6">
        <f t="shared" ca="1" si="1"/>
        <v>1237238.8700000001</v>
      </c>
      <c r="J14" s="6">
        <f t="shared" ca="1" si="1"/>
        <v>1258792.77</v>
      </c>
      <c r="K14" s="6">
        <f t="shared" ca="1" si="1"/>
        <v>1642539.12</v>
      </c>
      <c r="L14" s="6">
        <f t="shared" ca="1" si="1"/>
        <v>1454896.4199999995</v>
      </c>
      <c r="M14" s="6">
        <f t="shared" ca="1" si="1"/>
        <v>1382986.05</v>
      </c>
      <c r="N14" s="6">
        <f t="shared" ca="1" si="1"/>
        <v>1431372.1700000004</v>
      </c>
      <c r="O14" s="6">
        <f t="shared" ca="1" si="1"/>
        <v>1353907.4700000002</v>
      </c>
      <c r="P14" s="6">
        <f t="shared" ref="P14:P27" ca="1" si="2">SUM(D14:O14)</f>
        <v>16996536.119999997</v>
      </c>
      <c r="Q14" s="6">
        <f t="shared" ca="1" si="1"/>
        <v>0</v>
      </c>
    </row>
    <row r="15" spans="2:17" x14ac:dyDescent="0.25">
      <c r="B15" t="s">
        <v>114</v>
      </c>
      <c r="C15" s="13" t="s">
        <v>101</v>
      </c>
      <c r="D15" s="6">
        <f ca="1">SUMIF('Despesa Liquidada'!$B$2:$B$1048576,DTP!$B15,OFFSET('Despesa Liquidada'!$D$2:$D$1048576,,MATCH(DTP!D$12,'Despesa Liquidada'!$E$1:$XFD$1,0)))</f>
        <v>1184502.5699999998</v>
      </c>
      <c r="E15" s="6">
        <f ca="1">SUMIF('Despesa Liquidada'!$B$2:$B$1048576,DTP!$B15,OFFSET('Despesa Liquidada'!$D$2:$D$1048576,,MATCH(DTP!E$12,'Despesa Liquidada'!$E$1:$XFD$1,0)))</f>
        <v>864420.63000000035</v>
      </c>
      <c r="F15" s="6">
        <f ca="1">SUMIF('Despesa Liquidada'!$B$2:$B$1048576,DTP!$B15,OFFSET('Despesa Liquidada'!$D$2:$D$1048576,,MATCH(DTP!F$12,'Despesa Liquidada'!$E$1:$XFD$1,0)))</f>
        <v>1704851.6599999992</v>
      </c>
      <c r="G15" s="6">
        <f ca="1">SUMIF('Despesa Liquidada'!$B$2:$B$1048576,DTP!$B15,OFFSET('Despesa Liquidada'!$D$2:$D$1048576,,MATCH(DTP!G$12,'Despesa Liquidada'!$E$1:$XFD$1,0)))</f>
        <v>991588.72</v>
      </c>
      <c r="H15" s="6">
        <f ca="1">SUMIF('Despesa Liquidada'!$B$2:$B$1048576,DTP!$B15,OFFSET('Despesa Liquidada'!$D$2:$D$1048576,,MATCH(DTP!H$12,'Despesa Liquidada'!$E$1:$XFD$1,0)))</f>
        <v>950303.53</v>
      </c>
      <c r="I15" s="6">
        <f ca="1">SUMIF('Despesa Liquidada'!$B$2:$B$1048576,DTP!$B15,OFFSET('Despesa Liquidada'!$D$2:$D$1048576,,MATCH(DTP!I$12,'Despesa Liquidada'!$E$1:$XFD$1,0)))</f>
        <v>953442.62000000011</v>
      </c>
      <c r="J15" s="6">
        <f ca="1">SUMIF('Despesa Liquidada'!$B$2:$B$1048576,DTP!$B15,OFFSET('Despesa Liquidada'!$D$2:$D$1048576,,MATCH(DTP!J$12,'Despesa Liquidada'!$E$1:$XFD$1,0)))</f>
        <v>974806.55999999994</v>
      </c>
      <c r="K15" s="6">
        <f ca="1">SUMIF('Despesa Liquidada'!$B$2:$B$1048576,DTP!$B15,OFFSET('Despesa Liquidada'!$D$2:$D$1048576,,MATCH(DTP!K$12,'Despesa Liquidada'!$E$1:$XFD$1,0)))</f>
        <v>1346985.3599999999</v>
      </c>
      <c r="L15" s="6">
        <f ca="1">SUMIF('Despesa Liquidada'!$B$2:$B$1048576,DTP!$B15,OFFSET('Despesa Liquidada'!$D$2:$D$1048576,,MATCH(DTP!L$12,'Despesa Liquidada'!$E$1:$XFD$1,0)))</f>
        <v>1154291.0299999996</v>
      </c>
      <c r="M15" s="6">
        <f ca="1">SUMIF('Despesa Liquidada'!$B$2:$B$1048576,DTP!$B15,OFFSET('Despesa Liquidada'!$D$2:$D$1048576,,MATCH(DTP!M$12,'Despesa Liquidada'!$E$1:$XFD$1,0)))</f>
        <v>1072799.1400000001</v>
      </c>
      <c r="N15" s="6">
        <f ca="1">SUMIF('Despesa Liquidada'!$B$2:$B$1048576,DTP!$B15,OFFSET('Despesa Liquidada'!$D$2:$D$1048576,,MATCH(DTP!N$12,'Despesa Liquidada'!$E$1:$XFD$1,0)))</f>
        <v>1108023.5800000003</v>
      </c>
      <c r="O15" s="6">
        <f ca="1">SUMIF('Despesa Liquidada'!$B$2:$B$1048576,DTP!$B15,OFFSET('Despesa Liquidada'!$D$2:$D$1048576,,MATCH(DTP!O$12,'Despesa Liquidada'!$E$1:$XFD$1,0)))</f>
        <v>1049972.1500000001</v>
      </c>
      <c r="P15" s="6">
        <f t="shared" ca="1" si="2"/>
        <v>13355987.549999999</v>
      </c>
      <c r="Q15" s="6">
        <f ca="1">IFERROR(SUMIF('RP Não Processados'!$B$2:$B$1048576,DTP!$B15,OFFSET('RP Não Processados'!$D$2:$D$1048576,,MATCH(DTP!O$12,'RP Não Processados'!$E$1:$XFD$1,0))),0)</f>
        <v>0</v>
      </c>
    </row>
    <row r="16" spans="2:17" x14ac:dyDescent="0.25">
      <c r="B16" t="s">
        <v>115</v>
      </c>
      <c r="C16" s="13" t="s">
        <v>102</v>
      </c>
      <c r="D16" s="6">
        <f ca="1">SUMIF('Despesa Liquidada'!$B$2:$B$1048576,DTP!$B16,OFFSET('Despesa Liquidada'!$D$2:$D$1048576,,MATCH(DTP!D$12,'Despesa Liquidada'!$E$1:$XFD$1,0)))</f>
        <v>256953.55</v>
      </c>
      <c r="E16" s="6">
        <f ca="1">SUMIF('Despesa Liquidada'!$B$2:$B$1048576,DTP!$B16,OFFSET('Despesa Liquidada'!$D$2:$D$1048576,,MATCH(DTP!E$12,'Despesa Liquidada'!$E$1:$XFD$1,0)))</f>
        <v>227825.46999999991</v>
      </c>
      <c r="F16" s="6">
        <f ca="1">SUMIF('Despesa Liquidada'!$B$2:$B$1048576,DTP!$B16,OFFSET('Despesa Liquidada'!$D$2:$D$1048576,,MATCH(DTP!F$12,'Despesa Liquidada'!$E$1:$XFD$1,0)))</f>
        <v>474440.99999999994</v>
      </c>
      <c r="G16" s="6">
        <f ca="1">SUMIF('Despesa Liquidada'!$B$2:$B$1048576,DTP!$B16,OFFSET('Despesa Liquidada'!$D$2:$D$1048576,,MATCH(DTP!G$12,'Despesa Liquidada'!$E$1:$XFD$1,0)))</f>
        <v>291594.68</v>
      </c>
      <c r="H16" s="6">
        <f ca="1">SUMIF('Despesa Liquidada'!$B$2:$B$1048576,DTP!$B16,OFFSET('Despesa Liquidada'!$D$2:$D$1048576,,MATCH(DTP!H$12,'Despesa Liquidada'!$E$1:$XFD$1,0)))</f>
        <v>288321.43999999989</v>
      </c>
      <c r="I16" s="6">
        <f ca="1">SUMIF('Despesa Liquidada'!$B$2:$B$1048576,DTP!$B16,OFFSET('Despesa Liquidada'!$D$2:$D$1048576,,MATCH(DTP!I$12,'Despesa Liquidada'!$E$1:$XFD$1,0)))</f>
        <v>283796.25</v>
      </c>
      <c r="J16" s="6">
        <f ca="1">SUMIF('Despesa Liquidada'!$B$2:$B$1048576,DTP!$B16,OFFSET('Despesa Liquidada'!$D$2:$D$1048576,,MATCH(DTP!J$12,'Despesa Liquidada'!$E$1:$XFD$1,0)))</f>
        <v>283986.21000000002</v>
      </c>
      <c r="K16" s="6">
        <f ca="1">SUMIF('Despesa Liquidada'!$B$2:$B$1048576,DTP!$B16,OFFSET('Despesa Liquidada'!$D$2:$D$1048576,,MATCH(DTP!K$12,'Despesa Liquidada'!$E$1:$XFD$1,0)))</f>
        <v>295553.76000000013</v>
      </c>
      <c r="L16" s="6">
        <f ca="1">SUMIF('Despesa Liquidada'!$B$2:$B$1048576,DTP!$B16,OFFSET('Despesa Liquidada'!$D$2:$D$1048576,,MATCH(DTP!L$12,'Despesa Liquidada'!$E$1:$XFD$1,0)))</f>
        <v>300605.38999999996</v>
      </c>
      <c r="M16" s="6">
        <f ca="1">SUMIF('Despesa Liquidada'!$B$2:$B$1048576,DTP!$B16,OFFSET('Despesa Liquidada'!$D$2:$D$1048576,,MATCH(DTP!M$12,'Despesa Liquidada'!$E$1:$XFD$1,0)))</f>
        <v>310186.90999999992</v>
      </c>
      <c r="N16" s="6">
        <f ca="1">SUMIF('Despesa Liquidada'!$B$2:$B$1048576,DTP!$B16,OFFSET('Despesa Liquidada'!$D$2:$D$1048576,,MATCH(DTP!N$12,'Despesa Liquidada'!$E$1:$XFD$1,0)))</f>
        <v>323348.59000000003</v>
      </c>
      <c r="O16" s="6">
        <f ca="1">SUMIF('Despesa Liquidada'!$B$2:$B$1048576,DTP!$B16,OFFSET('Despesa Liquidada'!$D$2:$D$1048576,,MATCH(DTP!O$12,'Despesa Liquidada'!$E$1:$XFD$1,0)))</f>
        <v>303935.32</v>
      </c>
      <c r="P16" s="6">
        <f t="shared" ca="1" si="2"/>
        <v>3640548.57</v>
      </c>
      <c r="Q16" s="6">
        <f ca="1">IFERROR(SUMIF('RP Não Processados'!$B$2:$B$1048576,DTP!$B16,OFFSET('RP Não Processados'!$D$2:$D$1048576,,MATCH(DTP!O$12,'RP Não Processados'!$E$1:$XFD$1,0))),0)</f>
        <v>0</v>
      </c>
    </row>
    <row r="17" spans="2:17" x14ac:dyDescent="0.25">
      <c r="C17" s="12" t="s">
        <v>103</v>
      </c>
      <c r="D17" s="6">
        <f ca="1">SUM(D18:D19)</f>
        <v>216049.26</v>
      </c>
      <c r="E17" s="6">
        <f t="shared" ref="E17:Q17" ca="1" si="3">SUM(E18:E19)</f>
        <v>216992.16</v>
      </c>
      <c r="F17" s="6">
        <f t="shared" ca="1" si="3"/>
        <v>429634.34</v>
      </c>
      <c r="G17" s="6">
        <f t="shared" ca="1" si="3"/>
        <v>254356.14999999997</v>
      </c>
      <c r="H17" s="6">
        <f t="shared" ca="1" si="3"/>
        <v>260270.95</v>
      </c>
      <c r="I17" s="6">
        <f t="shared" ca="1" si="3"/>
        <v>263052.03999999998</v>
      </c>
      <c r="J17" s="6">
        <f t="shared" ca="1" si="3"/>
        <v>266027.58999999997</v>
      </c>
      <c r="K17" s="6">
        <f t="shared" ca="1" si="3"/>
        <v>276188.87</v>
      </c>
      <c r="L17" s="6">
        <f t="shared" ca="1" si="3"/>
        <v>276188.87</v>
      </c>
      <c r="M17" s="6">
        <f t="shared" ca="1" si="3"/>
        <v>276188.87</v>
      </c>
      <c r="N17" s="6">
        <f t="shared" ca="1" si="3"/>
        <v>283639.31</v>
      </c>
      <c r="O17" s="6">
        <f t="shared" ca="1" si="3"/>
        <v>282574.96999999997</v>
      </c>
      <c r="P17" s="6">
        <f t="shared" ca="1" si="2"/>
        <v>3301163.38</v>
      </c>
      <c r="Q17" s="6">
        <f t="shared" ca="1" si="3"/>
        <v>0</v>
      </c>
    </row>
    <row r="18" spans="2:17" x14ac:dyDescent="0.25">
      <c r="B18" t="s">
        <v>116</v>
      </c>
      <c r="C18" s="13" t="s">
        <v>104</v>
      </c>
      <c r="D18" s="6">
        <f ca="1">SUMIF('Despesa Liquidada'!$B$2:$B$1048576,DTP!$B18,OFFSET('Despesa Liquidada'!$D$2:$D$1048576,,MATCH(DTP!D$12,'Despesa Liquidada'!$E$1:$XFD$1,0)))</f>
        <v>166014.42000000001</v>
      </c>
      <c r="E18" s="6">
        <f ca="1">SUMIF('Despesa Liquidada'!$B$2:$B$1048576,DTP!$B18,OFFSET('Despesa Liquidada'!$D$2:$D$1048576,,MATCH(DTP!E$12,'Despesa Liquidada'!$E$1:$XFD$1,0)))</f>
        <v>166957.32</v>
      </c>
      <c r="F18" s="6">
        <f ca="1">SUMIF('Despesa Liquidada'!$B$2:$B$1048576,DTP!$B18,OFFSET('Despesa Liquidada'!$D$2:$D$1048576,,MATCH(DTP!F$12,'Despesa Liquidada'!$E$1:$XFD$1,0)))</f>
        <v>328245.46000000002</v>
      </c>
      <c r="G18" s="6">
        <f ca="1">SUMIF('Despesa Liquidada'!$B$2:$B$1048576,DTP!$B18,OFFSET('Despesa Liquidada'!$D$2:$D$1048576,,MATCH(DTP!G$12,'Despesa Liquidada'!$E$1:$XFD$1,0)))</f>
        <v>197611.78999999998</v>
      </c>
      <c r="H18" s="6">
        <f ca="1">SUMIF('Despesa Liquidada'!$B$2:$B$1048576,DTP!$B18,OFFSET('Despesa Liquidada'!$D$2:$D$1048576,,MATCH(DTP!H$12,'Despesa Liquidada'!$E$1:$XFD$1,0)))</f>
        <v>204738.59000000003</v>
      </c>
      <c r="I18" s="6">
        <f ca="1">SUMIF('Despesa Liquidada'!$B$2:$B$1048576,DTP!$B18,OFFSET('Despesa Liquidada'!$D$2:$D$1048576,,MATCH(DTP!I$12,'Despesa Liquidada'!$E$1:$XFD$1,0)))</f>
        <v>207519.68</v>
      </c>
      <c r="J18" s="6">
        <f ca="1">SUMIF('Despesa Liquidada'!$B$2:$B$1048576,DTP!$B18,OFFSET('Despesa Liquidada'!$D$2:$D$1048576,,MATCH(DTP!J$12,'Despesa Liquidada'!$E$1:$XFD$1,0)))</f>
        <v>210495.22999999998</v>
      </c>
      <c r="K18" s="6">
        <f ca="1">SUMIF('Despesa Liquidada'!$B$2:$B$1048576,DTP!$B18,OFFSET('Despesa Liquidada'!$D$2:$D$1048576,,MATCH(DTP!K$12,'Despesa Liquidada'!$E$1:$XFD$1,0)))</f>
        <v>219805.44</v>
      </c>
      <c r="L18" s="6">
        <f ca="1">SUMIF('Despesa Liquidada'!$B$2:$B$1048576,DTP!$B18,OFFSET('Despesa Liquidada'!$D$2:$D$1048576,,MATCH(DTP!L$12,'Despesa Liquidada'!$E$1:$XFD$1,0)))</f>
        <v>219805.44</v>
      </c>
      <c r="M18" s="6">
        <f ca="1">SUMIF('Despesa Liquidada'!$B$2:$B$1048576,DTP!$B18,OFFSET('Despesa Liquidada'!$D$2:$D$1048576,,MATCH(DTP!M$12,'Despesa Liquidada'!$E$1:$XFD$1,0)))</f>
        <v>219805.44</v>
      </c>
      <c r="N18" s="6">
        <f ca="1">SUMIF('Despesa Liquidada'!$B$2:$B$1048576,DTP!$B18,OFFSET('Despesa Liquidada'!$D$2:$D$1048576,,MATCH(DTP!N$12,'Despesa Liquidada'!$E$1:$XFD$1,0)))</f>
        <v>219805.44</v>
      </c>
      <c r="O18" s="6">
        <f ca="1">SUMIF('Despesa Liquidada'!$B$2:$B$1048576,DTP!$B18,OFFSET('Despesa Liquidada'!$D$2:$D$1048576,,MATCH(DTP!O$12,'Despesa Liquidada'!$E$1:$XFD$1,0)))</f>
        <v>219805.44</v>
      </c>
      <c r="P18" s="6">
        <f t="shared" ca="1" si="2"/>
        <v>2580609.69</v>
      </c>
      <c r="Q18" s="6">
        <f ca="1">IFERROR(SUMIF('RP Não Processados'!$B$2:$B$1048576,DTP!$B18,OFFSET('RP Não Processados'!$D$2:$D$1048576,,MATCH(DTP!O$12,'RP Não Processados'!$E$1:$XFD$1,0))),0)</f>
        <v>0</v>
      </c>
    </row>
    <row r="19" spans="2:17" x14ac:dyDescent="0.25">
      <c r="B19" t="s">
        <v>117</v>
      </c>
      <c r="C19" s="13" t="s">
        <v>105</v>
      </c>
      <c r="D19" s="6">
        <f ca="1">SUMIF('Despesa Liquidada'!$B$2:$B$1048576,DTP!$B19,OFFSET('Despesa Liquidada'!$D$2:$D$1048576,,MATCH(DTP!D$12,'Despesa Liquidada'!$E$1:$XFD$1,0)))</f>
        <v>50034.840000000004</v>
      </c>
      <c r="E19" s="6">
        <f ca="1">SUMIF('Despesa Liquidada'!$B$2:$B$1048576,DTP!$B19,OFFSET('Despesa Liquidada'!$D$2:$D$1048576,,MATCH(DTP!E$12,'Despesa Liquidada'!$E$1:$XFD$1,0)))</f>
        <v>50034.840000000004</v>
      </c>
      <c r="F19" s="6">
        <f ca="1">SUMIF('Despesa Liquidada'!$B$2:$B$1048576,DTP!$B19,OFFSET('Despesa Liquidada'!$D$2:$D$1048576,,MATCH(DTP!F$12,'Despesa Liquidada'!$E$1:$XFD$1,0)))</f>
        <v>101388.88</v>
      </c>
      <c r="G19" s="6">
        <f ca="1">SUMIF('Despesa Liquidada'!$B$2:$B$1048576,DTP!$B19,OFFSET('Despesa Liquidada'!$D$2:$D$1048576,,MATCH(DTP!G$12,'Despesa Liquidada'!$E$1:$XFD$1,0)))</f>
        <v>56744.36</v>
      </c>
      <c r="H19" s="6">
        <f ca="1">SUMIF('Despesa Liquidada'!$B$2:$B$1048576,DTP!$B19,OFFSET('Despesa Liquidada'!$D$2:$D$1048576,,MATCH(DTP!H$12,'Despesa Liquidada'!$E$1:$XFD$1,0)))</f>
        <v>55532.36</v>
      </c>
      <c r="I19" s="6">
        <f ca="1">SUMIF('Despesa Liquidada'!$B$2:$B$1048576,DTP!$B19,OFFSET('Despesa Liquidada'!$D$2:$D$1048576,,MATCH(DTP!I$12,'Despesa Liquidada'!$E$1:$XFD$1,0)))</f>
        <v>55532.36</v>
      </c>
      <c r="J19" s="6">
        <f ca="1">SUMIF('Despesa Liquidada'!$B$2:$B$1048576,DTP!$B19,OFFSET('Despesa Liquidada'!$D$2:$D$1048576,,MATCH(DTP!J$12,'Despesa Liquidada'!$E$1:$XFD$1,0)))</f>
        <v>55532.36</v>
      </c>
      <c r="K19" s="6">
        <f ca="1">SUMIF('Despesa Liquidada'!$B$2:$B$1048576,DTP!$B19,OFFSET('Despesa Liquidada'!$D$2:$D$1048576,,MATCH(DTP!K$12,'Despesa Liquidada'!$E$1:$XFD$1,0)))</f>
        <v>56383.43</v>
      </c>
      <c r="L19" s="6">
        <f ca="1">SUMIF('Despesa Liquidada'!$B$2:$B$1048576,DTP!$B19,OFFSET('Despesa Liquidada'!$D$2:$D$1048576,,MATCH(DTP!L$12,'Despesa Liquidada'!$E$1:$XFD$1,0)))</f>
        <v>56383.43</v>
      </c>
      <c r="M19" s="6">
        <f ca="1">SUMIF('Despesa Liquidada'!$B$2:$B$1048576,DTP!$B19,OFFSET('Despesa Liquidada'!$D$2:$D$1048576,,MATCH(DTP!M$12,'Despesa Liquidada'!$E$1:$XFD$1,0)))</f>
        <v>56383.43</v>
      </c>
      <c r="N19" s="6">
        <f ca="1">SUMIF('Despesa Liquidada'!$B$2:$B$1048576,DTP!$B19,OFFSET('Despesa Liquidada'!$D$2:$D$1048576,,MATCH(DTP!N$12,'Despesa Liquidada'!$E$1:$XFD$1,0)))</f>
        <v>63833.87</v>
      </c>
      <c r="O19" s="6">
        <f ca="1">SUMIF('Despesa Liquidada'!$B$2:$B$1048576,DTP!$B19,OFFSET('Despesa Liquidada'!$D$2:$D$1048576,,MATCH(DTP!O$12,'Despesa Liquidada'!$E$1:$XFD$1,0)))</f>
        <v>62769.53</v>
      </c>
      <c r="P19" s="6">
        <f t="shared" ca="1" si="2"/>
        <v>720553.69000000006</v>
      </c>
      <c r="Q19" s="6">
        <f ca="1">IFERROR(SUMIF('RP Não Processados'!$B$2:$B$1048576,DTP!$B19,OFFSET('RP Não Processados'!$D$2:$D$1048576,,MATCH(DTP!O$12,'RP Não Processados'!$E$1:$XFD$1,0))),0)</f>
        <v>0</v>
      </c>
    </row>
    <row r="20" spans="2:17" ht="30" customHeight="1" x14ac:dyDescent="0.25">
      <c r="B20" t="s">
        <v>118</v>
      </c>
      <c r="C20" s="23" t="s">
        <v>106</v>
      </c>
      <c r="D20" s="6">
        <f ca="1">SUMIF('Despesa Liquidada'!$B$2:$B$1048576,DTP!$B20,OFFSET('Despesa Liquidada'!$D$2:$D$1048576,,MATCH(DTP!D$12,'Despesa Liquidada'!$E$1:$XFD$1,0)))</f>
        <v>1082.3900000000001</v>
      </c>
      <c r="E20" s="6">
        <f ca="1">SUMIF('Despesa Liquidada'!$B$2:$B$1048576,DTP!$B20,OFFSET('Despesa Liquidada'!$D$2:$D$1048576,,MATCH(DTP!E$12,'Despesa Liquidada'!$E$1:$XFD$1,0)))</f>
        <v>1082.3900000000001</v>
      </c>
      <c r="F20" s="6">
        <f ca="1">SUMIF('Despesa Liquidada'!$B$2:$B$1048576,DTP!$B20,OFFSET('Despesa Liquidada'!$D$2:$D$1048576,,MATCH(DTP!F$12,'Despesa Liquidada'!$E$1:$XFD$1,0)))</f>
        <v>2164.75</v>
      </c>
      <c r="G20" s="6">
        <f ca="1">SUMIF('Despesa Liquidada'!$B$2:$B$1048576,DTP!$B20,OFFSET('Despesa Liquidada'!$D$2:$D$1048576,,MATCH(DTP!G$12,'Despesa Liquidada'!$E$1:$XFD$1,0)))</f>
        <v>0</v>
      </c>
      <c r="H20" s="6">
        <f ca="1">SUMIF('Despesa Liquidada'!$B$2:$B$1048576,DTP!$B20,OFFSET('Despesa Liquidada'!$D$2:$D$1048576,,MATCH(DTP!H$12,'Despesa Liquidada'!$E$1:$XFD$1,0)))</f>
        <v>0</v>
      </c>
      <c r="I20" s="6">
        <f ca="1">SUMIF('Despesa Liquidada'!$B$2:$B$1048576,DTP!$B20,OFFSET('Despesa Liquidada'!$D$2:$D$1048576,,MATCH(DTP!I$12,'Despesa Liquidada'!$E$1:$XFD$1,0)))</f>
        <v>0</v>
      </c>
      <c r="J20" s="6">
        <f ca="1">SUMIF('Despesa Liquidada'!$B$2:$B$1048576,DTP!$B20,OFFSET('Despesa Liquidada'!$D$2:$D$1048576,,MATCH(DTP!J$12,'Despesa Liquidada'!$E$1:$XFD$1,0)))</f>
        <v>0</v>
      </c>
      <c r="K20" s="6">
        <f ca="1">SUMIF('Despesa Liquidada'!$B$2:$B$1048576,DTP!$B20,OFFSET('Despesa Liquidada'!$D$2:$D$1048576,,MATCH(DTP!K$12,'Despesa Liquidada'!$E$1:$XFD$1,0)))</f>
        <v>0</v>
      </c>
      <c r="L20" s="6">
        <f ca="1">SUMIF('Despesa Liquidada'!$B$2:$B$1048576,DTP!$B20,OFFSET('Despesa Liquidada'!$D$2:$D$1048576,,MATCH(DTP!L$12,'Despesa Liquidada'!$E$1:$XFD$1,0)))</f>
        <v>0</v>
      </c>
      <c r="M20" s="6">
        <f ca="1">SUMIF('Despesa Liquidada'!$B$2:$B$1048576,DTP!$B20,OFFSET('Despesa Liquidada'!$D$2:$D$1048576,,MATCH(DTP!M$12,'Despesa Liquidada'!$E$1:$XFD$1,0)))</f>
        <v>0</v>
      </c>
      <c r="N20" s="6">
        <f ca="1">SUMIF('Despesa Liquidada'!$B$2:$B$1048576,DTP!$B20,OFFSET('Despesa Liquidada'!$D$2:$D$1048576,,MATCH(DTP!N$12,'Despesa Liquidada'!$E$1:$XFD$1,0)))</f>
        <v>0</v>
      </c>
      <c r="O20" s="6">
        <f ca="1">SUMIF('Despesa Liquidada'!$B$2:$B$1048576,DTP!$B20,OFFSET('Despesa Liquidada'!$D$2:$D$1048576,,MATCH(DTP!O$12,'Despesa Liquidada'!$E$1:$XFD$1,0)))</f>
        <v>0</v>
      </c>
      <c r="P20" s="6">
        <f t="shared" ca="1" si="2"/>
        <v>4329.5300000000007</v>
      </c>
      <c r="Q20" s="6">
        <f ca="1">IFERROR(SUMIF('RP Não Processados'!$B$2:$B$1048576,DTP!$B20,OFFSET('RP Não Processados'!$D$2:$D$1048576,,MATCH(DTP!O$12,'RP Não Processados'!$E$1:$XFD$1,0))),0)</f>
        <v>0</v>
      </c>
    </row>
    <row r="21" spans="2:17" x14ac:dyDescent="0.25">
      <c r="B21" t="s">
        <v>119</v>
      </c>
      <c r="C21" s="12" t="s">
        <v>113</v>
      </c>
      <c r="D21" s="6">
        <f ca="1">SUMIF('Despesa Liquidada'!$B$2:$B$1048576,DTP!$B21,OFFSET('Despesa Liquidada'!$D$2:$D$1048576,,MATCH(DTP!D$12,'Despesa Liquidada'!$E$1:$XFD$1,0)))</f>
        <v>0</v>
      </c>
      <c r="E21" s="6">
        <f ca="1">SUMIF('Despesa Liquidada'!$B$2:$B$1048576,DTP!$B21,OFFSET('Despesa Liquidada'!$D$2:$D$1048576,,MATCH(DTP!E$12,'Despesa Liquidada'!$E$1:$XFD$1,0)))</f>
        <v>0</v>
      </c>
      <c r="F21" s="6">
        <f ca="1">SUMIF('Despesa Liquidada'!$B$2:$B$1048576,DTP!$B21,OFFSET('Despesa Liquidada'!$D$2:$D$1048576,,MATCH(DTP!F$12,'Despesa Liquidada'!$E$1:$XFD$1,0)))</f>
        <v>0</v>
      </c>
      <c r="G21" s="6">
        <f ca="1">SUMIF('Despesa Liquidada'!$B$2:$B$1048576,DTP!$B21,OFFSET('Despesa Liquidada'!$D$2:$D$1048576,,MATCH(DTP!G$12,'Despesa Liquidada'!$E$1:$XFD$1,0)))</f>
        <v>0</v>
      </c>
      <c r="H21" s="6">
        <f ca="1">SUMIF('Despesa Liquidada'!$B$2:$B$1048576,DTP!$B21,OFFSET('Despesa Liquidada'!$D$2:$D$1048576,,MATCH(DTP!H$12,'Despesa Liquidada'!$E$1:$XFD$1,0)))</f>
        <v>0</v>
      </c>
      <c r="I21" s="6">
        <f ca="1">SUMIF('Despesa Liquidada'!$B$2:$B$1048576,DTP!$B21,OFFSET('Despesa Liquidada'!$D$2:$D$1048576,,MATCH(DTP!I$12,'Despesa Liquidada'!$E$1:$XFD$1,0)))</f>
        <v>0</v>
      </c>
      <c r="J21" s="6">
        <f ca="1">SUMIF('Despesa Liquidada'!$B$2:$B$1048576,DTP!$B21,OFFSET('Despesa Liquidada'!$D$2:$D$1048576,,MATCH(DTP!J$12,'Despesa Liquidada'!$E$1:$XFD$1,0)))</f>
        <v>0</v>
      </c>
      <c r="K21" s="6">
        <f ca="1">SUMIF('Despesa Liquidada'!$B$2:$B$1048576,DTP!$B21,OFFSET('Despesa Liquidada'!$D$2:$D$1048576,,MATCH(DTP!K$12,'Despesa Liquidada'!$E$1:$XFD$1,0)))</f>
        <v>0</v>
      </c>
      <c r="L21" s="6">
        <f ca="1">SUMIF('Despesa Liquidada'!$B$2:$B$1048576,DTP!$B21,OFFSET('Despesa Liquidada'!$D$2:$D$1048576,,MATCH(DTP!L$12,'Despesa Liquidada'!$E$1:$XFD$1,0)))</f>
        <v>0</v>
      </c>
      <c r="M21" s="6">
        <f ca="1">SUMIF('Despesa Liquidada'!$B$2:$B$1048576,DTP!$B21,OFFSET('Despesa Liquidada'!$D$2:$D$1048576,,MATCH(DTP!M$12,'Despesa Liquidada'!$E$1:$XFD$1,0)))</f>
        <v>0</v>
      </c>
      <c r="N21" s="6">
        <f ca="1">SUMIF('Despesa Liquidada'!$B$2:$B$1048576,DTP!$B21,OFFSET('Despesa Liquidada'!$D$2:$D$1048576,,MATCH(DTP!N$12,'Despesa Liquidada'!$E$1:$XFD$1,0)))</f>
        <v>0</v>
      </c>
      <c r="O21" s="6">
        <f ca="1">SUMIF('Despesa Liquidada'!$B$2:$B$1048576,DTP!$B21,OFFSET('Despesa Liquidada'!$D$2:$D$1048576,,MATCH(DTP!O$12,'Despesa Liquidada'!$E$1:$XFD$1,0)))</f>
        <v>0</v>
      </c>
      <c r="P21" s="6">
        <f t="shared" ca="1" si="2"/>
        <v>0</v>
      </c>
      <c r="Q21" s="6">
        <f ca="1">IFERROR(SUMIF('RP Não Processados'!$B$2:$B$1048576,DTP!$B21,OFFSET('RP Não Processados'!$D$2:$D$1048576,,MATCH(DTP!O$12,'RP Não Processados'!$E$1:$XFD$1,0))),0)</f>
        <v>0</v>
      </c>
    </row>
    <row r="22" spans="2:17" x14ac:dyDescent="0.25">
      <c r="C22" s="4" t="s">
        <v>107</v>
      </c>
      <c r="D22" s="7">
        <f ca="1">SUM(D23:D26)</f>
        <v>583346.19999999995</v>
      </c>
      <c r="E22" s="7">
        <f t="shared" ref="E22:Q22" ca="1" si="4">SUM(E23:E26)</f>
        <v>233566.08000000002</v>
      </c>
      <c r="F22" s="7">
        <f t="shared" ca="1" si="4"/>
        <v>458390.17000000004</v>
      </c>
      <c r="G22" s="7">
        <f t="shared" ca="1" si="4"/>
        <v>262049.04999999996</v>
      </c>
      <c r="H22" s="7">
        <f t="shared" ca="1" si="4"/>
        <v>271854.28000000003</v>
      </c>
      <c r="I22" s="7">
        <f t="shared" ca="1" si="4"/>
        <v>290150.77999999997</v>
      </c>
      <c r="J22" s="7">
        <f t="shared" ca="1" si="4"/>
        <v>287826.81999999995</v>
      </c>
      <c r="K22" s="7">
        <f t="shared" ca="1" si="4"/>
        <v>616108.77</v>
      </c>
      <c r="L22" s="7">
        <f t="shared" ca="1" si="4"/>
        <v>359663.23</v>
      </c>
      <c r="M22" s="7">
        <f t="shared" ca="1" si="4"/>
        <v>289176.7</v>
      </c>
      <c r="N22" s="7">
        <f t="shared" ca="1" si="4"/>
        <v>310102.36</v>
      </c>
      <c r="O22" s="7">
        <f t="shared" ca="1" si="4"/>
        <v>286772.18999999994</v>
      </c>
      <c r="P22" s="7">
        <f t="shared" ca="1" si="2"/>
        <v>4249006.63</v>
      </c>
      <c r="Q22" s="7">
        <f t="shared" ca="1" si="4"/>
        <v>0</v>
      </c>
    </row>
    <row r="23" spans="2:17" x14ac:dyDescent="0.25">
      <c r="B23" t="s">
        <v>120</v>
      </c>
      <c r="C23" s="12" t="s">
        <v>108</v>
      </c>
      <c r="D23" s="6">
        <f ca="1">SUMIF('Despesa Liquidada'!$C$2:$C$1048576,DTP!$B23,OFFSET('Despesa Liquidada'!$D$2:$D$1048576,,MATCH(DTP!D$12,'Despesa Liquidada'!$E$1:$XFD$1,0)))</f>
        <v>2976.54</v>
      </c>
      <c r="E23" s="6">
        <f ca="1">SUMIF('Despesa Liquidada'!$C$2:$C$1048576,DTP!$B23,OFFSET('Despesa Liquidada'!$D$2:$D$1048576,,MATCH(DTP!E$12,'Despesa Liquidada'!$E$1:$XFD$1,0)))</f>
        <v>16573.919999999998</v>
      </c>
      <c r="F23" s="6">
        <f ca="1">SUMIF('Despesa Liquidada'!$C$2:$C$1048576,DTP!$B23,OFFSET('Despesa Liquidada'!$D$2:$D$1048576,,MATCH(DTP!F$12,'Despesa Liquidada'!$E$1:$XFD$1,0)))</f>
        <v>26913.079999999998</v>
      </c>
      <c r="G23" s="6">
        <f ca="1">SUMIF('Despesa Liquidada'!$C$2:$C$1048576,DTP!$B23,OFFSET('Despesa Liquidada'!$D$2:$D$1048576,,MATCH(DTP!G$12,'Despesa Liquidada'!$E$1:$XFD$1,0)))</f>
        <v>7692.9</v>
      </c>
      <c r="H23" s="6">
        <f ca="1">SUMIF('Despesa Liquidada'!$C$2:$C$1048576,DTP!$B23,OFFSET('Despesa Liquidada'!$D$2:$D$1048576,,MATCH(DTP!H$12,'Despesa Liquidada'!$E$1:$XFD$1,0)))</f>
        <v>11583.33</v>
      </c>
      <c r="I23" s="6">
        <f ca="1">SUMIF('Despesa Liquidada'!$C$2:$C$1048576,DTP!$B23,OFFSET('Despesa Liquidada'!$D$2:$D$1048576,,MATCH(DTP!I$12,'Despesa Liquidada'!$E$1:$XFD$1,0)))</f>
        <v>27098.739999999998</v>
      </c>
      <c r="J23" s="6">
        <f ca="1">SUMIF('Despesa Liquidada'!$C$2:$C$1048576,DTP!$B23,OFFSET('Despesa Liquidada'!$D$2:$D$1048576,,MATCH(DTP!J$12,'Despesa Liquidada'!$E$1:$XFD$1,0)))</f>
        <v>21799.230000000003</v>
      </c>
      <c r="K23" s="6">
        <f ca="1">SUMIF('Despesa Liquidada'!$C$2:$C$1048576,DTP!$B23,OFFSET('Despesa Liquidada'!$D$2:$D$1048576,,MATCH(DTP!K$12,'Despesa Liquidada'!$E$1:$XFD$1,0)))</f>
        <v>0</v>
      </c>
      <c r="L23" s="6">
        <f ca="1">SUMIF('Despesa Liquidada'!$C$2:$C$1048576,DTP!$B23,OFFSET('Despesa Liquidada'!$D$2:$D$1048576,,MATCH(DTP!L$12,'Despesa Liquidada'!$E$1:$XFD$1,0)))</f>
        <v>12488.699999999999</v>
      </c>
      <c r="M23" s="6">
        <f ca="1">SUMIF('Despesa Liquidada'!$C$2:$C$1048576,DTP!$B23,OFFSET('Despesa Liquidada'!$D$2:$D$1048576,,MATCH(DTP!M$12,'Despesa Liquidada'!$E$1:$XFD$1,0)))</f>
        <v>12987.830000000002</v>
      </c>
      <c r="N23" s="6">
        <f ca="1">SUMIF('Despesa Liquidada'!$C$2:$C$1048576,DTP!$B23,OFFSET('Despesa Liquidada'!$D$2:$D$1048576,,MATCH(DTP!N$12,'Despesa Liquidada'!$E$1:$XFD$1,0)))</f>
        <v>26463.050000000003</v>
      </c>
      <c r="O23" s="6">
        <f ca="1">SUMIF('Despesa Liquidada'!$C$2:$C$1048576,DTP!$B23,OFFSET('Despesa Liquidada'!$D$2:$D$1048576,,MATCH(DTP!O$12,'Despesa Liquidada'!$E$1:$XFD$1,0)))</f>
        <v>4197.22</v>
      </c>
      <c r="P23" s="6">
        <f t="shared" ca="1" si="2"/>
        <v>170774.54</v>
      </c>
      <c r="Q23" s="6">
        <f ca="1">IFERROR(SUMIF('RP Não Processados'!$C$2:$C$1048576,DTP!$B23,OFFSET('RP Não Processados'!$D$2:$D$1048576,,MATCH(DTP!O$12,'RP Não Processados'!$E$1:$XFD$1,0))),0)</f>
        <v>0</v>
      </c>
    </row>
    <row r="24" spans="2:17" x14ac:dyDescent="0.25">
      <c r="B24" t="s">
        <v>121</v>
      </c>
      <c r="C24" s="12" t="s">
        <v>109</v>
      </c>
      <c r="D24" s="6">
        <f ca="1">SUMIF('Despesa Liquidada'!$C$2:$C$1048576,DTP!$B24,OFFSET('Despesa Liquidada'!$D$2:$D$1048576,,MATCH(DTP!D$12,'Despesa Liquidada'!$E$1:$XFD$1,0)))</f>
        <v>364320.4</v>
      </c>
      <c r="E24" s="6">
        <f ca="1">SUMIF('Despesa Liquidada'!$C$2:$C$1048576,DTP!$B24,OFFSET('Despesa Liquidada'!$D$2:$D$1048576,,MATCH(DTP!E$12,'Despesa Liquidada'!$E$1:$XFD$1,0)))</f>
        <v>0</v>
      </c>
      <c r="F24" s="6">
        <f ca="1">SUMIF('Despesa Liquidada'!$C$2:$C$1048576,DTP!$B24,OFFSET('Despesa Liquidada'!$D$2:$D$1048576,,MATCH(DTP!F$12,'Despesa Liquidada'!$E$1:$XFD$1,0)))</f>
        <v>0</v>
      </c>
      <c r="G24" s="6">
        <f ca="1">SUMIF('Despesa Liquidada'!$C$2:$C$1048576,DTP!$B24,OFFSET('Despesa Liquidada'!$D$2:$D$1048576,,MATCH(DTP!G$12,'Despesa Liquidada'!$E$1:$XFD$1,0)))</f>
        <v>0</v>
      </c>
      <c r="H24" s="6">
        <f ca="1">SUMIF('Despesa Liquidada'!$C$2:$C$1048576,DTP!$B24,OFFSET('Despesa Liquidada'!$D$2:$D$1048576,,MATCH(DTP!H$12,'Despesa Liquidada'!$E$1:$XFD$1,0)))</f>
        <v>0</v>
      </c>
      <c r="I24" s="6">
        <f ca="1">SUMIF('Despesa Liquidada'!$C$2:$C$1048576,DTP!$B24,OFFSET('Despesa Liquidada'!$D$2:$D$1048576,,MATCH(DTP!I$12,'Despesa Liquidada'!$E$1:$XFD$1,0)))</f>
        <v>0</v>
      </c>
      <c r="J24" s="6">
        <f ca="1">SUMIF('Despesa Liquidada'!$C$2:$C$1048576,DTP!$B24,OFFSET('Despesa Liquidada'!$D$2:$D$1048576,,MATCH(DTP!J$12,'Despesa Liquidada'!$E$1:$XFD$1,0)))</f>
        <v>0</v>
      </c>
      <c r="K24" s="6">
        <f ca="1">SUMIF('Despesa Liquidada'!$C$2:$C$1048576,DTP!$B24,OFFSET('Despesa Liquidada'!$D$2:$D$1048576,,MATCH(DTP!K$12,'Despesa Liquidada'!$E$1:$XFD$1,0)))</f>
        <v>338866.9</v>
      </c>
      <c r="L24" s="6">
        <f ca="1">SUMIF('Despesa Liquidada'!$C$2:$C$1048576,DTP!$B24,OFFSET('Despesa Liquidada'!$D$2:$D$1048576,,MATCH(DTP!L$12,'Despesa Liquidada'!$E$1:$XFD$1,0)))</f>
        <v>70985.66</v>
      </c>
      <c r="M24" s="6">
        <f ca="1">SUMIF('Despesa Liquidada'!$C$2:$C$1048576,DTP!$B24,OFFSET('Despesa Liquidada'!$D$2:$D$1048576,,MATCH(DTP!M$12,'Despesa Liquidada'!$E$1:$XFD$1,0)))</f>
        <v>0</v>
      </c>
      <c r="N24" s="6">
        <f ca="1">SUMIF('Despesa Liquidada'!$C$2:$C$1048576,DTP!$B24,OFFSET('Despesa Liquidada'!$D$2:$D$1048576,,MATCH(DTP!N$12,'Despesa Liquidada'!$E$1:$XFD$1,0)))</f>
        <v>0</v>
      </c>
      <c r="O24" s="6">
        <f ca="1">SUMIF('Despesa Liquidada'!$C$2:$C$1048576,DTP!$B24,OFFSET('Despesa Liquidada'!$D$2:$D$1048576,,MATCH(DTP!O$12,'Despesa Liquidada'!$E$1:$XFD$1,0)))</f>
        <v>0</v>
      </c>
      <c r="P24" s="6">
        <f t="shared" ca="1" si="2"/>
        <v>774172.96000000008</v>
      </c>
      <c r="Q24" s="6">
        <f ca="1">IFERROR(SUMIF('RP Não Processados'!$C$2:$C$1048576,DTP!$B24,OFFSET('RP Não Processados'!$D$2:$D$1048576,,MATCH(DTP!O$12,'RP Não Processados'!$E$1:$XFD$1,0))),0)</f>
        <v>0</v>
      </c>
    </row>
    <row r="25" spans="2:17" x14ac:dyDescent="0.25">
      <c r="B25" t="s">
        <v>122</v>
      </c>
      <c r="C25" s="12" t="s">
        <v>110</v>
      </c>
      <c r="D25" s="6">
        <f ca="1">SUMIF('Despesa Liquidada'!$C$2:$C$1048576,DTP!$B25,OFFSET('Despesa Liquidada'!$D$2:$D$1048576,,MATCH(DTP!D$12,'Despesa Liquidada'!$E$1:$XFD$1,0)))</f>
        <v>0</v>
      </c>
      <c r="E25" s="6">
        <f ca="1">SUMIF('Despesa Liquidada'!$C$2:$C$1048576,DTP!$B25,OFFSET('Despesa Liquidada'!$D$2:$D$1048576,,MATCH(DTP!E$12,'Despesa Liquidada'!$E$1:$XFD$1,0)))</f>
        <v>0</v>
      </c>
      <c r="F25" s="6">
        <f ca="1">SUMIF('Despesa Liquidada'!$C$2:$C$1048576,DTP!$B25,OFFSET('Despesa Liquidada'!$D$2:$D$1048576,,MATCH(DTP!F$12,'Despesa Liquidada'!$E$1:$XFD$1,0)))</f>
        <v>1842.75</v>
      </c>
      <c r="G25" s="6">
        <f ca="1">SUMIF('Despesa Liquidada'!$C$2:$C$1048576,DTP!$B25,OFFSET('Despesa Liquidada'!$D$2:$D$1048576,,MATCH(DTP!G$12,'Despesa Liquidada'!$E$1:$XFD$1,0)))</f>
        <v>0</v>
      </c>
      <c r="H25" s="6">
        <f ca="1">SUMIF('Despesa Liquidada'!$C$2:$C$1048576,DTP!$B25,OFFSET('Despesa Liquidada'!$D$2:$D$1048576,,MATCH(DTP!H$12,'Despesa Liquidada'!$E$1:$XFD$1,0)))</f>
        <v>0</v>
      </c>
      <c r="I25" s="6">
        <f ca="1">SUMIF('Despesa Liquidada'!$C$2:$C$1048576,DTP!$B25,OFFSET('Despesa Liquidada'!$D$2:$D$1048576,,MATCH(DTP!I$12,'Despesa Liquidada'!$E$1:$XFD$1,0)))</f>
        <v>0</v>
      </c>
      <c r="J25" s="6">
        <f ca="1">SUMIF('Despesa Liquidada'!$C$2:$C$1048576,DTP!$B25,OFFSET('Despesa Liquidada'!$D$2:$D$1048576,,MATCH(DTP!J$12,'Despesa Liquidada'!$E$1:$XFD$1,0)))</f>
        <v>0</v>
      </c>
      <c r="K25" s="6">
        <f ca="1">SUMIF('Despesa Liquidada'!$C$2:$C$1048576,DTP!$B25,OFFSET('Despesa Liquidada'!$D$2:$D$1048576,,MATCH(DTP!K$12,'Despesa Liquidada'!$E$1:$XFD$1,0)))</f>
        <v>1053</v>
      </c>
      <c r="L25" s="6">
        <f ca="1">SUMIF('Despesa Liquidada'!$C$2:$C$1048576,DTP!$B25,OFFSET('Despesa Liquidada'!$D$2:$D$1048576,,MATCH(DTP!L$12,'Despesa Liquidada'!$E$1:$XFD$1,0)))</f>
        <v>0</v>
      </c>
      <c r="M25" s="6">
        <f ca="1">SUMIF('Despesa Liquidada'!$C$2:$C$1048576,DTP!$B25,OFFSET('Despesa Liquidada'!$D$2:$D$1048576,,MATCH(DTP!M$12,'Despesa Liquidada'!$E$1:$XFD$1,0)))</f>
        <v>0</v>
      </c>
      <c r="N25" s="6">
        <f ca="1">SUMIF('Despesa Liquidada'!$C$2:$C$1048576,DTP!$B25,OFFSET('Despesa Liquidada'!$D$2:$D$1048576,,MATCH(DTP!N$12,'Despesa Liquidada'!$E$1:$XFD$1,0)))</f>
        <v>0</v>
      </c>
      <c r="O25" s="6">
        <f ca="1">SUMIF('Despesa Liquidada'!$C$2:$C$1048576,DTP!$B25,OFFSET('Despesa Liquidada'!$D$2:$D$1048576,,MATCH(DTP!O$12,'Despesa Liquidada'!$E$1:$XFD$1,0)))</f>
        <v>0</v>
      </c>
      <c r="P25" s="6">
        <f t="shared" ca="1" si="2"/>
        <v>2895.75</v>
      </c>
      <c r="Q25" s="6">
        <f ca="1">IFERROR(SUMIF('RP Não Processados'!$C$2:$C$1048576,DTP!$B25,OFFSET('RP Não Processados'!$D$2:$D$1048576,,MATCH(DTP!O$12,'RP Não Processados'!$E$1:$XFD$1,0))),0)</f>
        <v>0</v>
      </c>
    </row>
    <row r="26" spans="2:17" x14ac:dyDescent="0.25">
      <c r="B26" t="s">
        <v>123</v>
      </c>
      <c r="C26" s="14" t="s">
        <v>111</v>
      </c>
      <c r="D26" s="8">
        <f ca="1">SUMIF('Despesa Liquidada'!$C$2:$C$1048576,DTP!$B26,OFFSET('Despesa Liquidada'!$D$2:$D$1048576,,MATCH(DTP!D$12,'Despesa Liquidada'!$E$1:$XFD$1,0)))</f>
        <v>216049.26</v>
      </c>
      <c r="E26" s="8">
        <f ca="1">SUMIF('Despesa Liquidada'!$C$2:$C$1048576,DTP!$B26,OFFSET('Despesa Liquidada'!$D$2:$D$1048576,,MATCH(DTP!E$12,'Despesa Liquidada'!$E$1:$XFD$1,0)))</f>
        <v>216992.16</v>
      </c>
      <c r="F26" s="8">
        <f ca="1">SUMIF('Despesa Liquidada'!$C$2:$C$1048576,DTP!$B26,OFFSET('Despesa Liquidada'!$D$2:$D$1048576,,MATCH(DTP!F$12,'Despesa Liquidada'!$E$1:$XFD$1,0)))</f>
        <v>429634.34</v>
      </c>
      <c r="G26" s="8">
        <f ca="1">SUMIF('Despesa Liquidada'!$C$2:$C$1048576,DTP!$B26,OFFSET('Despesa Liquidada'!$D$2:$D$1048576,,MATCH(DTP!G$12,'Despesa Liquidada'!$E$1:$XFD$1,0)))</f>
        <v>254356.14999999997</v>
      </c>
      <c r="H26" s="8">
        <f ca="1">SUMIF('Despesa Liquidada'!$C$2:$C$1048576,DTP!$B26,OFFSET('Despesa Liquidada'!$D$2:$D$1048576,,MATCH(DTP!H$12,'Despesa Liquidada'!$E$1:$XFD$1,0)))</f>
        <v>260270.95</v>
      </c>
      <c r="I26" s="8">
        <f ca="1">SUMIF('Despesa Liquidada'!$C$2:$C$1048576,DTP!$B26,OFFSET('Despesa Liquidada'!$D$2:$D$1048576,,MATCH(DTP!I$12,'Despesa Liquidada'!$E$1:$XFD$1,0)))</f>
        <v>263052.03999999998</v>
      </c>
      <c r="J26" s="8">
        <f ca="1">SUMIF('Despesa Liquidada'!$C$2:$C$1048576,DTP!$B26,OFFSET('Despesa Liquidada'!$D$2:$D$1048576,,MATCH(DTP!J$12,'Despesa Liquidada'!$E$1:$XFD$1,0)))</f>
        <v>266027.58999999997</v>
      </c>
      <c r="K26" s="8">
        <f ca="1">SUMIF('Despesa Liquidada'!$C$2:$C$1048576,DTP!$B26,OFFSET('Despesa Liquidada'!$D$2:$D$1048576,,MATCH(DTP!K$12,'Despesa Liquidada'!$E$1:$XFD$1,0)))</f>
        <v>276188.87</v>
      </c>
      <c r="L26" s="8">
        <f ca="1">SUMIF('Despesa Liquidada'!$C$2:$C$1048576,DTP!$B26,OFFSET('Despesa Liquidada'!$D$2:$D$1048576,,MATCH(DTP!L$12,'Despesa Liquidada'!$E$1:$XFD$1,0)))</f>
        <v>276188.87</v>
      </c>
      <c r="M26" s="8">
        <f ca="1">SUMIF('Despesa Liquidada'!$C$2:$C$1048576,DTP!$B26,OFFSET('Despesa Liquidada'!$D$2:$D$1048576,,MATCH(DTP!M$12,'Despesa Liquidada'!$E$1:$XFD$1,0)))</f>
        <v>276188.87</v>
      </c>
      <c r="N26" s="8">
        <f ca="1">SUMIF('Despesa Liquidada'!$C$2:$C$1048576,DTP!$B26,OFFSET('Despesa Liquidada'!$D$2:$D$1048576,,MATCH(DTP!N$12,'Despesa Liquidada'!$E$1:$XFD$1,0)))</f>
        <v>283639.31</v>
      </c>
      <c r="O26" s="8">
        <f ca="1">SUMIF('Despesa Liquidada'!$C$2:$C$1048576,DTP!$B26,OFFSET('Despesa Liquidada'!$D$2:$D$1048576,,MATCH(DTP!O$12,'Despesa Liquidada'!$E$1:$XFD$1,0)))</f>
        <v>282574.96999999997</v>
      </c>
      <c r="P26" s="8">
        <f t="shared" ca="1" si="2"/>
        <v>3301163.38</v>
      </c>
      <c r="Q26" s="8">
        <f ca="1">IFERROR(SUMIF('RP Não Processados'!$C$2:$C$1048576,DTP!$B26,OFFSET('RP Não Processados'!$D$2:$D$1048576,,MATCH(DTP!O$12,'RP Não Processados'!$E$1:$XFD$1,0))),0)</f>
        <v>0</v>
      </c>
    </row>
    <row r="27" spans="2:17" x14ac:dyDescent="0.25">
      <c r="C27" s="1" t="s">
        <v>112</v>
      </c>
      <c r="D27" s="10">
        <f ca="1">D13-D22</f>
        <v>1075241.5699999998</v>
      </c>
      <c r="E27" s="10">
        <f t="shared" ref="E27:O27" ca="1" si="5">E13-E22</f>
        <v>1076754.57</v>
      </c>
      <c r="F27" s="10">
        <f t="shared" ca="1" si="5"/>
        <v>2152701.5799999991</v>
      </c>
      <c r="G27" s="10">
        <f t="shared" ca="1" si="5"/>
        <v>1275490.4999999998</v>
      </c>
      <c r="H27" s="10">
        <f t="shared" ca="1" si="5"/>
        <v>1227041.6399999999</v>
      </c>
      <c r="I27" s="10">
        <f t="shared" ca="1" si="5"/>
        <v>1210140.1300000001</v>
      </c>
      <c r="J27" s="10">
        <f t="shared" ca="1" si="5"/>
        <v>1236993.54</v>
      </c>
      <c r="K27" s="10">
        <f t="shared" ca="1" si="5"/>
        <v>1302619.2200000002</v>
      </c>
      <c r="L27" s="10">
        <f t="shared" ca="1" si="5"/>
        <v>1371422.0599999996</v>
      </c>
      <c r="M27" s="10">
        <f t="shared" ca="1" si="5"/>
        <v>1369998.22</v>
      </c>
      <c r="N27" s="10">
        <f t="shared" ca="1" si="5"/>
        <v>1404909.1200000006</v>
      </c>
      <c r="O27" s="10">
        <f t="shared" ca="1" si="5"/>
        <v>1349710.2500000002</v>
      </c>
      <c r="P27" s="10">
        <f t="shared" ca="1" si="2"/>
        <v>16053022.4</v>
      </c>
      <c r="Q27" s="10">
        <f t="shared" ref="Q27" ca="1" si="6">Q13-Q22</f>
        <v>0</v>
      </c>
    </row>
    <row r="29" spans="2:17" x14ac:dyDescent="0.25">
      <c r="C29" s="53" t="s">
        <v>189</v>
      </c>
      <c r="D29" s="53"/>
      <c r="E29" s="53"/>
      <c r="F29" s="53"/>
      <c r="G29" s="53"/>
      <c r="H29" s="53" t="s">
        <v>190</v>
      </c>
      <c r="I29" s="53"/>
      <c r="J29" s="53"/>
      <c r="K29" s="53"/>
      <c r="L29" s="53"/>
      <c r="M29" s="53"/>
      <c r="N29" s="53"/>
      <c r="O29" s="53" t="s">
        <v>191</v>
      </c>
      <c r="P29" s="53"/>
      <c r="Q29" s="53"/>
    </row>
    <row r="30" spans="2:17" x14ac:dyDescent="0.25">
      <c r="C30" s="58" t="s">
        <v>192</v>
      </c>
      <c r="D30" s="58"/>
      <c r="E30" s="58"/>
      <c r="F30" s="58"/>
      <c r="G30" s="58"/>
      <c r="H30" s="57">
        <f ca="1">RCL!Q40</f>
        <v>37117598.420000002</v>
      </c>
      <c r="I30" s="57"/>
      <c r="J30" s="57"/>
      <c r="K30" s="57"/>
      <c r="L30" s="57"/>
      <c r="M30" s="57"/>
      <c r="N30" s="57"/>
      <c r="O30" s="54"/>
      <c r="P30" s="54"/>
      <c r="Q30" s="54"/>
    </row>
    <row r="31" spans="2:17" x14ac:dyDescent="0.25">
      <c r="C31" s="58" t="s">
        <v>193</v>
      </c>
      <c r="D31" s="58"/>
      <c r="E31" s="58"/>
      <c r="F31" s="58"/>
      <c r="G31" s="58"/>
      <c r="H31" s="57">
        <f ca="1">RCL!Q41</f>
        <v>180000</v>
      </c>
      <c r="I31" s="57"/>
      <c r="J31" s="57"/>
      <c r="K31" s="57"/>
      <c r="L31" s="57"/>
      <c r="M31" s="57"/>
      <c r="N31" s="57"/>
      <c r="O31" s="54"/>
      <c r="P31" s="54"/>
      <c r="Q31" s="54"/>
    </row>
    <row r="32" spans="2:17" x14ac:dyDescent="0.25">
      <c r="C32" s="58" t="s">
        <v>49</v>
      </c>
      <c r="D32" s="58"/>
      <c r="E32" s="58"/>
      <c r="F32" s="58"/>
      <c r="G32" s="58"/>
      <c r="H32" s="57">
        <f ca="1">RCL!Q43</f>
        <v>0</v>
      </c>
      <c r="I32" s="57"/>
      <c r="J32" s="57"/>
      <c r="K32" s="57"/>
      <c r="L32" s="57"/>
      <c r="M32" s="57"/>
      <c r="N32" s="57"/>
      <c r="O32" s="54"/>
      <c r="P32" s="54"/>
      <c r="Q32" s="54"/>
    </row>
    <row r="33" spans="3:17" x14ac:dyDescent="0.25">
      <c r="C33" s="58" t="s">
        <v>194</v>
      </c>
      <c r="D33" s="58"/>
      <c r="E33" s="58"/>
      <c r="F33" s="58"/>
      <c r="G33" s="58"/>
      <c r="H33" s="57">
        <f ca="1">H30-SUM(H31:N32)</f>
        <v>36937598.420000002</v>
      </c>
      <c r="I33" s="57"/>
      <c r="J33" s="57"/>
      <c r="K33" s="57"/>
      <c r="L33" s="57"/>
      <c r="M33" s="57"/>
      <c r="N33" s="57"/>
      <c r="O33" s="54"/>
      <c r="P33" s="54"/>
      <c r="Q33" s="54"/>
    </row>
    <row r="34" spans="3:17" x14ac:dyDescent="0.25">
      <c r="C34" s="59" t="s">
        <v>195</v>
      </c>
      <c r="D34" s="59"/>
      <c r="E34" s="59"/>
      <c r="F34" s="59"/>
      <c r="G34" s="59"/>
      <c r="H34" s="55">
        <f ca="1">P27+Q27</f>
        <v>16053022.4</v>
      </c>
      <c r="I34" s="55"/>
      <c r="J34" s="55"/>
      <c r="K34" s="55"/>
      <c r="L34" s="55"/>
      <c r="M34" s="55"/>
      <c r="N34" s="55"/>
      <c r="O34" s="56">
        <f ca="1">H34/H33</f>
        <v>0.43459843321346064</v>
      </c>
      <c r="P34" s="56"/>
      <c r="Q34" s="56"/>
    </row>
    <row r="35" spans="3:17" x14ac:dyDescent="0.25">
      <c r="C35" s="58" t="s">
        <v>196</v>
      </c>
      <c r="D35" s="58"/>
      <c r="E35" s="58"/>
      <c r="F35" s="58"/>
      <c r="G35" s="58"/>
      <c r="H35" s="57">
        <f ca="1">$H$33*O35</f>
        <v>19946303.146800004</v>
      </c>
      <c r="I35" s="57"/>
      <c r="J35" s="57"/>
      <c r="K35" s="57"/>
      <c r="L35" s="57"/>
      <c r="M35" s="57"/>
      <c r="N35" s="57"/>
      <c r="O35" s="54">
        <f>paramLimiteMaximoDTP</f>
        <v>0.54</v>
      </c>
      <c r="P35" s="54"/>
      <c r="Q35" s="54"/>
    </row>
    <row r="36" spans="3:17" x14ac:dyDescent="0.25">
      <c r="C36" s="58" t="s">
        <v>197</v>
      </c>
      <c r="D36" s="58"/>
      <c r="E36" s="58"/>
      <c r="F36" s="58"/>
      <c r="G36" s="58"/>
      <c r="H36" s="57">
        <f t="shared" ref="H36:H37" ca="1" si="7">$H$33*O36</f>
        <v>18948987.989460003</v>
      </c>
      <c r="I36" s="57"/>
      <c r="J36" s="57"/>
      <c r="K36" s="57"/>
      <c r="L36" s="57"/>
      <c r="M36" s="57"/>
      <c r="N36" s="57"/>
      <c r="O36" s="54">
        <f>O35*95%</f>
        <v>0.51300000000000001</v>
      </c>
      <c r="P36" s="54"/>
      <c r="Q36" s="54"/>
    </row>
    <row r="37" spans="3:17" x14ac:dyDescent="0.25">
      <c r="C37" s="58" t="s">
        <v>198</v>
      </c>
      <c r="D37" s="58"/>
      <c r="E37" s="58"/>
      <c r="F37" s="58"/>
      <c r="G37" s="58"/>
      <c r="H37" s="57">
        <f t="shared" ca="1" si="7"/>
        <v>17951672.832120001</v>
      </c>
      <c r="I37" s="57"/>
      <c r="J37" s="57"/>
      <c r="K37" s="57"/>
      <c r="L37" s="57"/>
      <c r="M37" s="57"/>
      <c r="N37" s="57"/>
      <c r="O37" s="54">
        <f>O35*90%</f>
        <v>0.48600000000000004</v>
      </c>
      <c r="P37" s="54"/>
      <c r="Q37" s="54"/>
    </row>
    <row r="38" spans="3:17" x14ac:dyDescent="0.25">
      <c r="C38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25/10/2022, às 16:31:10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40" spans="3:17" x14ac:dyDescent="0.25">
      <c r="C40" t="s">
        <v>55</v>
      </c>
    </row>
    <row r="41" spans="3:17" x14ac:dyDescent="0.25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</sheetData>
  <sheetProtection sheet="1" insertColumns="0" insertRows="0" insertHyperlinks="0" deleteColumns="0" deleteRows="0" sort="0" autoFilter="0" pivotTables="0"/>
  <mergeCells count="40">
    <mergeCell ref="C2:Q2"/>
    <mergeCell ref="C4:Q4"/>
    <mergeCell ref="C5:Q5"/>
    <mergeCell ref="C6:Q6"/>
    <mergeCell ref="C7:Q7"/>
    <mergeCell ref="C32:G32"/>
    <mergeCell ref="O30:Q30"/>
    <mergeCell ref="O31:Q31"/>
    <mergeCell ref="O32:Q32"/>
    <mergeCell ref="C3:Q3"/>
    <mergeCell ref="C10:C12"/>
    <mergeCell ref="D10:Q10"/>
    <mergeCell ref="D11:P11"/>
    <mergeCell ref="Q11:Q12"/>
    <mergeCell ref="C9:P9"/>
    <mergeCell ref="H29:N29"/>
    <mergeCell ref="O29:Q29"/>
    <mergeCell ref="C29:G29"/>
    <mergeCell ref="C30:G30"/>
    <mergeCell ref="C31:G31"/>
    <mergeCell ref="H30:N30"/>
    <mergeCell ref="H31:N31"/>
    <mergeCell ref="H32:N32"/>
    <mergeCell ref="H33:N33"/>
    <mergeCell ref="H37:N37"/>
    <mergeCell ref="O37:Q37"/>
    <mergeCell ref="C38:Q38"/>
    <mergeCell ref="C41:Q41"/>
    <mergeCell ref="O33:Q33"/>
    <mergeCell ref="H34:N34"/>
    <mergeCell ref="O34:Q34"/>
    <mergeCell ref="H35:N35"/>
    <mergeCell ref="O35:Q35"/>
    <mergeCell ref="H36:N36"/>
    <mergeCell ref="O36:Q36"/>
    <mergeCell ref="C33:G33"/>
    <mergeCell ref="C34:G34"/>
    <mergeCell ref="C35:G35"/>
    <mergeCell ref="C36:G36"/>
    <mergeCell ref="C37:G37"/>
  </mergeCells>
  <pageMargins left="0.7" right="0.7" top="0.75" bottom="0.75" header="0.3" footer="0.3"/>
  <pageSetup paperSize="9" scale="5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9C0-318B-490D-AE19-0B2CD65A229F}">
  <sheetPr codeName="Planilha6"/>
  <dimension ref="B2:AE113"/>
  <sheetViews>
    <sheetView workbookViewId="0">
      <selection activeCell="B3" sqref="B3"/>
    </sheetView>
  </sheetViews>
  <sheetFormatPr defaultRowHeight="15" x14ac:dyDescent="0.25"/>
  <cols>
    <col min="2" max="2" width="28.28515625" bestFit="1" customWidth="1"/>
    <col min="3" max="3" width="13.5703125" bestFit="1" customWidth="1"/>
    <col min="4" max="4" width="7.140625" bestFit="1" customWidth="1"/>
    <col min="6" max="6" width="13.28515625" bestFit="1" customWidth="1"/>
    <col min="7" max="7" width="31.28515625" bestFit="1" customWidth="1"/>
    <col min="8" max="19" width="13.5703125" bestFit="1" customWidth="1"/>
    <col min="20" max="21" width="12.42578125" bestFit="1" customWidth="1"/>
    <col min="22" max="31" width="13.5703125" bestFit="1" customWidth="1"/>
  </cols>
  <sheetData>
    <row r="2" spans="2:21" x14ac:dyDescent="0.25">
      <c r="B2" t="str">
        <f>UPPER(TEXT(paramDataBase,"mmmm \d\e aaaa"))</f>
        <v>SETEMBRO DE 2022</v>
      </c>
    </row>
    <row r="4" spans="2:21" x14ac:dyDescent="0.25">
      <c r="C4" s="24" t="s">
        <v>235</v>
      </c>
      <c r="D4" s="24" t="s">
        <v>234</v>
      </c>
      <c r="E4" s="27"/>
      <c r="F4" s="27"/>
      <c r="G4" t="s">
        <v>267</v>
      </c>
      <c r="H4" s="27"/>
      <c r="I4" t="s">
        <v>267</v>
      </c>
      <c r="J4" t="s">
        <v>12</v>
      </c>
      <c r="L4" t="s">
        <v>12</v>
      </c>
    </row>
    <row r="5" spans="2:21" x14ac:dyDescent="0.25">
      <c r="B5" s="22" t="s">
        <v>230</v>
      </c>
      <c r="C5" s="9">
        <f ca="1">DTP!H34</f>
        <v>16053022.4</v>
      </c>
      <c r="D5" s="25">
        <f ca="1">DTP!O34</f>
        <v>0.43459843321346064</v>
      </c>
      <c r="E5" s="29"/>
      <c r="F5" s="34"/>
      <c r="G5" t="s">
        <v>18</v>
      </c>
      <c r="H5" s="18">
        <f ca="1">RCL!Q12</f>
        <v>3644327.63</v>
      </c>
      <c r="I5" t="str">
        <f ca="1">INDEX($G$5:$G$12,MATCH(J5,$H$5:$H$12,0))</f>
        <v>Transferências Correntes</v>
      </c>
      <c r="J5" s="18">
        <f ca="1">LARGE($H$5:$H$12,K5)</f>
        <v>37117140.960000001</v>
      </c>
      <c r="K5">
        <v>1</v>
      </c>
      <c r="L5" s="18">
        <f ca="1">H5</f>
        <v>3644327.63</v>
      </c>
      <c r="U5" s="30"/>
    </row>
    <row r="6" spans="2:21" x14ac:dyDescent="0.25">
      <c r="B6" s="22" t="s">
        <v>231</v>
      </c>
      <c r="C6" s="9">
        <f ca="1">DTP!H35</f>
        <v>19946303.146800004</v>
      </c>
      <c r="D6" s="25">
        <f>DTP!O35</f>
        <v>0.54</v>
      </c>
      <c r="E6" s="29"/>
      <c r="F6" s="34"/>
      <c r="G6" t="s">
        <v>24</v>
      </c>
      <c r="H6" s="18">
        <f ca="1">RCL!Q18</f>
        <v>1357725.4700000002</v>
      </c>
      <c r="I6" t="str">
        <f t="shared" ref="I6:I12" ca="1" si="0">INDEX($G$5:$G$12,MATCH(J6,$H$5:$H$12,0))</f>
        <v>Receita Patrimonial</v>
      </c>
      <c r="J6" s="18">
        <f t="shared" ref="J6:J12" ca="1" si="1">LARGE($H$5:$H$12,K6)</f>
        <v>3767714.9200000004</v>
      </c>
      <c r="K6">
        <v>2</v>
      </c>
      <c r="L6" s="18">
        <f t="shared" ref="L6:L12" ca="1" si="2">H6</f>
        <v>1357725.4700000002</v>
      </c>
      <c r="U6" s="30"/>
    </row>
    <row r="7" spans="2:21" x14ac:dyDescent="0.25">
      <c r="B7" s="22" t="s">
        <v>232</v>
      </c>
      <c r="C7" s="9">
        <f ca="1">DTP!H36</f>
        <v>18948987.989460003</v>
      </c>
      <c r="D7" s="25">
        <f>DTP!O36</f>
        <v>0.51300000000000001</v>
      </c>
      <c r="E7" s="29"/>
      <c r="F7" s="34"/>
      <c r="G7" t="s">
        <v>25</v>
      </c>
      <c r="H7" s="18">
        <f ca="1">RCL!Q19</f>
        <v>3767714.9200000004</v>
      </c>
      <c r="I7" t="str">
        <f t="shared" ca="1" si="0"/>
        <v>Impostos, Taxas e Contribuições de Melhoria</v>
      </c>
      <c r="J7" s="18">
        <f t="shared" ca="1" si="1"/>
        <v>3644327.63</v>
      </c>
      <c r="K7">
        <v>3</v>
      </c>
      <c r="L7" s="18">
        <f t="shared" ca="1" si="2"/>
        <v>3767714.9200000004</v>
      </c>
      <c r="U7" s="30"/>
    </row>
    <row r="8" spans="2:21" x14ac:dyDescent="0.25">
      <c r="B8" s="22" t="s">
        <v>233</v>
      </c>
      <c r="C8" s="9">
        <f ca="1">DTP!H37</f>
        <v>17951672.832120001</v>
      </c>
      <c r="D8" s="25">
        <f>DTP!O37</f>
        <v>0.48600000000000004</v>
      </c>
      <c r="E8" s="29"/>
      <c r="F8" s="34"/>
      <c r="G8" t="s">
        <v>28</v>
      </c>
      <c r="H8" s="18">
        <f ca="1">RCL!Q22</f>
        <v>0</v>
      </c>
      <c r="I8" t="str">
        <f t="shared" ca="1" si="0"/>
        <v>Contribuições</v>
      </c>
      <c r="J8" s="18">
        <f t="shared" ca="1" si="1"/>
        <v>1357725.4700000002</v>
      </c>
      <c r="K8">
        <v>4</v>
      </c>
      <c r="L8" s="18">
        <f t="shared" ca="1" si="2"/>
        <v>0</v>
      </c>
      <c r="U8" s="30"/>
    </row>
    <row r="9" spans="2:21" x14ac:dyDescent="0.25">
      <c r="B9" s="22" t="s">
        <v>236</v>
      </c>
      <c r="C9" s="22"/>
      <c r="D9" s="25">
        <f ca="1">IF(D6&gt;D5,D6-D5,"")</f>
        <v>0.10540156678653939</v>
      </c>
      <c r="E9" s="29"/>
      <c r="F9" s="34"/>
      <c r="G9" t="s">
        <v>29</v>
      </c>
      <c r="H9" s="18">
        <f ca="1">RCL!Q23</f>
        <v>0</v>
      </c>
      <c r="I9" t="str">
        <f t="shared" ca="1" si="0"/>
        <v>Outras Receitas Correntes</v>
      </c>
      <c r="J9" s="18">
        <f t="shared" ca="1" si="1"/>
        <v>299569.78999999998</v>
      </c>
      <c r="K9">
        <v>5</v>
      </c>
      <c r="L9" s="18">
        <f t="shared" ca="1" si="2"/>
        <v>0</v>
      </c>
      <c r="U9" s="30"/>
    </row>
    <row r="10" spans="2:21" x14ac:dyDescent="0.25">
      <c r="B10" s="22" t="s">
        <v>237</v>
      </c>
      <c r="C10" s="22"/>
      <c r="D10" s="25" t="str">
        <f ca="1">IF(D5&gt;D6,D5-D6,"")</f>
        <v/>
      </c>
      <c r="E10" s="29"/>
      <c r="F10" s="34"/>
      <c r="G10" t="s">
        <v>30</v>
      </c>
      <c r="H10" s="18">
        <f ca="1">RCL!Q24</f>
        <v>26159.5</v>
      </c>
      <c r="I10" t="str">
        <f t="shared" ca="1" si="0"/>
        <v>Receita de Serviços</v>
      </c>
      <c r="J10" s="18">
        <f t="shared" ca="1" si="1"/>
        <v>26159.5</v>
      </c>
      <c r="K10">
        <v>6</v>
      </c>
      <c r="L10" s="18">
        <f t="shared" ca="1" si="2"/>
        <v>26159.5</v>
      </c>
      <c r="U10" s="30"/>
    </row>
    <row r="11" spans="2:21" x14ac:dyDescent="0.25">
      <c r="F11" s="34"/>
      <c r="G11" t="s">
        <v>31</v>
      </c>
      <c r="H11" s="18">
        <f ca="1">RCL!Q25</f>
        <v>37117140.960000001</v>
      </c>
      <c r="I11" t="str">
        <f t="shared" ca="1" si="0"/>
        <v>Receita Agropecuária</v>
      </c>
      <c r="J11" s="18">
        <f t="shared" ca="1" si="1"/>
        <v>0</v>
      </c>
      <c r="K11">
        <v>7</v>
      </c>
      <c r="L11" s="18">
        <f t="shared" ca="1" si="2"/>
        <v>37117140.960000001</v>
      </c>
      <c r="U11" s="30"/>
    </row>
    <row r="12" spans="2:21" x14ac:dyDescent="0.25">
      <c r="F12" s="34"/>
      <c r="G12" t="s">
        <v>40</v>
      </c>
      <c r="H12" s="18">
        <f ca="1">RCL!Q34</f>
        <v>299569.78999999998</v>
      </c>
      <c r="I12" t="str">
        <f t="shared" ca="1" si="0"/>
        <v>Receita Agropecuária</v>
      </c>
      <c r="J12" s="18">
        <f t="shared" ca="1" si="1"/>
        <v>0</v>
      </c>
      <c r="K12">
        <v>8</v>
      </c>
      <c r="L12" s="18">
        <f t="shared" ca="1" si="2"/>
        <v>299569.78999999998</v>
      </c>
      <c r="U12" s="30"/>
    </row>
    <row r="13" spans="2:21" x14ac:dyDescent="0.25">
      <c r="F13" s="30"/>
      <c r="G13" t="s">
        <v>42</v>
      </c>
      <c r="H13" s="18">
        <f ca="1">RCL!Q36</f>
        <v>1167186.6300000001</v>
      </c>
      <c r="I13" t="str">
        <f ca="1">INDEX($G$13:$G$16,MATCH(J13,$H$13:$H$16,0))</f>
        <v>Dedução de Receita para a Formação do FUNDEB</v>
      </c>
      <c r="J13" s="18">
        <f ca="1">LARGE($H$13:$H$16,K13)</f>
        <v>5281417.37</v>
      </c>
      <c r="K13">
        <v>1</v>
      </c>
      <c r="L13" s="18">
        <f ca="1">H13*-1</f>
        <v>-1167186.6300000001</v>
      </c>
      <c r="U13" s="30"/>
    </row>
    <row r="14" spans="2:21" x14ac:dyDescent="0.25">
      <c r="B14" t="s">
        <v>250</v>
      </c>
      <c r="F14" s="30"/>
      <c r="G14" t="s">
        <v>43</v>
      </c>
      <c r="H14" s="18">
        <f ca="1">RCL!Q37</f>
        <v>0</v>
      </c>
      <c r="I14" t="str">
        <f t="shared" ref="I14:I16" ca="1" si="3">INDEX($G$13:$G$16,MATCH(J14,$H$13:$H$16,0))</f>
        <v>Rendimentos de Aplicações de Recursos Previdenciários</v>
      </c>
      <c r="J14" s="18">
        <f t="shared" ref="J14:J16" ca="1" si="4">LARGE($H$13:$H$16,K14)</f>
        <v>2646435.8499999996</v>
      </c>
      <c r="K14">
        <v>2</v>
      </c>
      <c r="L14" s="18">
        <f t="shared" ref="L14:L16" ca="1" si="5">H14*-1</f>
        <v>0</v>
      </c>
      <c r="U14" s="30"/>
    </row>
    <row r="15" spans="2:21" x14ac:dyDescent="0.25">
      <c r="B15" s="28">
        <f t="array" ref="B15:B113">TRANSPOSE('Receita Arrecadada'!E1:XFD1)</f>
        <v>44227</v>
      </c>
      <c r="F15" s="30"/>
      <c r="G15" t="s">
        <v>44</v>
      </c>
      <c r="H15" s="18">
        <f ca="1">RCL!Q38</f>
        <v>2646435.8499999996</v>
      </c>
      <c r="I15" t="str">
        <f t="shared" ca="1" si="3"/>
        <v>Contrib. Do Servidor para o Plano de Previdência</v>
      </c>
      <c r="J15" s="18">
        <f t="shared" ca="1" si="4"/>
        <v>1167186.6300000001</v>
      </c>
      <c r="K15">
        <v>3</v>
      </c>
      <c r="L15" s="18">
        <f t="shared" ca="1" si="5"/>
        <v>-2646435.8499999996</v>
      </c>
      <c r="U15" s="30"/>
    </row>
    <row r="16" spans="2:21" x14ac:dyDescent="0.25">
      <c r="B16" s="28">
        <v>44255</v>
      </c>
      <c r="F16" s="30"/>
      <c r="G16" t="s">
        <v>45</v>
      </c>
      <c r="H16" s="18">
        <f ca="1">RCL!Q39</f>
        <v>5281417.37</v>
      </c>
      <c r="I16" t="str">
        <f t="shared" ca="1" si="3"/>
        <v>Compensação Financ. Entre Regimes de Previdência</v>
      </c>
      <c r="J16" s="18">
        <f t="shared" ca="1" si="4"/>
        <v>0</v>
      </c>
      <c r="K16">
        <v>4</v>
      </c>
      <c r="L16" s="18">
        <f t="shared" ca="1" si="5"/>
        <v>-5281417.37</v>
      </c>
      <c r="U16" s="30"/>
    </row>
    <row r="17" spans="2:21" x14ac:dyDescent="0.25">
      <c r="B17" s="28">
        <v>44286</v>
      </c>
      <c r="U17" s="30"/>
    </row>
    <row r="18" spans="2:21" x14ac:dyDescent="0.25">
      <c r="B18" s="28">
        <v>44316</v>
      </c>
      <c r="U18" s="30"/>
    </row>
    <row r="19" spans="2:21" x14ac:dyDescent="0.25">
      <c r="B19" s="28">
        <v>44347</v>
      </c>
      <c r="G19" t="s">
        <v>267</v>
      </c>
      <c r="I19" t="s">
        <v>267</v>
      </c>
      <c r="J19" t="s">
        <v>12</v>
      </c>
      <c r="L19" t="s">
        <v>12</v>
      </c>
      <c r="U19" s="30"/>
    </row>
    <row r="20" spans="2:21" x14ac:dyDescent="0.25">
      <c r="B20" s="28">
        <v>44377</v>
      </c>
      <c r="G20" s="32" t="s">
        <v>268</v>
      </c>
      <c r="H20" s="18">
        <f ca="1">DTP!P14</f>
        <v>16996536.119999997</v>
      </c>
      <c r="I20" t="str">
        <f ca="1">INDEX($G$20:$G$23,MATCH(J20,$H$20:$H$23,0))</f>
        <v>Ativos</v>
      </c>
      <c r="J20" s="18">
        <f ca="1">LARGE($H$20:$H$23,K20)</f>
        <v>16996536.119999997</v>
      </c>
      <c r="K20">
        <v>1</v>
      </c>
      <c r="L20" s="18">
        <f ca="1">H20</f>
        <v>16996536.119999997</v>
      </c>
      <c r="U20" s="30"/>
    </row>
    <row r="21" spans="2:21" x14ac:dyDescent="0.25">
      <c r="B21" s="28">
        <v>44408</v>
      </c>
      <c r="G21" s="32" t="s">
        <v>269</v>
      </c>
      <c r="H21" s="18">
        <f ca="1">DTP!P17</f>
        <v>3301163.38</v>
      </c>
      <c r="I21" t="str">
        <f t="shared" ref="I21:I23" ca="1" si="6">INDEX($G$20:$G$23,MATCH(J21,$H$20:$H$23,0))</f>
        <v>Inativos/Pens.</v>
      </c>
      <c r="J21" s="18">
        <f t="shared" ref="J21:J23" ca="1" si="7">LARGE($H$20:$H$23,K21)</f>
        <v>3301163.38</v>
      </c>
      <c r="K21">
        <v>2</v>
      </c>
      <c r="L21" s="18">
        <f t="shared" ref="L21:L23" ca="1" si="8">H21</f>
        <v>3301163.38</v>
      </c>
      <c r="U21" s="30"/>
    </row>
    <row r="22" spans="2:21" x14ac:dyDescent="0.25">
      <c r="B22" s="28">
        <v>44439</v>
      </c>
      <c r="G22" s="33" t="s">
        <v>270</v>
      </c>
      <c r="H22" s="18">
        <f ca="1">DTP!P20</f>
        <v>4329.5300000000007</v>
      </c>
      <c r="I22" t="str">
        <f t="shared" ca="1" si="6"/>
        <v>Terceirização</v>
      </c>
      <c r="J22" s="18">
        <f t="shared" ca="1" si="7"/>
        <v>4329.5300000000007</v>
      </c>
      <c r="K22">
        <v>3</v>
      </c>
      <c r="L22" s="18">
        <f t="shared" ca="1" si="8"/>
        <v>4329.5300000000007</v>
      </c>
      <c r="U22" s="30"/>
    </row>
    <row r="23" spans="2:21" x14ac:dyDescent="0.25">
      <c r="B23" s="28">
        <v>44469</v>
      </c>
      <c r="G23" s="32" t="s">
        <v>271</v>
      </c>
      <c r="H23" s="18">
        <f ca="1">DTP!P21</f>
        <v>0</v>
      </c>
      <c r="I23" t="str">
        <f t="shared" ca="1" si="6"/>
        <v>Exec. Financeira</v>
      </c>
      <c r="J23" s="18">
        <f t="shared" ca="1" si="7"/>
        <v>0</v>
      </c>
      <c r="K23">
        <v>4</v>
      </c>
      <c r="L23" s="18">
        <f t="shared" ca="1" si="8"/>
        <v>0</v>
      </c>
      <c r="U23" s="30"/>
    </row>
    <row r="24" spans="2:21" x14ac:dyDescent="0.25">
      <c r="B24" s="28">
        <v>44500</v>
      </c>
      <c r="G24" s="32" t="s">
        <v>272</v>
      </c>
      <c r="H24" s="18">
        <f ca="1">DTP!P23</f>
        <v>170774.54</v>
      </c>
      <c r="I24" t="str">
        <f ca="1">INDEX($G$24:$G$27,MATCH(J24,$H$24:$H$27,0))</f>
        <v>Inat./Pens. RPPS</v>
      </c>
      <c r="J24" s="18">
        <f ca="1">LARGE($H$24:$H$27,K24)</f>
        <v>3301163.38</v>
      </c>
      <c r="K24">
        <v>1</v>
      </c>
      <c r="L24" s="18">
        <f ca="1">H24*-1</f>
        <v>-170774.54</v>
      </c>
      <c r="U24" s="30"/>
    </row>
    <row r="25" spans="2:21" x14ac:dyDescent="0.25">
      <c r="B25" s="28">
        <v>44530</v>
      </c>
      <c r="G25" s="32" t="s">
        <v>273</v>
      </c>
      <c r="H25" s="18">
        <f ca="1">DTP!P24</f>
        <v>774172.96000000008</v>
      </c>
      <c r="I25" t="str">
        <f t="shared" ref="I25:I27" ca="1" si="9">INDEX($G$24:$G$27,MATCH(J25,$H$24:$H$27,0))</f>
        <v>Decisão Judicial</v>
      </c>
      <c r="J25" s="18">
        <f t="shared" ref="J25:J27" ca="1" si="10">LARGE($H$24:$H$27,K25)</f>
        <v>774172.96000000008</v>
      </c>
      <c r="K25">
        <v>2</v>
      </c>
      <c r="L25" s="18">
        <f t="shared" ref="L25:L27" ca="1" si="11">H25*-1</f>
        <v>-774172.96000000008</v>
      </c>
      <c r="U25" s="30"/>
    </row>
    <row r="26" spans="2:21" x14ac:dyDescent="0.25">
      <c r="B26" s="28">
        <v>44561</v>
      </c>
      <c r="G26" s="32" t="s">
        <v>274</v>
      </c>
      <c r="H26" s="18">
        <f ca="1">DTP!P25</f>
        <v>2895.75</v>
      </c>
      <c r="I26" t="str">
        <f t="shared" ca="1" si="9"/>
        <v>Indenizações</v>
      </c>
      <c r="J26" s="18">
        <f t="shared" ca="1" si="10"/>
        <v>170774.54</v>
      </c>
      <c r="K26">
        <v>3</v>
      </c>
      <c r="L26" s="18">
        <f t="shared" ca="1" si="11"/>
        <v>-2895.75</v>
      </c>
      <c r="U26" s="30"/>
    </row>
    <row r="27" spans="2:21" x14ac:dyDescent="0.25">
      <c r="B27" s="28">
        <v>44592</v>
      </c>
      <c r="G27" s="32" t="s">
        <v>275</v>
      </c>
      <c r="H27" s="18">
        <f ca="1">DTP!P26</f>
        <v>3301163.38</v>
      </c>
      <c r="I27" t="str">
        <f t="shared" ca="1" si="9"/>
        <v>Exercícios Ant.</v>
      </c>
      <c r="J27" s="18">
        <f t="shared" ca="1" si="10"/>
        <v>2895.75</v>
      </c>
      <c r="K27">
        <v>4</v>
      </c>
      <c r="L27" s="18">
        <f t="shared" ca="1" si="11"/>
        <v>-3301163.38</v>
      </c>
      <c r="U27" s="30"/>
    </row>
    <row r="28" spans="2:21" x14ac:dyDescent="0.25">
      <c r="B28" s="28">
        <v>44620</v>
      </c>
      <c r="U28" s="30"/>
    </row>
    <row r="29" spans="2:21" x14ac:dyDescent="0.25">
      <c r="B29" s="28">
        <v>44651</v>
      </c>
      <c r="U29" s="30"/>
    </row>
    <row r="30" spans="2:21" x14ac:dyDescent="0.25">
      <c r="B30" s="28">
        <v>44681</v>
      </c>
      <c r="U30" s="30"/>
    </row>
    <row r="31" spans="2:21" x14ac:dyDescent="0.25">
      <c r="B31" s="28">
        <v>44712</v>
      </c>
    </row>
    <row r="32" spans="2:21" x14ac:dyDescent="0.25">
      <c r="B32" s="28">
        <v>44742</v>
      </c>
    </row>
    <row r="33" spans="2:31" x14ac:dyDescent="0.25">
      <c r="B33" s="28">
        <v>44773</v>
      </c>
    </row>
    <row r="34" spans="2:31" x14ac:dyDescent="0.25">
      <c r="B34" s="28">
        <v>44804</v>
      </c>
    </row>
    <row r="35" spans="2:31" x14ac:dyDescent="0.25">
      <c r="B35" s="28">
        <v>44834</v>
      </c>
      <c r="H35">
        <v>23</v>
      </c>
      <c r="I35">
        <v>22</v>
      </c>
      <c r="J35">
        <v>21</v>
      </c>
      <c r="K35">
        <v>20</v>
      </c>
      <c r="L35">
        <v>19</v>
      </c>
      <c r="M35">
        <v>18</v>
      </c>
      <c r="N35">
        <v>17</v>
      </c>
      <c r="O35">
        <v>16</v>
      </c>
      <c r="P35">
        <v>15</v>
      </c>
      <c r="Q35">
        <v>14</v>
      </c>
      <c r="R35">
        <v>13</v>
      </c>
      <c r="S35">
        <v>12</v>
      </c>
      <c r="T35">
        <v>11</v>
      </c>
      <c r="U35">
        <v>10</v>
      </c>
      <c r="V35">
        <v>9</v>
      </c>
      <c r="W35">
        <v>8</v>
      </c>
      <c r="X35">
        <v>7</v>
      </c>
      <c r="Y35">
        <v>6</v>
      </c>
      <c r="Z35">
        <v>5</v>
      </c>
      <c r="AA35">
        <v>4</v>
      </c>
      <c r="AB35">
        <v>3</v>
      </c>
      <c r="AC35">
        <v>2</v>
      </c>
      <c r="AD35">
        <v>1</v>
      </c>
      <c r="AE35">
        <v>0</v>
      </c>
    </row>
    <row r="36" spans="2:31" x14ac:dyDescent="0.25">
      <c r="B36" s="28">
        <v>44865</v>
      </c>
      <c r="H36" s="28" t="e">
        <f t="shared" ref="H36:AC36" si="12">EOMONTH($AE$36,-H35)</f>
        <v>#NUM!</v>
      </c>
      <c r="I36" s="28" t="e">
        <f t="shared" si="12"/>
        <v>#NUM!</v>
      </c>
      <c r="J36" s="28" t="e">
        <f t="shared" si="12"/>
        <v>#NUM!</v>
      </c>
      <c r="K36" s="28" t="e">
        <f t="shared" si="12"/>
        <v>#NUM!</v>
      </c>
      <c r="L36" s="28" t="e">
        <f t="shared" si="12"/>
        <v>#NUM!</v>
      </c>
      <c r="M36" s="28" t="e">
        <f t="shared" si="12"/>
        <v>#NUM!</v>
      </c>
      <c r="N36" s="28" t="e">
        <f t="shared" si="12"/>
        <v>#NUM!</v>
      </c>
      <c r="O36" s="28" t="e">
        <f t="shared" si="12"/>
        <v>#NUM!</v>
      </c>
      <c r="P36" s="28" t="e">
        <f t="shared" si="12"/>
        <v>#NUM!</v>
      </c>
      <c r="Q36" s="28" t="e">
        <f t="shared" si="12"/>
        <v>#NUM!</v>
      </c>
      <c r="R36" s="28" t="e">
        <f t="shared" si="12"/>
        <v>#NUM!</v>
      </c>
      <c r="S36" s="28" t="e">
        <f t="shared" si="12"/>
        <v>#NUM!</v>
      </c>
      <c r="T36" s="28" t="e">
        <f t="shared" si="12"/>
        <v>#NUM!</v>
      </c>
      <c r="U36" s="28" t="e">
        <f t="shared" si="12"/>
        <v>#NUM!</v>
      </c>
      <c r="V36" s="28" t="e">
        <f t="shared" si="12"/>
        <v>#NUM!</v>
      </c>
      <c r="W36" s="28" t="e">
        <f t="shared" si="12"/>
        <v>#NUM!</v>
      </c>
      <c r="X36" s="28" t="e">
        <f t="shared" si="12"/>
        <v>#NUM!</v>
      </c>
      <c r="Y36" s="28" t="e">
        <f t="shared" si="12"/>
        <v>#NUM!</v>
      </c>
      <c r="Z36" s="28" t="e">
        <f t="shared" si="12"/>
        <v>#NUM!</v>
      </c>
      <c r="AA36" s="28" t="e">
        <f t="shared" si="12"/>
        <v>#NUM!</v>
      </c>
      <c r="AB36" s="28" t="e">
        <f t="shared" si="12"/>
        <v>#NUM!</v>
      </c>
      <c r="AC36" s="28" t="e">
        <f t="shared" si="12"/>
        <v>#NUM!</v>
      </c>
      <c r="AD36" s="28" t="e">
        <f>EOMONTH($AE$36,-AD35)</f>
        <v>#NUM!</v>
      </c>
      <c r="AE36" s="28">
        <f>Dashboard!AM23</f>
        <v>0</v>
      </c>
    </row>
    <row r="37" spans="2:31" x14ac:dyDescent="0.25">
      <c r="B37" s="28">
        <v>44895</v>
      </c>
      <c r="G37" t="s">
        <v>244</v>
      </c>
      <c r="H37" s="18">
        <f ca="1">IFERROR(SUMIF('Receita Arrecadada'!$C$2:$C$1048576,"soma"&amp;0,OFFSET('Receita Arrecadada'!$D2:$D1048576,,MATCH('Aux Dash'!H$36,'Receita Arrecadada'!$E$1:$XFD$1,0))),0)</f>
        <v>0</v>
      </c>
      <c r="I37" s="18">
        <f ca="1">IFERROR(SUMIF('Receita Arrecadada'!$C$2:$C$1048576,"soma",OFFSET('Receita Arrecadada'!$D2:$D1048576,,MATCH('Aux Dash'!I$36,'Receita Arrecadada'!$E$1:$XFD$1,0))),0)</f>
        <v>0</v>
      </c>
      <c r="J37" s="18">
        <f ca="1">IFERROR(SUMIF('Receita Arrecadada'!$C$2:$C$1048576,"soma",OFFSET('Receita Arrecadada'!$D2:$D1048576,,MATCH('Aux Dash'!J$36,'Receita Arrecadada'!$E$1:$XFD$1,0))),0)</f>
        <v>0</v>
      </c>
      <c r="K37" s="18">
        <f ca="1">IFERROR(SUMIF('Receita Arrecadada'!$C$2:$C$1048576,"soma",OFFSET('Receita Arrecadada'!$D2:$D1048576,,MATCH('Aux Dash'!K$36,'Receita Arrecadada'!$E$1:$XFD$1,0))),0)</f>
        <v>0</v>
      </c>
      <c r="L37" s="18">
        <f ca="1">IFERROR(SUMIF('Receita Arrecadada'!$C$2:$C$1048576,"soma",OFFSET('Receita Arrecadada'!$D2:$D1048576,,MATCH('Aux Dash'!L$36,'Receita Arrecadada'!$E$1:$XFD$1,0))),0)</f>
        <v>0</v>
      </c>
      <c r="M37" s="18">
        <f ca="1">IFERROR(SUMIF('Receita Arrecadada'!$C$2:$C$1048576,"soma",OFFSET('Receita Arrecadada'!$D2:$D1048576,,MATCH('Aux Dash'!M$36,'Receita Arrecadada'!$E$1:$XFD$1,0))),0)</f>
        <v>0</v>
      </c>
      <c r="N37" s="18">
        <f ca="1">IFERROR(SUMIF('Receita Arrecadada'!$C$2:$C$1048576,"soma",OFFSET('Receita Arrecadada'!$D2:$D1048576,,MATCH('Aux Dash'!N$36,'Receita Arrecadada'!$E$1:$XFD$1,0))),0)</f>
        <v>0</v>
      </c>
      <c r="O37" s="18">
        <f ca="1">IFERROR(SUMIF('Receita Arrecadada'!$C$2:$C$1048576,"soma",OFFSET('Receita Arrecadada'!$D2:$D1048576,,MATCH('Aux Dash'!O$36,'Receita Arrecadada'!$E$1:$XFD$1,0))),0)</f>
        <v>0</v>
      </c>
      <c r="P37" s="18">
        <f ca="1">IFERROR(SUMIF('Receita Arrecadada'!$C$2:$C$1048576,"soma",OFFSET('Receita Arrecadada'!$D2:$D1048576,,MATCH('Aux Dash'!P$36,'Receita Arrecadada'!$E$1:$XFD$1,0))),0)</f>
        <v>0</v>
      </c>
      <c r="Q37" s="18">
        <f ca="1">IFERROR(SUMIF('Receita Arrecadada'!$C$2:$C$1048576,"soma",OFFSET('Receita Arrecadada'!$D2:$D1048576,,MATCH('Aux Dash'!Q$36,'Receita Arrecadada'!$E$1:$XFD$1,0))),0)</f>
        <v>0</v>
      </c>
      <c r="R37" s="18">
        <f ca="1">IFERROR(SUMIF('Receita Arrecadada'!$C$2:$C$1048576,"soma",OFFSET('Receita Arrecadada'!$D2:$D1048576,,MATCH('Aux Dash'!R$36,'Receita Arrecadada'!$E$1:$XFD$1,0))),0)</f>
        <v>0</v>
      </c>
      <c r="S37" s="18">
        <f ca="1">IFERROR(SUMIF('Receita Arrecadada'!$C$2:$C$1048576,"soma",OFFSET('Receita Arrecadada'!$D2:$D1048576,,MATCH('Aux Dash'!S$36,'Receita Arrecadada'!$E$1:$XFD$1,0))),0)</f>
        <v>0</v>
      </c>
      <c r="T37" s="18">
        <f ca="1">IFERROR(SUMIF('Receita Arrecadada'!$C$2:$C$1048576,"soma",OFFSET('Receita Arrecadada'!$D2:$D1048576,,MATCH('Aux Dash'!T$36,'Receita Arrecadada'!$E$1:$XFD$1,0))),0)</f>
        <v>0</v>
      </c>
      <c r="U37" s="18">
        <f ca="1">IFERROR(SUMIF('Receita Arrecadada'!$C$2:$C$1048576,"soma",OFFSET('Receita Arrecadada'!$D2:$D1048576,,MATCH('Aux Dash'!U$36,'Receita Arrecadada'!$E$1:$XFD$1,0))),0)</f>
        <v>0</v>
      </c>
      <c r="V37" s="18">
        <f ca="1">IFERROR(SUMIF('Receita Arrecadada'!$C$2:$C$1048576,"soma",OFFSET('Receita Arrecadada'!$D2:$D1048576,,MATCH('Aux Dash'!V$36,'Receita Arrecadada'!$E$1:$XFD$1,0))),0)</f>
        <v>0</v>
      </c>
      <c r="W37" s="18">
        <f ca="1">IFERROR(SUMIF('Receita Arrecadada'!$C$2:$C$1048576,"soma",OFFSET('Receita Arrecadada'!$D2:$D1048576,,MATCH('Aux Dash'!W$36,'Receita Arrecadada'!$E$1:$XFD$1,0))),0)</f>
        <v>0</v>
      </c>
      <c r="X37" s="18">
        <f ca="1">IFERROR(SUMIF('Receita Arrecadada'!$C$2:$C$1048576,"soma",OFFSET('Receita Arrecadada'!$D2:$D1048576,,MATCH('Aux Dash'!X$36,'Receita Arrecadada'!$E$1:$XFD$1,0))),0)</f>
        <v>0</v>
      </c>
      <c r="Y37" s="18">
        <f ca="1">IFERROR(SUMIF('Receita Arrecadada'!$C$2:$C$1048576,"soma",OFFSET('Receita Arrecadada'!$D2:$D1048576,,MATCH('Aux Dash'!Y$36,'Receita Arrecadada'!$E$1:$XFD$1,0))),0)</f>
        <v>0</v>
      </c>
      <c r="Z37" s="18">
        <f ca="1">IFERROR(SUMIF('Receita Arrecadada'!$C$2:$C$1048576,"soma",OFFSET('Receita Arrecadada'!$D2:$D1048576,,MATCH('Aux Dash'!Z$36,'Receita Arrecadada'!$E$1:$XFD$1,0))),0)</f>
        <v>0</v>
      </c>
      <c r="AA37" s="18">
        <f ca="1">IFERROR(SUMIF('Receita Arrecadada'!$C$2:$C$1048576,"soma",OFFSET('Receita Arrecadada'!$D2:$D1048576,,MATCH('Aux Dash'!AA$36,'Receita Arrecadada'!$E$1:$XFD$1,0))),0)</f>
        <v>0</v>
      </c>
      <c r="AB37" s="18">
        <f ca="1">IFERROR(SUMIF('Receita Arrecadada'!$C$2:$C$1048576,"soma",OFFSET('Receita Arrecadada'!$D2:$D1048576,,MATCH('Aux Dash'!AB$36,'Receita Arrecadada'!$E$1:$XFD$1,0))),0)</f>
        <v>0</v>
      </c>
      <c r="AC37" s="18">
        <f ca="1">IFERROR(SUMIF('Receita Arrecadada'!$C$2:$C$1048576,"soma",OFFSET('Receita Arrecadada'!$D2:$D1048576,,MATCH('Aux Dash'!AC$36,'Receita Arrecadada'!$E$1:$XFD$1,0))),0)</f>
        <v>0</v>
      </c>
      <c r="AD37" s="18">
        <f ca="1">IFERROR(SUMIF('Receita Arrecadada'!$C$2:$C$1048576,"soma",OFFSET('Receita Arrecadada'!$D2:$D1048576,,MATCH('Aux Dash'!AD$36,'Receita Arrecadada'!$E$1:$XFD$1,0))),0)</f>
        <v>0</v>
      </c>
      <c r="AE37" s="18">
        <f ca="1">IFERROR(SUMIF('Receita Arrecadada'!$C$2:$C$1048576,"soma",OFFSET('Receita Arrecadada'!$D2:$D1048576,,MATCH('Aux Dash'!AE$36,'Receita Arrecadada'!$E$1:$XFD$1,0))),0)</f>
        <v>0</v>
      </c>
    </row>
    <row r="38" spans="2:31" x14ac:dyDescent="0.25">
      <c r="B38" s="28">
        <v>44926</v>
      </c>
      <c r="G38" t="s">
        <v>239</v>
      </c>
      <c r="H38" s="18">
        <f ca="1">IFERROR(SUMIF('Receita Arrecadada'!$C$2:$C$1048576,"deduz",OFFSET('Receita Arrecadada'!$D2:$D1048576,,MATCH('Aux Dash'!H$36,'Receita Arrecadada'!$E$1:$XFD$1,0))),0)</f>
        <v>0</v>
      </c>
      <c r="I38" s="18">
        <f ca="1">IFERROR(SUMIF('Receita Arrecadada'!$C$2:$C$1048576,"deduz",OFFSET('Receita Arrecadada'!$D2:$D1048576,,MATCH('Aux Dash'!I$36,'Receita Arrecadada'!$E$1:$XFD$1,0))),0)</f>
        <v>0</v>
      </c>
      <c r="J38" s="18">
        <f ca="1">IFERROR(SUMIF('Receita Arrecadada'!$C$2:$C$1048576,"deduz",OFFSET('Receita Arrecadada'!$D2:$D1048576,,MATCH('Aux Dash'!J$36,'Receita Arrecadada'!$E$1:$XFD$1,0))),0)</f>
        <v>0</v>
      </c>
      <c r="K38" s="18">
        <f ca="1">IFERROR(SUMIF('Receita Arrecadada'!$C$2:$C$1048576,"deduz",OFFSET('Receita Arrecadada'!$D2:$D1048576,,MATCH('Aux Dash'!K$36,'Receita Arrecadada'!$E$1:$XFD$1,0))),0)</f>
        <v>0</v>
      </c>
      <c r="L38" s="18">
        <f ca="1">IFERROR(SUMIF('Receita Arrecadada'!$C$2:$C$1048576,"deduz",OFFSET('Receita Arrecadada'!$D2:$D1048576,,MATCH('Aux Dash'!L$36,'Receita Arrecadada'!$E$1:$XFD$1,0))),0)</f>
        <v>0</v>
      </c>
      <c r="M38" s="18">
        <f ca="1">IFERROR(SUMIF('Receita Arrecadada'!$C$2:$C$1048576,"deduz",OFFSET('Receita Arrecadada'!$D2:$D1048576,,MATCH('Aux Dash'!M$36,'Receita Arrecadada'!$E$1:$XFD$1,0))),0)</f>
        <v>0</v>
      </c>
      <c r="N38" s="18">
        <f ca="1">IFERROR(SUMIF('Receita Arrecadada'!$C$2:$C$1048576,"deduz",OFFSET('Receita Arrecadada'!$D2:$D1048576,,MATCH('Aux Dash'!N$36,'Receita Arrecadada'!$E$1:$XFD$1,0))),0)</f>
        <v>0</v>
      </c>
      <c r="O38" s="18">
        <f ca="1">IFERROR(SUMIF('Receita Arrecadada'!$C$2:$C$1048576,"deduz",OFFSET('Receita Arrecadada'!$D2:$D1048576,,MATCH('Aux Dash'!O$36,'Receita Arrecadada'!$E$1:$XFD$1,0))),0)</f>
        <v>0</v>
      </c>
      <c r="P38" s="18">
        <f ca="1">IFERROR(SUMIF('Receita Arrecadada'!$C$2:$C$1048576,"deduz",OFFSET('Receita Arrecadada'!$D2:$D1048576,,MATCH('Aux Dash'!P$36,'Receita Arrecadada'!$E$1:$XFD$1,0))),0)</f>
        <v>0</v>
      </c>
      <c r="Q38" s="18">
        <f ca="1">IFERROR(SUMIF('Receita Arrecadada'!$C$2:$C$1048576,"deduz",OFFSET('Receita Arrecadada'!$D2:$D1048576,,MATCH('Aux Dash'!Q$36,'Receita Arrecadada'!$E$1:$XFD$1,0))),0)</f>
        <v>0</v>
      </c>
      <c r="R38" s="18">
        <f ca="1">IFERROR(SUMIF('Receita Arrecadada'!$C$2:$C$1048576,"deduz",OFFSET('Receita Arrecadada'!$D2:$D1048576,,MATCH('Aux Dash'!R$36,'Receita Arrecadada'!$E$1:$XFD$1,0))),0)</f>
        <v>0</v>
      </c>
      <c r="S38" s="18">
        <f ca="1">IFERROR(SUMIF('Receita Arrecadada'!$C$2:$C$1048576,"deduz",OFFSET('Receita Arrecadada'!$D2:$D1048576,,MATCH('Aux Dash'!S$36,'Receita Arrecadada'!$E$1:$XFD$1,0))),0)</f>
        <v>0</v>
      </c>
      <c r="T38" s="18">
        <f ca="1">IFERROR(SUMIF('Receita Arrecadada'!$C$2:$C$1048576,"deduz",OFFSET('Receita Arrecadada'!$D2:$D1048576,,MATCH('Aux Dash'!T$36,'Receita Arrecadada'!$E$1:$XFD$1,0))),0)</f>
        <v>0</v>
      </c>
      <c r="U38" s="18">
        <f ca="1">IFERROR(SUMIF('Receita Arrecadada'!$C$2:$C$1048576,"deduz",OFFSET('Receita Arrecadada'!$D2:$D1048576,,MATCH('Aux Dash'!U$36,'Receita Arrecadada'!$E$1:$XFD$1,0))),0)</f>
        <v>0</v>
      </c>
      <c r="V38" s="18">
        <f ca="1">IFERROR(SUMIF('Receita Arrecadada'!$C$2:$C$1048576,"deduz",OFFSET('Receita Arrecadada'!$D2:$D1048576,,MATCH('Aux Dash'!V$36,'Receita Arrecadada'!$E$1:$XFD$1,0))),0)</f>
        <v>0</v>
      </c>
      <c r="W38" s="18">
        <f ca="1">IFERROR(SUMIF('Receita Arrecadada'!$C$2:$C$1048576,"deduz",OFFSET('Receita Arrecadada'!$D2:$D1048576,,MATCH('Aux Dash'!W$36,'Receita Arrecadada'!$E$1:$XFD$1,0))),0)</f>
        <v>0</v>
      </c>
      <c r="X38" s="18">
        <f ca="1">IFERROR(SUMIF('Receita Arrecadada'!$C$2:$C$1048576,"deduz",OFFSET('Receita Arrecadada'!$D2:$D1048576,,MATCH('Aux Dash'!X$36,'Receita Arrecadada'!$E$1:$XFD$1,0))),0)</f>
        <v>0</v>
      </c>
      <c r="Y38" s="18">
        <f ca="1">IFERROR(SUMIF('Receita Arrecadada'!$C$2:$C$1048576,"deduz",OFFSET('Receita Arrecadada'!$D2:$D1048576,,MATCH('Aux Dash'!Y$36,'Receita Arrecadada'!$E$1:$XFD$1,0))),0)</f>
        <v>0</v>
      </c>
      <c r="Z38" s="18">
        <f ca="1">IFERROR(SUMIF('Receita Arrecadada'!$C$2:$C$1048576,"deduz",OFFSET('Receita Arrecadada'!$D2:$D1048576,,MATCH('Aux Dash'!Z$36,'Receita Arrecadada'!$E$1:$XFD$1,0))),0)</f>
        <v>0</v>
      </c>
      <c r="AA38" s="18">
        <f ca="1">IFERROR(SUMIF('Receita Arrecadada'!$C$2:$C$1048576,"deduz",OFFSET('Receita Arrecadada'!$D2:$D1048576,,MATCH('Aux Dash'!AA$36,'Receita Arrecadada'!$E$1:$XFD$1,0))),0)</f>
        <v>0</v>
      </c>
      <c r="AB38" s="18">
        <f ca="1">IFERROR(SUMIF('Receita Arrecadada'!$C$2:$C$1048576,"deduz",OFFSET('Receita Arrecadada'!$D2:$D1048576,,MATCH('Aux Dash'!AB$36,'Receita Arrecadada'!$E$1:$XFD$1,0))),0)</f>
        <v>0</v>
      </c>
      <c r="AC38" s="18">
        <f ca="1">IFERROR(SUMIF('Receita Arrecadada'!$C$2:$C$1048576,"deduz",OFFSET('Receita Arrecadada'!$D2:$D1048576,,MATCH('Aux Dash'!AC$36,'Receita Arrecadada'!$E$1:$XFD$1,0))),0)</f>
        <v>0</v>
      </c>
      <c r="AD38" s="18">
        <f ca="1">IFERROR(SUMIF('Receita Arrecadada'!$C$2:$C$1048576,"deduz",OFFSET('Receita Arrecadada'!$D2:$D1048576,,MATCH('Aux Dash'!AD$36,'Receita Arrecadada'!$E$1:$XFD$1,0))),0)</f>
        <v>0</v>
      </c>
      <c r="AE38" s="18">
        <f ca="1">IFERROR(SUMIF('Receita Arrecadada'!$C$2:$C$1048576,"deduz",OFFSET('Receita Arrecadada'!$D2:$D1048576,,MATCH('Aux Dash'!AE$36,'Receita Arrecadada'!$E$1:$XFD$1,0))),0)</f>
        <v>0</v>
      </c>
    </row>
    <row r="39" spans="2:31" x14ac:dyDescent="0.25">
      <c r="B39" s="28">
        <v>44957</v>
      </c>
      <c r="G39" t="s">
        <v>248</v>
      </c>
      <c r="H39" s="18">
        <f t="shared" ref="H39:AC39" ca="1" si="13">H37-H38</f>
        <v>0</v>
      </c>
      <c r="I39" s="18">
        <f t="shared" ca="1" si="13"/>
        <v>0</v>
      </c>
      <c r="J39" s="18">
        <f t="shared" ca="1" si="13"/>
        <v>0</v>
      </c>
      <c r="K39" s="18">
        <f t="shared" ca="1" si="13"/>
        <v>0</v>
      </c>
      <c r="L39" s="18">
        <f t="shared" ca="1" si="13"/>
        <v>0</v>
      </c>
      <c r="M39" s="18">
        <f t="shared" ca="1" si="13"/>
        <v>0</v>
      </c>
      <c r="N39" s="18">
        <f t="shared" ca="1" si="13"/>
        <v>0</v>
      </c>
      <c r="O39" s="18">
        <f t="shared" ca="1" si="13"/>
        <v>0</v>
      </c>
      <c r="P39" s="18">
        <f t="shared" ca="1" si="13"/>
        <v>0</v>
      </c>
      <c r="Q39" s="18">
        <f t="shared" ca="1" si="13"/>
        <v>0</v>
      </c>
      <c r="R39" s="18">
        <f t="shared" ca="1" si="13"/>
        <v>0</v>
      </c>
      <c r="S39" s="18">
        <f t="shared" ca="1" si="13"/>
        <v>0</v>
      </c>
      <c r="T39" s="18">
        <f t="shared" ca="1" si="13"/>
        <v>0</v>
      </c>
      <c r="U39" s="18">
        <f t="shared" ca="1" si="13"/>
        <v>0</v>
      </c>
      <c r="V39" s="18">
        <f t="shared" ca="1" si="13"/>
        <v>0</v>
      </c>
      <c r="W39" s="18">
        <f t="shared" ca="1" si="13"/>
        <v>0</v>
      </c>
      <c r="X39" s="18">
        <f t="shared" ca="1" si="13"/>
        <v>0</v>
      </c>
      <c r="Y39" s="18">
        <f t="shared" ca="1" si="13"/>
        <v>0</v>
      </c>
      <c r="Z39" s="18">
        <f t="shared" ca="1" si="13"/>
        <v>0</v>
      </c>
      <c r="AA39" s="18">
        <f t="shared" ca="1" si="13"/>
        <v>0</v>
      </c>
      <c r="AB39" s="18">
        <f t="shared" ca="1" si="13"/>
        <v>0</v>
      </c>
      <c r="AC39" s="18">
        <f t="shared" ca="1" si="13"/>
        <v>0</v>
      </c>
      <c r="AD39" s="18">
        <f ca="1">AD37-AD38</f>
        <v>0</v>
      </c>
      <c r="AE39" s="18">
        <f ca="1">AE37-AE38</f>
        <v>0</v>
      </c>
    </row>
    <row r="40" spans="2:31" x14ac:dyDescent="0.25">
      <c r="B40" s="28">
        <v>44985</v>
      </c>
      <c r="G40" t="s">
        <v>240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>
        <f t="shared" ref="T40:AC40" ca="1" si="14">SUM(I39:T39)</f>
        <v>0</v>
      </c>
      <c r="U40" s="18">
        <f t="shared" ca="1" si="14"/>
        <v>0</v>
      </c>
      <c r="V40" s="18">
        <f t="shared" ca="1" si="14"/>
        <v>0</v>
      </c>
      <c r="W40" s="18">
        <f t="shared" ca="1" si="14"/>
        <v>0</v>
      </c>
      <c r="X40" s="18">
        <f t="shared" ca="1" si="14"/>
        <v>0</v>
      </c>
      <c r="Y40" s="18">
        <f t="shared" ca="1" si="14"/>
        <v>0</v>
      </c>
      <c r="Z40" s="18">
        <f t="shared" ca="1" si="14"/>
        <v>0</v>
      </c>
      <c r="AA40" s="18">
        <f t="shared" ca="1" si="14"/>
        <v>0</v>
      </c>
      <c r="AB40" s="18">
        <f t="shared" ca="1" si="14"/>
        <v>0</v>
      </c>
      <c r="AC40" s="18">
        <f t="shared" ca="1" si="14"/>
        <v>0</v>
      </c>
      <c r="AD40" s="18">
        <f ca="1">SUM(S39:AD39)</f>
        <v>0</v>
      </c>
      <c r="AE40" s="18">
        <f ca="1">SUM(T39:AE39)</f>
        <v>0</v>
      </c>
    </row>
    <row r="41" spans="2:31" x14ac:dyDescent="0.25">
      <c r="B41" s="28">
        <v>45016</v>
      </c>
    </row>
    <row r="42" spans="2:31" x14ac:dyDescent="0.25">
      <c r="B42" s="28">
        <v>45046</v>
      </c>
      <c r="G42" t="s">
        <v>245</v>
      </c>
      <c r="H42" s="18">
        <f ca="1">IFERROR(SUMIF('Despesa Liquidada'!$B$2:$B$1048576,"&lt;&gt;",OFFSET('Despesa Liquidada'!$D2:$D1048576,,MATCH('Aux Dash'!H$36,'Despesa Liquidada'!$E$1:$XFD$1,0))),0)</f>
        <v>0</v>
      </c>
      <c r="I42" s="18">
        <f ca="1">IFERROR(SUMIF('Despesa Liquidada'!$B$2:$B$1048576,"&lt;&gt;",OFFSET('Despesa Liquidada'!$D2:$D1048576,,MATCH('Aux Dash'!I$36,'Despesa Liquidada'!$E$1:$XFD$1,0))),0)</f>
        <v>0</v>
      </c>
      <c r="J42" s="18">
        <f ca="1">IFERROR(SUMIF('Despesa Liquidada'!$B$2:$B$1048576,"&lt;&gt;",OFFSET('Despesa Liquidada'!$D2:$D1048576,,MATCH('Aux Dash'!J$36,'Despesa Liquidada'!$E$1:$XFD$1,0))),0)</f>
        <v>0</v>
      </c>
      <c r="K42" s="18">
        <f ca="1">IFERROR(SUMIF('Despesa Liquidada'!$B$2:$B$1048576,"&lt;&gt;",OFFSET('Despesa Liquidada'!$D2:$D1048576,,MATCH('Aux Dash'!K$36,'Despesa Liquidada'!$E$1:$XFD$1,0))),0)</f>
        <v>0</v>
      </c>
      <c r="L42" s="18">
        <f ca="1">IFERROR(SUMIF('Despesa Liquidada'!$B$2:$B$1048576,"&lt;&gt;",OFFSET('Despesa Liquidada'!$D2:$D1048576,,MATCH('Aux Dash'!L$36,'Despesa Liquidada'!$E$1:$XFD$1,0))),0)</f>
        <v>0</v>
      </c>
      <c r="M42" s="18">
        <f ca="1">IFERROR(SUMIF('Despesa Liquidada'!$B$2:$B$1048576,"&lt;&gt;",OFFSET('Despesa Liquidada'!$D2:$D1048576,,MATCH('Aux Dash'!M$36,'Despesa Liquidada'!$E$1:$XFD$1,0))),0)</f>
        <v>0</v>
      </c>
      <c r="N42" s="18">
        <f ca="1">IFERROR(SUMIF('Despesa Liquidada'!$B$2:$B$1048576,"&lt;&gt;",OFFSET('Despesa Liquidada'!$D2:$D1048576,,MATCH('Aux Dash'!N$36,'Despesa Liquidada'!$E$1:$XFD$1,0))),0)</f>
        <v>0</v>
      </c>
      <c r="O42" s="18">
        <f ca="1">IFERROR(SUMIF('Despesa Liquidada'!$B$2:$B$1048576,"&lt;&gt;",OFFSET('Despesa Liquidada'!$D2:$D1048576,,MATCH('Aux Dash'!O$36,'Despesa Liquidada'!$E$1:$XFD$1,0))),0)</f>
        <v>0</v>
      </c>
      <c r="P42" s="18">
        <f ca="1">IFERROR(SUMIF('Despesa Liquidada'!$B$2:$B$1048576,"&lt;&gt;",OFFSET('Despesa Liquidada'!$D2:$D1048576,,MATCH('Aux Dash'!P$36,'Despesa Liquidada'!$E$1:$XFD$1,0))),0)</f>
        <v>0</v>
      </c>
      <c r="Q42" s="18">
        <f ca="1">IFERROR(SUMIF('Despesa Liquidada'!$B$2:$B$1048576,"&lt;&gt;",OFFSET('Despesa Liquidada'!$D2:$D1048576,,MATCH('Aux Dash'!Q$36,'Despesa Liquidada'!$E$1:$XFD$1,0))),0)</f>
        <v>0</v>
      </c>
      <c r="R42" s="18">
        <f ca="1">IFERROR(SUMIF('Despesa Liquidada'!$B$2:$B$1048576,"&lt;&gt;",OFFSET('Despesa Liquidada'!$D2:$D1048576,,MATCH('Aux Dash'!R$36,'Despesa Liquidada'!$E$1:$XFD$1,0))),0)</f>
        <v>0</v>
      </c>
      <c r="S42" s="18">
        <f ca="1">IFERROR(SUMIF('Despesa Liquidada'!$B$2:$B$1048576,"&lt;&gt;",OFFSET('Despesa Liquidada'!$D2:$D1048576,,MATCH('Aux Dash'!S$36,'Despesa Liquidada'!$E$1:$XFD$1,0))),0)</f>
        <v>0</v>
      </c>
      <c r="T42" s="18">
        <f ca="1">IFERROR(SUMIF('Despesa Liquidada'!$B$2:$B$1048576,"&lt;&gt;",OFFSET('Despesa Liquidada'!$D2:$D1048576,,MATCH('Aux Dash'!T$36,'Despesa Liquidada'!$E$1:$XFD$1,0))),0)</f>
        <v>0</v>
      </c>
      <c r="U42" s="18">
        <f ca="1">IFERROR(SUMIF('Despesa Liquidada'!$B$2:$B$1048576,"&lt;&gt;",OFFSET('Despesa Liquidada'!$D2:$D1048576,,MATCH('Aux Dash'!U$36,'Despesa Liquidada'!$E$1:$XFD$1,0))),0)</f>
        <v>0</v>
      </c>
      <c r="V42" s="18">
        <f ca="1">IFERROR(SUMIF('Despesa Liquidada'!$B$2:$B$1048576,"&lt;&gt;",OFFSET('Despesa Liquidada'!$D2:$D1048576,,MATCH('Aux Dash'!V$36,'Despesa Liquidada'!$E$1:$XFD$1,0))),0)</f>
        <v>0</v>
      </c>
      <c r="W42" s="18">
        <f ca="1">IFERROR(SUMIF('Despesa Liquidada'!$B$2:$B$1048576,"&lt;&gt;",OFFSET('Despesa Liquidada'!$D2:$D1048576,,MATCH('Aux Dash'!W$36,'Despesa Liquidada'!$E$1:$XFD$1,0))),0)</f>
        <v>0</v>
      </c>
      <c r="X42" s="18">
        <f ca="1">IFERROR(SUMIF('Despesa Liquidada'!$B$2:$B$1048576,"&lt;&gt;",OFFSET('Despesa Liquidada'!$D2:$D1048576,,MATCH('Aux Dash'!X$36,'Despesa Liquidada'!$E$1:$XFD$1,0))),0)</f>
        <v>0</v>
      </c>
      <c r="Y42" s="18">
        <f ca="1">IFERROR(SUMIF('Despesa Liquidada'!$B$2:$B$1048576,"&lt;&gt;",OFFSET('Despesa Liquidada'!$D2:$D1048576,,MATCH('Aux Dash'!Y$36,'Despesa Liquidada'!$E$1:$XFD$1,0))),0)</f>
        <v>0</v>
      </c>
      <c r="Z42" s="18">
        <f ca="1">IFERROR(SUMIF('Despesa Liquidada'!$B$2:$B$1048576,"&lt;&gt;",OFFSET('Despesa Liquidada'!$D2:$D1048576,,MATCH('Aux Dash'!Z$36,'Despesa Liquidada'!$E$1:$XFD$1,0))),0)</f>
        <v>0</v>
      </c>
      <c r="AA42" s="18">
        <f ca="1">IFERROR(SUMIF('Despesa Liquidada'!$B$2:$B$1048576,"&lt;&gt;",OFFSET('Despesa Liquidada'!$D2:$D1048576,,MATCH('Aux Dash'!AA$36,'Despesa Liquidada'!$E$1:$XFD$1,0))),0)</f>
        <v>0</v>
      </c>
      <c r="AB42" s="18">
        <f ca="1">IFERROR(SUMIF('Despesa Liquidada'!$B$2:$B$1048576,"&lt;&gt;",OFFSET('Despesa Liquidada'!$D2:$D1048576,,MATCH('Aux Dash'!AB$36,'Despesa Liquidada'!$E$1:$XFD$1,0))),0)</f>
        <v>0</v>
      </c>
      <c r="AC42" s="18">
        <f ca="1">IFERROR(SUMIF('Despesa Liquidada'!$B$2:$B$1048576,"&lt;&gt;",OFFSET('Despesa Liquidada'!$D2:$D1048576,,MATCH('Aux Dash'!AC$36,'Despesa Liquidada'!$E$1:$XFD$1,0))),0)</f>
        <v>0</v>
      </c>
      <c r="AD42" s="18">
        <f ca="1">IFERROR(SUMIF('Despesa Liquidada'!$B$2:$B$1048576,"&lt;&gt;",OFFSET('Despesa Liquidada'!$D2:$D1048576,,MATCH('Aux Dash'!AD$36,'Despesa Liquidada'!$E$1:$XFD$1,0))),0)</f>
        <v>0</v>
      </c>
      <c r="AE42" s="18">
        <f ca="1">IFERROR(SUMIF('Despesa Liquidada'!$B$2:$B$1048576,"&lt;&gt;",OFFSET('Despesa Liquidada'!$D2:$D1048576,,MATCH('Aux Dash'!AE$36,'Despesa Liquidada'!$E$1:$XFD$1,0))),0)</f>
        <v>0</v>
      </c>
    </row>
    <row r="43" spans="2:31" x14ac:dyDescent="0.25">
      <c r="B43" s="28">
        <v>45077</v>
      </c>
      <c r="G43" t="s">
        <v>239</v>
      </c>
      <c r="H43" s="18">
        <f ca="1">IFERROR(SUMIF('Despesa Liquidada'!$C$2:$C$1048576,"&lt;&gt;",OFFSET('Despesa Liquidada'!$D2:$D1048576,,MATCH('Aux Dash'!H$36,'Despesa Liquidada'!$E$1:$XFD$1,0))),0)</f>
        <v>0</v>
      </c>
      <c r="I43" s="18">
        <f ca="1">IFERROR(SUMIF('Despesa Liquidada'!$C$2:$C$1048576,"&lt;&gt;",OFFSET('Despesa Liquidada'!$D2:$D1048576,,MATCH('Aux Dash'!I$36,'Despesa Liquidada'!$E$1:$XFD$1,0))),0)</f>
        <v>0</v>
      </c>
      <c r="J43" s="18">
        <f ca="1">IFERROR(SUMIF('Despesa Liquidada'!$C$2:$C$1048576,"&lt;&gt;",OFFSET('Despesa Liquidada'!$D2:$D1048576,,MATCH('Aux Dash'!J$36,'Despesa Liquidada'!$E$1:$XFD$1,0))),0)</f>
        <v>0</v>
      </c>
      <c r="K43" s="18">
        <f ca="1">IFERROR(SUMIF('Despesa Liquidada'!$C$2:$C$1048576,"&lt;&gt;",OFFSET('Despesa Liquidada'!$D2:$D1048576,,MATCH('Aux Dash'!K$36,'Despesa Liquidada'!$E$1:$XFD$1,0))),0)</f>
        <v>0</v>
      </c>
      <c r="L43" s="18">
        <f ca="1">IFERROR(SUMIF('Despesa Liquidada'!$C$2:$C$1048576,"&lt;&gt;",OFFSET('Despesa Liquidada'!$D2:$D1048576,,MATCH('Aux Dash'!L$36,'Despesa Liquidada'!$E$1:$XFD$1,0))),0)</f>
        <v>0</v>
      </c>
      <c r="M43" s="18">
        <f ca="1">IFERROR(SUMIF('Despesa Liquidada'!$C$2:$C$1048576,"&lt;&gt;",OFFSET('Despesa Liquidada'!$D2:$D1048576,,MATCH('Aux Dash'!M$36,'Despesa Liquidada'!$E$1:$XFD$1,0))),0)</f>
        <v>0</v>
      </c>
      <c r="N43" s="18">
        <f ca="1">IFERROR(SUMIF('Despesa Liquidada'!$C$2:$C$1048576,"&lt;&gt;",OFFSET('Despesa Liquidada'!$D2:$D1048576,,MATCH('Aux Dash'!N$36,'Despesa Liquidada'!$E$1:$XFD$1,0))),0)</f>
        <v>0</v>
      </c>
      <c r="O43" s="18">
        <f ca="1">IFERROR(SUMIF('Despesa Liquidada'!$C$2:$C$1048576,"&lt;&gt;",OFFSET('Despesa Liquidada'!$D2:$D1048576,,MATCH('Aux Dash'!O$36,'Despesa Liquidada'!$E$1:$XFD$1,0))),0)</f>
        <v>0</v>
      </c>
      <c r="P43" s="18">
        <f ca="1">IFERROR(SUMIF('Despesa Liquidada'!$C$2:$C$1048576,"&lt;&gt;",OFFSET('Despesa Liquidada'!$D2:$D1048576,,MATCH('Aux Dash'!P$36,'Despesa Liquidada'!$E$1:$XFD$1,0))),0)</f>
        <v>0</v>
      </c>
      <c r="Q43" s="18">
        <f ca="1">IFERROR(SUMIF('Despesa Liquidada'!$C$2:$C$1048576,"&lt;&gt;",OFFSET('Despesa Liquidada'!$D2:$D1048576,,MATCH('Aux Dash'!Q$36,'Despesa Liquidada'!$E$1:$XFD$1,0))),0)</f>
        <v>0</v>
      </c>
      <c r="R43" s="18">
        <f ca="1">IFERROR(SUMIF('Despesa Liquidada'!$C$2:$C$1048576,"&lt;&gt;",OFFSET('Despesa Liquidada'!$D2:$D1048576,,MATCH('Aux Dash'!R$36,'Despesa Liquidada'!$E$1:$XFD$1,0))),0)</f>
        <v>0</v>
      </c>
      <c r="S43" s="18">
        <f ca="1">IFERROR(SUMIF('Despesa Liquidada'!$C$2:$C$1048576,"&lt;&gt;",OFFSET('Despesa Liquidada'!$D2:$D1048576,,MATCH('Aux Dash'!S$36,'Despesa Liquidada'!$E$1:$XFD$1,0))),0)</f>
        <v>0</v>
      </c>
      <c r="T43" s="18">
        <f ca="1">IFERROR(SUMIF('Despesa Liquidada'!$C$2:$C$1048576,"&lt;&gt;",OFFSET('Despesa Liquidada'!$D2:$D1048576,,MATCH('Aux Dash'!T$36,'Despesa Liquidada'!$E$1:$XFD$1,0))),0)</f>
        <v>0</v>
      </c>
      <c r="U43" s="18">
        <f ca="1">IFERROR(SUMIF('Despesa Liquidada'!$C$2:$C$1048576,"&lt;&gt;",OFFSET('Despesa Liquidada'!$D2:$D1048576,,MATCH('Aux Dash'!U$36,'Despesa Liquidada'!$E$1:$XFD$1,0))),0)</f>
        <v>0</v>
      </c>
      <c r="V43" s="18">
        <f ca="1">IFERROR(SUMIF('Despesa Liquidada'!$C$2:$C$1048576,"&lt;&gt;",OFFSET('Despesa Liquidada'!$D2:$D1048576,,MATCH('Aux Dash'!V$36,'Despesa Liquidada'!$E$1:$XFD$1,0))),0)</f>
        <v>0</v>
      </c>
      <c r="W43" s="18">
        <f ca="1">IFERROR(SUMIF('Despesa Liquidada'!$C$2:$C$1048576,"&lt;&gt;",OFFSET('Despesa Liquidada'!$D2:$D1048576,,MATCH('Aux Dash'!W$36,'Despesa Liquidada'!$E$1:$XFD$1,0))),0)</f>
        <v>0</v>
      </c>
      <c r="X43" s="18">
        <f ca="1">IFERROR(SUMIF('Despesa Liquidada'!$C$2:$C$1048576,"&lt;&gt;",OFFSET('Despesa Liquidada'!$D2:$D1048576,,MATCH('Aux Dash'!X$36,'Despesa Liquidada'!$E$1:$XFD$1,0))),0)</f>
        <v>0</v>
      </c>
      <c r="Y43" s="18">
        <f ca="1">IFERROR(SUMIF('Despesa Liquidada'!$C$2:$C$1048576,"&lt;&gt;",OFFSET('Despesa Liquidada'!$D2:$D1048576,,MATCH('Aux Dash'!Y$36,'Despesa Liquidada'!$E$1:$XFD$1,0))),0)</f>
        <v>0</v>
      </c>
      <c r="Z43" s="18">
        <f ca="1">IFERROR(SUMIF('Despesa Liquidada'!$C$2:$C$1048576,"&lt;&gt;",OFFSET('Despesa Liquidada'!$D2:$D1048576,,MATCH('Aux Dash'!Z$36,'Despesa Liquidada'!$E$1:$XFD$1,0))),0)</f>
        <v>0</v>
      </c>
      <c r="AA43" s="18">
        <f ca="1">IFERROR(SUMIF('Despesa Liquidada'!$C$2:$C$1048576,"&lt;&gt;",OFFSET('Despesa Liquidada'!$D2:$D1048576,,MATCH('Aux Dash'!AA$36,'Despesa Liquidada'!$E$1:$XFD$1,0))),0)</f>
        <v>0</v>
      </c>
      <c r="AB43" s="18">
        <f ca="1">IFERROR(SUMIF('Despesa Liquidada'!$C$2:$C$1048576,"&lt;&gt;",OFFSET('Despesa Liquidada'!$D2:$D1048576,,MATCH('Aux Dash'!AB$36,'Despesa Liquidada'!$E$1:$XFD$1,0))),0)</f>
        <v>0</v>
      </c>
      <c r="AC43" s="18">
        <f ca="1">IFERROR(SUMIF('Despesa Liquidada'!$C$2:$C$1048576,"&lt;&gt;",OFFSET('Despesa Liquidada'!$D2:$D1048576,,MATCH('Aux Dash'!AC$36,'Despesa Liquidada'!$E$1:$XFD$1,0))),0)</f>
        <v>0</v>
      </c>
      <c r="AD43" s="18">
        <f ca="1">IFERROR(SUMIF('Despesa Liquidada'!$C$2:$C$1048576,"&lt;&gt;",OFFSET('Despesa Liquidada'!$D2:$D1048576,,MATCH('Aux Dash'!AD$36,'Despesa Liquidada'!$E$1:$XFD$1,0))),0)</f>
        <v>0</v>
      </c>
      <c r="AE43" s="18">
        <f ca="1">IFERROR(SUMIF('Despesa Liquidada'!$C$2:$C$1048576,"&lt;&gt;",OFFSET('Despesa Liquidada'!$D2:$D1048576,,MATCH('Aux Dash'!AE$36,'Despesa Liquidada'!$E$1:$XFD$1,0))),0)</f>
        <v>0</v>
      </c>
    </row>
    <row r="44" spans="2:31" x14ac:dyDescent="0.25">
      <c r="B44" s="28">
        <v>45107</v>
      </c>
      <c r="G44" t="s">
        <v>247</v>
      </c>
      <c r="H44" s="18">
        <f t="shared" ref="H44:AD44" ca="1" si="15">H42-H43</f>
        <v>0</v>
      </c>
      <c r="I44" s="18">
        <f t="shared" ca="1" si="15"/>
        <v>0</v>
      </c>
      <c r="J44" s="18">
        <f t="shared" ca="1" si="15"/>
        <v>0</v>
      </c>
      <c r="K44" s="18">
        <f t="shared" ca="1" si="15"/>
        <v>0</v>
      </c>
      <c r="L44" s="18">
        <f t="shared" ca="1" si="15"/>
        <v>0</v>
      </c>
      <c r="M44" s="18">
        <f t="shared" ca="1" si="15"/>
        <v>0</v>
      </c>
      <c r="N44" s="18">
        <f t="shared" ca="1" si="15"/>
        <v>0</v>
      </c>
      <c r="O44" s="18">
        <f t="shared" ca="1" si="15"/>
        <v>0</v>
      </c>
      <c r="P44" s="18">
        <f t="shared" ca="1" si="15"/>
        <v>0</v>
      </c>
      <c r="Q44" s="18">
        <f t="shared" ca="1" si="15"/>
        <v>0</v>
      </c>
      <c r="R44" s="18">
        <f t="shared" ca="1" si="15"/>
        <v>0</v>
      </c>
      <c r="S44" s="18">
        <f t="shared" ca="1" si="15"/>
        <v>0</v>
      </c>
      <c r="T44" s="18">
        <f t="shared" ca="1" si="15"/>
        <v>0</v>
      </c>
      <c r="U44" s="18">
        <f t="shared" ca="1" si="15"/>
        <v>0</v>
      </c>
      <c r="V44" s="18">
        <f t="shared" ca="1" si="15"/>
        <v>0</v>
      </c>
      <c r="W44" s="18">
        <f t="shared" ca="1" si="15"/>
        <v>0</v>
      </c>
      <c r="X44" s="18">
        <f t="shared" ca="1" si="15"/>
        <v>0</v>
      </c>
      <c r="Y44" s="18">
        <f t="shared" ca="1" si="15"/>
        <v>0</v>
      </c>
      <c r="Z44" s="18">
        <f t="shared" ca="1" si="15"/>
        <v>0</v>
      </c>
      <c r="AA44" s="18">
        <f t="shared" ca="1" si="15"/>
        <v>0</v>
      </c>
      <c r="AB44" s="18">
        <f t="shared" ca="1" si="15"/>
        <v>0</v>
      </c>
      <c r="AC44" s="18">
        <f t="shared" ca="1" si="15"/>
        <v>0</v>
      </c>
      <c r="AD44" s="18">
        <f t="shared" ca="1" si="15"/>
        <v>0</v>
      </c>
      <c r="AE44" s="18">
        <f ca="1">AE42-AE43</f>
        <v>0</v>
      </c>
    </row>
    <row r="45" spans="2:31" x14ac:dyDescent="0.25">
      <c r="B45" s="28">
        <v>45138</v>
      </c>
      <c r="G45" t="s">
        <v>241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>
        <f t="shared" ref="S45:AD45" ca="1" si="16">SUM(H44:S44)</f>
        <v>0</v>
      </c>
      <c r="T45" s="18">
        <f t="shared" ca="1" si="16"/>
        <v>0</v>
      </c>
      <c r="U45" s="18">
        <f t="shared" ca="1" si="16"/>
        <v>0</v>
      </c>
      <c r="V45" s="18">
        <f t="shared" ca="1" si="16"/>
        <v>0</v>
      </c>
      <c r="W45" s="18">
        <f t="shared" ca="1" si="16"/>
        <v>0</v>
      </c>
      <c r="X45" s="18">
        <f t="shared" ca="1" si="16"/>
        <v>0</v>
      </c>
      <c r="Y45" s="18">
        <f t="shared" ca="1" si="16"/>
        <v>0</v>
      </c>
      <c r="Z45" s="18">
        <f t="shared" ca="1" si="16"/>
        <v>0</v>
      </c>
      <c r="AA45" s="18">
        <f t="shared" ca="1" si="16"/>
        <v>0</v>
      </c>
      <c r="AB45" s="18">
        <f t="shared" ca="1" si="16"/>
        <v>0</v>
      </c>
      <c r="AC45" s="18">
        <f t="shared" ca="1" si="16"/>
        <v>0</v>
      </c>
      <c r="AD45" s="18">
        <f t="shared" ca="1" si="16"/>
        <v>0</v>
      </c>
      <c r="AE45" s="18">
        <f ca="1">SUM(T44:AE44)</f>
        <v>0</v>
      </c>
    </row>
    <row r="46" spans="2:31" x14ac:dyDescent="0.25">
      <c r="B46" s="28">
        <v>45169</v>
      </c>
    </row>
    <row r="47" spans="2:31" x14ac:dyDescent="0.25">
      <c r="B47" s="28">
        <v>45199</v>
      </c>
      <c r="G47" t="s">
        <v>246</v>
      </c>
      <c r="S47" s="26"/>
      <c r="T47" s="26" t="e">
        <f t="shared" ref="T47:AE47" ca="1" si="17">T45/T40</f>
        <v>#DIV/0!</v>
      </c>
      <c r="U47" s="26" t="e">
        <f t="shared" ca="1" si="17"/>
        <v>#DIV/0!</v>
      </c>
      <c r="V47" s="26" t="e">
        <f t="shared" ca="1" si="17"/>
        <v>#DIV/0!</v>
      </c>
      <c r="W47" s="26" t="e">
        <f t="shared" ca="1" si="17"/>
        <v>#DIV/0!</v>
      </c>
      <c r="X47" s="26" t="e">
        <f t="shared" ca="1" si="17"/>
        <v>#DIV/0!</v>
      </c>
      <c r="Y47" s="26" t="e">
        <f t="shared" ca="1" si="17"/>
        <v>#DIV/0!</v>
      </c>
      <c r="Z47" s="26" t="e">
        <f t="shared" ca="1" si="17"/>
        <v>#DIV/0!</v>
      </c>
      <c r="AA47" s="26" t="e">
        <f t="shared" ca="1" si="17"/>
        <v>#DIV/0!</v>
      </c>
      <c r="AB47" s="26" t="e">
        <f t="shared" ca="1" si="17"/>
        <v>#DIV/0!</v>
      </c>
      <c r="AC47" s="26" t="e">
        <f t="shared" ca="1" si="17"/>
        <v>#DIV/0!</v>
      </c>
      <c r="AD47" s="26" t="e">
        <f t="shared" ca="1" si="17"/>
        <v>#DIV/0!</v>
      </c>
      <c r="AE47" s="26" t="e">
        <f t="shared" ca="1" si="17"/>
        <v>#DIV/0!</v>
      </c>
    </row>
    <row r="48" spans="2:31" x14ac:dyDescent="0.25">
      <c r="B48" s="28">
        <v>45230</v>
      </c>
      <c r="G48" t="s">
        <v>231</v>
      </c>
      <c r="S48" s="26"/>
      <c r="T48" s="26">
        <f t="shared" ref="T48:AE48" si="18">paramLimiteMaximoDTP</f>
        <v>0.54</v>
      </c>
      <c r="U48" s="26">
        <f t="shared" si="18"/>
        <v>0.54</v>
      </c>
      <c r="V48" s="26">
        <f t="shared" si="18"/>
        <v>0.54</v>
      </c>
      <c r="W48" s="26">
        <f t="shared" si="18"/>
        <v>0.54</v>
      </c>
      <c r="X48" s="26">
        <f t="shared" si="18"/>
        <v>0.54</v>
      </c>
      <c r="Y48" s="26">
        <f t="shared" si="18"/>
        <v>0.54</v>
      </c>
      <c r="Z48" s="26">
        <f t="shared" si="18"/>
        <v>0.54</v>
      </c>
      <c r="AA48" s="26">
        <f t="shared" si="18"/>
        <v>0.54</v>
      </c>
      <c r="AB48" s="26">
        <f t="shared" si="18"/>
        <v>0.54</v>
      </c>
      <c r="AC48" s="26">
        <f t="shared" si="18"/>
        <v>0.54</v>
      </c>
      <c r="AD48" s="26">
        <f t="shared" si="18"/>
        <v>0.54</v>
      </c>
      <c r="AE48" s="26">
        <f t="shared" si="18"/>
        <v>0.54</v>
      </c>
    </row>
    <row r="49" spans="2:31" x14ac:dyDescent="0.25">
      <c r="B49" s="28">
        <v>45260</v>
      </c>
      <c r="G49" t="s">
        <v>249</v>
      </c>
      <c r="T49" s="31" t="e">
        <f ca="1">LARGE(T47:T48,1)+10%</f>
        <v>#DIV/0!</v>
      </c>
      <c r="U49" s="31" t="e">
        <f t="shared" ref="U49:AE49" ca="1" si="19">LARGE(U47:U48,1)+10%</f>
        <v>#DIV/0!</v>
      </c>
      <c r="V49" s="31" t="e">
        <f t="shared" ca="1" si="19"/>
        <v>#DIV/0!</v>
      </c>
      <c r="W49" s="31" t="e">
        <f t="shared" ca="1" si="19"/>
        <v>#DIV/0!</v>
      </c>
      <c r="X49" s="31" t="e">
        <f t="shared" ca="1" si="19"/>
        <v>#DIV/0!</v>
      </c>
      <c r="Y49" s="31" t="e">
        <f t="shared" ca="1" si="19"/>
        <v>#DIV/0!</v>
      </c>
      <c r="Z49" s="31" t="e">
        <f t="shared" ca="1" si="19"/>
        <v>#DIV/0!</v>
      </c>
      <c r="AA49" s="31" t="e">
        <f t="shared" ca="1" si="19"/>
        <v>#DIV/0!</v>
      </c>
      <c r="AB49" s="31" t="e">
        <f t="shared" ca="1" si="19"/>
        <v>#DIV/0!</v>
      </c>
      <c r="AC49" s="31" t="e">
        <f t="shared" ca="1" si="19"/>
        <v>#DIV/0!</v>
      </c>
      <c r="AD49" s="31" t="e">
        <f t="shared" ca="1" si="19"/>
        <v>#DIV/0!</v>
      </c>
      <c r="AE49" s="31" t="e">
        <f t="shared" ca="1" si="19"/>
        <v>#DIV/0!</v>
      </c>
    </row>
    <row r="50" spans="2:31" x14ac:dyDescent="0.25">
      <c r="B50" s="28">
        <v>45291</v>
      </c>
      <c r="G50" t="s">
        <v>232</v>
      </c>
      <c r="T50" s="26">
        <f t="shared" ref="T50:AE50" si="20">paramLimiteMaximoDTP*0.95</f>
        <v>0.51300000000000001</v>
      </c>
      <c r="U50" s="26">
        <f t="shared" si="20"/>
        <v>0.51300000000000001</v>
      </c>
      <c r="V50" s="26">
        <f t="shared" si="20"/>
        <v>0.51300000000000001</v>
      </c>
      <c r="W50" s="26">
        <f t="shared" si="20"/>
        <v>0.51300000000000001</v>
      </c>
      <c r="X50" s="26">
        <f t="shared" si="20"/>
        <v>0.51300000000000001</v>
      </c>
      <c r="Y50" s="26">
        <f t="shared" si="20"/>
        <v>0.51300000000000001</v>
      </c>
      <c r="Z50" s="26">
        <f t="shared" si="20"/>
        <v>0.51300000000000001</v>
      </c>
      <c r="AA50" s="26">
        <f t="shared" si="20"/>
        <v>0.51300000000000001</v>
      </c>
      <c r="AB50" s="26">
        <f t="shared" si="20"/>
        <v>0.51300000000000001</v>
      </c>
      <c r="AC50" s="26">
        <f t="shared" si="20"/>
        <v>0.51300000000000001</v>
      </c>
      <c r="AD50" s="26">
        <f t="shared" si="20"/>
        <v>0.51300000000000001</v>
      </c>
      <c r="AE50" s="26">
        <f t="shared" si="20"/>
        <v>0.51300000000000001</v>
      </c>
    </row>
    <row r="51" spans="2:31" x14ac:dyDescent="0.25">
      <c r="B51" s="28">
        <v>0</v>
      </c>
      <c r="G51" t="s">
        <v>233</v>
      </c>
      <c r="T51" s="26">
        <f t="shared" ref="T51:AE51" si="21">paramLimiteMaximoDTP*0.9</f>
        <v>0.48600000000000004</v>
      </c>
      <c r="U51" s="26">
        <f t="shared" si="21"/>
        <v>0.48600000000000004</v>
      </c>
      <c r="V51" s="26">
        <f t="shared" si="21"/>
        <v>0.48600000000000004</v>
      </c>
      <c r="W51" s="26">
        <f t="shared" si="21"/>
        <v>0.48600000000000004</v>
      </c>
      <c r="X51" s="26">
        <f t="shared" si="21"/>
        <v>0.48600000000000004</v>
      </c>
      <c r="Y51" s="26">
        <f t="shared" si="21"/>
        <v>0.48600000000000004</v>
      </c>
      <c r="Z51" s="26">
        <f t="shared" si="21"/>
        <v>0.48600000000000004</v>
      </c>
      <c r="AA51" s="26">
        <f t="shared" si="21"/>
        <v>0.48600000000000004</v>
      </c>
      <c r="AB51" s="26">
        <f t="shared" si="21"/>
        <v>0.48600000000000004</v>
      </c>
      <c r="AC51" s="26">
        <f t="shared" si="21"/>
        <v>0.48600000000000004</v>
      </c>
      <c r="AD51" s="26">
        <f t="shared" si="21"/>
        <v>0.48600000000000004</v>
      </c>
      <c r="AE51" s="26">
        <f t="shared" si="21"/>
        <v>0.48600000000000004</v>
      </c>
    </row>
    <row r="52" spans="2:31" x14ac:dyDescent="0.25">
      <c r="B52" s="28">
        <v>0</v>
      </c>
    </row>
    <row r="53" spans="2:31" x14ac:dyDescent="0.25">
      <c r="B53" s="28">
        <v>0</v>
      </c>
    </row>
    <row r="54" spans="2:31" x14ac:dyDescent="0.25">
      <c r="B54" s="28">
        <v>0</v>
      </c>
    </row>
    <row r="55" spans="2:31" x14ac:dyDescent="0.25">
      <c r="B55" s="28">
        <v>0</v>
      </c>
    </row>
    <row r="56" spans="2:31" x14ac:dyDescent="0.25">
      <c r="B56" s="28">
        <v>0</v>
      </c>
    </row>
    <row r="57" spans="2:31" x14ac:dyDescent="0.25">
      <c r="B57" s="28">
        <v>0</v>
      </c>
    </row>
    <row r="58" spans="2:31" x14ac:dyDescent="0.25">
      <c r="B58" s="28">
        <v>0</v>
      </c>
    </row>
    <row r="59" spans="2:31" x14ac:dyDescent="0.25">
      <c r="B59" s="28">
        <v>0</v>
      </c>
    </row>
    <row r="60" spans="2:31" x14ac:dyDescent="0.25">
      <c r="B60" s="28">
        <v>0</v>
      </c>
    </row>
    <row r="61" spans="2:31" x14ac:dyDescent="0.25">
      <c r="B61" s="28">
        <v>0</v>
      </c>
    </row>
    <row r="62" spans="2:31" x14ac:dyDescent="0.25">
      <c r="B62" s="28">
        <v>0</v>
      </c>
    </row>
    <row r="63" spans="2:31" x14ac:dyDescent="0.25">
      <c r="B63" s="28">
        <v>0</v>
      </c>
    </row>
    <row r="64" spans="2:31" x14ac:dyDescent="0.25">
      <c r="B64" s="28">
        <v>0</v>
      </c>
    </row>
    <row r="65" spans="2:2" x14ac:dyDescent="0.25">
      <c r="B65" s="28">
        <v>0</v>
      </c>
    </row>
    <row r="66" spans="2:2" x14ac:dyDescent="0.25">
      <c r="B66" s="28">
        <v>0</v>
      </c>
    </row>
    <row r="67" spans="2:2" x14ac:dyDescent="0.25">
      <c r="B67" s="28">
        <v>0</v>
      </c>
    </row>
    <row r="68" spans="2:2" x14ac:dyDescent="0.25">
      <c r="B68" s="28">
        <v>0</v>
      </c>
    </row>
    <row r="69" spans="2:2" x14ac:dyDescent="0.25">
      <c r="B69" s="28">
        <v>0</v>
      </c>
    </row>
    <row r="70" spans="2:2" x14ac:dyDescent="0.25">
      <c r="B70" s="28">
        <v>0</v>
      </c>
    </row>
    <row r="71" spans="2:2" x14ac:dyDescent="0.25">
      <c r="B71" s="28">
        <v>0</v>
      </c>
    </row>
    <row r="72" spans="2:2" x14ac:dyDescent="0.25">
      <c r="B72" s="28">
        <v>0</v>
      </c>
    </row>
    <row r="73" spans="2:2" x14ac:dyDescent="0.25">
      <c r="B73" s="28">
        <v>0</v>
      </c>
    </row>
    <row r="74" spans="2:2" x14ac:dyDescent="0.25">
      <c r="B74" s="28">
        <v>0</v>
      </c>
    </row>
    <row r="75" spans="2:2" x14ac:dyDescent="0.25">
      <c r="B75" s="28">
        <v>0</v>
      </c>
    </row>
    <row r="76" spans="2:2" x14ac:dyDescent="0.25">
      <c r="B76" s="28">
        <v>0</v>
      </c>
    </row>
    <row r="77" spans="2:2" x14ac:dyDescent="0.25">
      <c r="B77" s="28">
        <v>0</v>
      </c>
    </row>
    <row r="78" spans="2:2" x14ac:dyDescent="0.25">
      <c r="B78" s="28">
        <v>0</v>
      </c>
    </row>
    <row r="79" spans="2:2" x14ac:dyDescent="0.25">
      <c r="B79" s="28">
        <v>0</v>
      </c>
    </row>
    <row r="80" spans="2:2" x14ac:dyDescent="0.25">
      <c r="B80" s="28">
        <v>0</v>
      </c>
    </row>
    <row r="81" spans="2:2" x14ac:dyDescent="0.25">
      <c r="B81" s="28">
        <v>0</v>
      </c>
    </row>
    <row r="82" spans="2:2" x14ac:dyDescent="0.25">
      <c r="B82" s="28">
        <v>0</v>
      </c>
    </row>
    <row r="83" spans="2:2" x14ac:dyDescent="0.25">
      <c r="B83" s="28">
        <v>0</v>
      </c>
    </row>
    <row r="84" spans="2:2" x14ac:dyDescent="0.25">
      <c r="B84" s="28">
        <v>0</v>
      </c>
    </row>
    <row r="85" spans="2:2" x14ac:dyDescent="0.25">
      <c r="B85" s="28">
        <v>0</v>
      </c>
    </row>
    <row r="86" spans="2:2" x14ac:dyDescent="0.25">
      <c r="B86" s="28">
        <v>0</v>
      </c>
    </row>
    <row r="87" spans="2:2" x14ac:dyDescent="0.25">
      <c r="B87" s="28">
        <v>0</v>
      </c>
    </row>
    <row r="88" spans="2:2" x14ac:dyDescent="0.25">
      <c r="B88" s="28">
        <v>0</v>
      </c>
    </row>
    <row r="89" spans="2:2" x14ac:dyDescent="0.25">
      <c r="B89" s="28">
        <v>0</v>
      </c>
    </row>
    <row r="90" spans="2:2" x14ac:dyDescent="0.25">
      <c r="B90" s="28">
        <v>0</v>
      </c>
    </row>
    <row r="91" spans="2:2" x14ac:dyDescent="0.25">
      <c r="B91" s="28">
        <v>0</v>
      </c>
    </row>
    <row r="92" spans="2:2" x14ac:dyDescent="0.25">
      <c r="B92" s="28">
        <v>0</v>
      </c>
    </row>
    <row r="93" spans="2:2" x14ac:dyDescent="0.25">
      <c r="B93" s="28">
        <v>0</v>
      </c>
    </row>
    <row r="94" spans="2:2" x14ac:dyDescent="0.25">
      <c r="B94" s="28">
        <v>0</v>
      </c>
    </row>
    <row r="95" spans="2:2" x14ac:dyDescent="0.25">
      <c r="B95" s="28">
        <v>0</v>
      </c>
    </row>
    <row r="96" spans="2:2" x14ac:dyDescent="0.25">
      <c r="B96" s="28">
        <v>0</v>
      </c>
    </row>
    <row r="97" spans="2:2" x14ac:dyDescent="0.25">
      <c r="B97" s="28">
        <v>0</v>
      </c>
    </row>
    <row r="98" spans="2:2" x14ac:dyDescent="0.25">
      <c r="B98" s="28">
        <v>0</v>
      </c>
    </row>
    <row r="99" spans="2:2" x14ac:dyDescent="0.25">
      <c r="B99" s="28">
        <v>0</v>
      </c>
    </row>
    <row r="100" spans="2:2" x14ac:dyDescent="0.25">
      <c r="B100" s="28">
        <v>0</v>
      </c>
    </row>
    <row r="101" spans="2:2" x14ac:dyDescent="0.25">
      <c r="B101" s="28">
        <v>0</v>
      </c>
    </row>
    <row r="102" spans="2:2" x14ac:dyDescent="0.25">
      <c r="B102" s="28">
        <v>0</v>
      </c>
    </row>
    <row r="103" spans="2:2" x14ac:dyDescent="0.25">
      <c r="B103" s="28">
        <v>0</v>
      </c>
    </row>
    <row r="104" spans="2:2" x14ac:dyDescent="0.25">
      <c r="B104" s="28">
        <v>0</v>
      </c>
    </row>
    <row r="105" spans="2:2" x14ac:dyDescent="0.25">
      <c r="B105" s="28">
        <v>0</v>
      </c>
    </row>
    <row r="106" spans="2:2" x14ac:dyDescent="0.25">
      <c r="B106" s="28">
        <v>0</v>
      </c>
    </row>
    <row r="107" spans="2:2" x14ac:dyDescent="0.25">
      <c r="B107" s="28">
        <v>0</v>
      </c>
    </row>
    <row r="108" spans="2:2" x14ac:dyDescent="0.25">
      <c r="B108" s="28">
        <v>0</v>
      </c>
    </row>
    <row r="109" spans="2:2" x14ac:dyDescent="0.25">
      <c r="B109" s="28">
        <v>0</v>
      </c>
    </row>
    <row r="110" spans="2:2" x14ac:dyDescent="0.25">
      <c r="B110" s="28">
        <v>0</v>
      </c>
    </row>
    <row r="111" spans="2:2" x14ac:dyDescent="0.25">
      <c r="B111" s="28">
        <v>0</v>
      </c>
    </row>
    <row r="112" spans="2:2" x14ac:dyDescent="0.25">
      <c r="B112" s="28">
        <v>0</v>
      </c>
    </row>
    <row r="113" spans="2:2" x14ac:dyDescent="0.25">
      <c r="B113" s="2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1E9F-103D-42B0-B237-D0BABD7A6A66}">
  <sheetPr codeName="Planilha1">
    <tabColor theme="8" tint="-0.499984740745262"/>
    <pageSetUpPr fitToPage="1"/>
  </sheetPr>
  <dimension ref="B23:AM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35" max="35" width="4" customWidth="1"/>
    <col min="37" max="37" width="5.140625" customWidth="1"/>
  </cols>
  <sheetData>
    <row r="23" spans="37:39" x14ac:dyDescent="0.25">
      <c r="AK23" s="35"/>
      <c r="AL23" s="36"/>
      <c r="AM23" s="36"/>
    </row>
    <row r="75" spans="2:36" x14ac:dyDescent="0.25">
      <c r="B75" s="6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25/10/2022, às 16:31:10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9B2E-6873-4F38-81A1-5E2A4E5BE776}">
  <sheetPr>
    <tabColor theme="8" tint="-0.499984740745262"/>
    <pageSetUpPr fitToPage="1"/>
  </sheetPr>
  <dimension ref="B23:AN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1" max="34" width="9.140625" style="37"/>
    <col min="35" max="35" width="4" style="37" customWidth="1"/>
    <col min="36" max="36" width="9.140625" style="37"/>
    <col min="37" max="37" width="5.140625" style="37" customWidth="1"/>
    <col min="38" max="16384" width="9.140625" style="37"/>
  </cols>
  <sheetData>
    <row r="23" spans="37:40" x14ac:dyDescent="0.25">
      <c r="AK23" s="39"/>
      <c r="AL23" s="40"/>
      <c r="AM23" s="40"/>
      <c r="AN23" s="38"/>
    </row>
    <row r="75" spans="2:36" x14ac:dyDescent="0.25">
      <c r="B75" s="62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25/10/2022, às 16:31:10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10</vt:i4>
      </vt:variant>
    </vt:vector>
  </HeadingPairs>
  <TitlesOfParts>
    <vt:vector size="22" baseType="lpstr">
      <vt:lpstr>Instruções</vt:lpstr>
      <vt:lpstr>Parâmetros</vt:lpstr>
      <vt:lpstr>Receita Prevista</vt:lpstr>
      <vt:lpstr>Marcadores de linha</vt:lpstr>
      <vt:lpstr>Receita Arrecadada</vt:lpstr>
      <vt:lpstr>Despesa Liquidada</vt:lpstr>
      <vt:lpstr>RP Não Processados</vt:lpstr>
      <vt:lpstr>RCL</vt:lpstr>
      <vt:lpstr>DTP</vt:lpstr>
      <vt:lpstr>Aux Dash</vt:lpstr>
      <vt:lpstr>Dashboard</vt:lpstr>
      <vt:lpstr>Dashboard Dark</vt:lpstr>
      <vt:lpstr>Dashboard!Area_de_impressao</vt:lpstr>
      <vt:lpstr>'Dashboard Dark'!Area_de_impressao</vt:lpstr>
      <vt:lpstr>DTP!Area_de_impressao</vt:lpstr>
      <vt:lpstr>RCL!Area_de_impressao</vt:lpstr>
      <vt:lpstr>paramDataBase</vt:lpstr>
      <vt:lpstr>paramEnte</vt:lpstr>
      <vt:lpstr>paramLimiteMaximoDTP</vt:lpstr>
      <vt:lpstr>paramOrgao</vt:lpstr>
      <vt:lpstr>paramSistema</vt:lpstr>
      <vt:lpstr>paramUnidadeResponsavel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2022-10-25T17:41:26Z</cp:lastPrinted>
  <dcterms:created xsi:type="dcterms:W3CDTF">2022-10-21T18:40:52Z</dcterms:created>
  <dcterms:modified xsi:type="dcterms:W3CDTF">2022-10-25T19:31:22Z</dcterms:modified>
</cp:coreProperties>
</file>