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mc:AlternateContent xmlns:mc="http://schemas.openxmlformats.org/markup-compatibility/2006">
    <mc:Choice Requires="x15">
      <x15ac:absPath xmlns:x15ac="http://schemas.microsoft.com/office/spreadsheetml/2010/11/ac" url="C:\Users\Everton\Desktop\Sistemas\rptgen\tpl\"/>
    </mc:Choice>
  </mc:AlternateContent>
  <xr:revisionPtr revIDLastSave="0" documentId="13_ncr:1_{E51C348B-AEA3-4279-AE7B-F56D91256D8D}" xr6:coauthVersionLast="47" xr6:coauthVersionMax="47" xr10:uidLastSave="{00000000-0000-0000-0000-000000000000}"/>
  <bookViews>
    <workbookView xWindow="-120" yWindow="-120" windowWidth="29040" windowHeight="15720" tabRatio="879" firstSheet="9" activeTab="20" xr2:uid="{00000000-000D-0000-FFFF-FFFF00000000}"/>
  </bookViews>
  <sheets>
    <sheet name="Parâmetros" sheetId="23" r:id="rId1"/>
    <sheet name="Valores manuais" sheetId="24" r:id="rId2"/>
    <sheet name="Consórcios Despesas" sheetId="25" r:id="rId3"/>
    <sheet name="RREO A8 Valores Manuais" sheetId="63" r:id="rId4"/>
    <sheet name="RREO A12 Valores Manuais" sheetId="26" r:id="rId5"/>
    <sheet name="RGF A1 Exec Terceirização" sheetId="27" r:id="rId6"/>
    <sheet name="RGF A2 Outros ajustes" sheetId="64" r:id="rId7"/>
    <sheet name="Valores calculados" sheetId="22" r:id="rId8"/>
    <sheet name="Notas Explicativas" sheetId="28" r:id="rId9"/>
    <sheet name="RREO A1 BO Receita" sheetId="29" r:id="rId10"/>
    <sheet name="RREO A1 BO Despesa" sheetId="30" r:id="rId11"/>
    <sheet name="RREO A1 BO Receita Intra" sheetId="31" r:id="rId12"/>
    <sheet name="RREO A1 BO Despesa Intra" sheetId="32" r:id="rId13"/>
    <sheet name="RREO A2" sheetId="33" r:id="rId14"/>
    <sheet name="RREO A2 Intra" sheetId="34" r:id="rId15"/>
    <sheet name="RREO A3" sheetId="35" r:id="rId16"/>
    <sheet name="RREO A4" sheetId="36" r:id="rId17"/>
    <sheet name="RREO A6" sheetId="37" r:id="rId18"/>
    <sheet name="RREO A7" sheetId="38" r:id="rId19"/>
    <sheet name="RREO A7 Intra" sheetId="39" r:id="rId20"/>
    <sheet name="RREO A8" sheetId="40" r:id="rId21"/>
    <sheet name="RREO A9" sheetId="41" r:id="rId22"/>
    <sheet name="RREO A10" sheetId="42" r:id="rId23"/>
    <sheet name="RREO A11" sheetId="43" r:id="rId24"/>
    <sheet name="RREO A12" sheetId="44" r:id="rId25"/>
    <sheet name="RREO A13" sheetId="45" r:id="rId26"/>
    <sheet name="RREO A14 Resumido" sheetId="46" r:id="rId27"/>
    <sheet name="RREO A14 Completo" sheetId="47" r:id="rId28"/>
    <sheet name="RGF A1 Exec" sheetId="48" r:id="rId29"/>
    <sheet name="RGF A1 COFRON" sheetId="49" r:id="rId30"/>
    <sheet name="RGF A1 CISA" sheetId="50" r:id="rId31"/>
    <sheet name="RGF A2" sheetId="51" r:id="rId32"/>
    <sheet name="RGF A3" sheetId="52" r:id="rId33"/>
    <sheet name="RGF A4" sheetId="53" r:id="rId34"/>
    <sheet name="RGF A5 Exec 2 Sem" sheetId="54" r:id="rId35"/>
    <sheet name="RGF A6 Exec 1 Sem" sheetId="55" r:id="rId36"/>
    <sheet name="RGF A6 Exec 2 Sem" sheetId="56" r:id="rId37"/>
    <sheet name="RGF A1 Leg" sheetId="57" r:id="rId38"/>
    <sheet name="RGF A5 Leg 2 Sem" sheetId="58" r:id="rId39"/>
    <sheet name="RGF A6 Leg 2 Sem" sheetId="59" r:id="rId40"/>
    <sheet name="RGF A1 Consolidado" sheetId="60" r:id="rId41"/>
    <sheet name="RGF A5 Consolidado" sheetId="61" r:id="rId42"/>
    <sheet name="RGF A6 Consolidado" sheetId="62" r:id="rId43"/>
  </sheets>
  <definedNames>
    <definedName name="_xlnm.Print_Area" localSheetId="30">'RGF A1 CISA'!$B$2:$F$42</definedName>
    <definedName name="_xlnm.Print_Area" localSheetId="29">'RGF A1 COFRON'!$B$2:$F$42</definedName>
    <definedName name="_xlnm.Print_Area" localSheetId="37">'RGF A1 Leg'!$B$2:$P$54</definedName>
    <definedName name="_xlnm.Print_Area" localSheetId="31">'RGF A2'!$B$2:$E$67</definedName>
    <definedName name="_xlnm.Print_Area" localSheetId="32">'RGF A3'!$B$2:$E$59</definedName>
    <definedName name="_xlnm.Print_Area" localSheetId="33">'RGF A4'!$B$2:$D$69</definedName>
    <definedName name="_xlnm.Print_Area" localSheetId="41">'RGF A5 Consolidado'!$B$2:$E$60</definedName>
    <definedName name="_xlnm.Print_Area" localSheetId="34">'RGF A5 Exec 2 Sem'!$B$2:$E$60</definedName>
    <definedName name="_xlnm.Print_Area" localSheetId="38">'RGF A5 Leg 2 Sem'!$B$2:$E$60</definedName>
    <definedName name="_xlnm.Print_Area" localSheetId="42">'RGF A6 Consolidado'!$B$2:$D$52</definedName>
    <definedName name="_xlnm.Print_Area" localSheetId="35">'RGF A6 Exec 1 Sem'!$B$2:$D$49</definedName>
    <definedName name="_xlnm.Print_Area" localSheetId="36">'RGF A6 Exec 2 Sem'!$B$2:$D$52</definedName>
    <definedName name="_xlnm.Print_Area" localSheetId="39">'RGF A6 Leg 2 Sem'!$B$2:$D$36</definedName>
    <definedName name="_xlnm.Print_Area" localSheetId="10">'RREO A1 BO Despesa'!$B$2:$L$45</definedName>
    <definedName name="_xlnm.Print_Area" localSheetId="12">'RREO A1 BO Despesa Intra'!$B$2:$L$30</definedName>
    <definedName name="_xlnm.Print_Area" localSheetId="9">'RREO A1 BO Receita'!$B$2:$I$90</definedName>
    <definedName name="_xlnm.Print_Area" localSheetId="11">'RREO A1 BO Receita Intra'!$B$2:$I$74</definedName>
    <definedName name="_xlnm.Print_Area" localSheetId="24">'RREO A12'!$B$2:$L$156</definedName>
    <definedName name="_xlnm.Print_Area" localSheetId="25">'RREO A13'!$B$2:$M$40</definedName>
    <definedName name="_xlnm.Print_Area" localSheetId="27">'RREO A14 Completo'!$B$2:$F$109</definedName>
    <definedName name="_xlnm.Print_Area" localSheetId="26">'RREO A14 Resumido'!$B$2:$F$47</definedName>
    <definedName name="_xlnm.Print_Area" localSheetId="13">'RREO A2'!$B$2:$M$217</definedName>
    <definedName name="_xlnm.Print_Area" localSheetId="14">'RREO A2 Intra'!$B$2:$M$216</definedName>
    <definedName name="_xlnm.Print_Area" localSheetId="15">'RREO A3'!$B$2:$P$56</definedName>
    <definedName name="_xlnm.Print_Area" localSheetId="16">'RREO A4'!$B$2:$G$122</definedName>
    <definedName name="_xlnm.Print_Area" localSheetId="17">'RREO A6'!$B$2:$I$139</definedName>
    <definedName name="_xlnm.Print_Area" localSheetId="20">'RREO A8'!$B$2:$H$227</definedName>
    <definedName name="param1quadFim">'Valores calculados'!$C$9</definedName>
    <definedName name="param1quadInicio">'Valores calculados'!$C$8</definedName>
    <definedName name="paramAcaoInativosLegislativo">Parâmetros!$C$21</definedName>
    <definedName name="paramAcaoInativosLegislativoAnterior">Parâmetros!$C$22</definedName>
    <definedName name="paramASPSRPInscritosSemDisponibilidadeEmpenhado">'Valores manuais'!$D$9</definedName>
    <definedName name="paramASPSRPInscritosSemDisponibilidadeLiquidado">'Valores manuais'!$D$10</definedName>
    <definedName name="paramASPSRPInscritosSemDisponibilidadePago">'Valores manuais'!$D$11</definedName>
    <definedName name="paramASPSXIXdAnoAnterior">'Valores manuais'!$D$12</definedName>
    <definedName name="paramBimDataFim">'Valores calculados'!$C$7</definedName>
    <definedName name="paramBimDataInicio">'Valores calculados'!$C$6</definedName>
    <definedName name="paramBimestre">'Valores calculados'!$C$3</definedName>
    <definedName name="paramBimMesFim">'Valores calculados'!$C$5</definedName>
    <definedName name="paramBimMesInicio">'Valores calculados'!$C$4</definedName>
    <definedName name="paramCargoContador">Parâmetros!$C$13</definedName>
    <definedName name="paramCargoControleInterno">Parâmetros!$C$11</definedName>
    <definedName name="paramCargoPrefeito">Parâmetros!$C$7</definedName>
    <definedName name="paramCargoPresidente">Parâmetros!$C$16</definedName>
    <definedName name="paramCargoSecretario">Parâmetros!$C$9</definedName>
    <definedName name="paramCRCContador">Parâmetros!$C$14</definedName>
    <definedName name="paramDataBase">Parâmetros!$C$4</definedName>
    <definedName name="paramEmendasIndividuais1Sem">'Valores manuais'!$D$16</definedName>
    <definedName name="paramEmendasIndividuais1SemAtual">'Valores calculados'!$C$11</definedName>
    <definedName name="paramEmendasIndividuais2SemAtual">'Valores calculados'!$C$13</definedName>
    <definedName name="paramEmendasIndividuaisAnoAnterior">'Valores manuais'!$D$14</definedName>
    <definedName name="paramEnte">Parâmetros!$C$3</definedName>
    <definedName name="paramFonte">Parâmetros!$C$5</definedName>
    <definedName name="paramFundebSuperavitAnteriorImpostos">'Valores manuais'!$D$4</definedName>
    <definedName name="paramFundebSuperavitAnteriorNaoAplicadoImpostos">'Valores manuais'!$D$6</definedName>
    <definedName name="paramFundebSuperavitAnteriorNaoAplicadoVAA_">'Valores manuais'!$D$7</definedName>
    <definedName name="paramFundebSuperavitAnteriorVAA_">'Valores manuais'!$D$5</definedName>
    <definedName name="paramGarantiasLimiteSenado">Parâmetros!$C$23</definedName>
    <definedName name="paramMAximoSuperavitFundeb">Parâmetros!$C$20</definedName>
    <definedName name="paramMDERateioCreche">'Valores manuais'!$D$8</definedName>
    <definedName name="paramMinimoASPS">Parâmetros!$C$18</definedName>
    <definedName name="paramMinimoFundebRemuneracao">Parâmetros!$C$19</definedName>
    <definedName name="paramMinimoMDE">Parâmetros!$C$17</definedName>
    <definedName name="paramNomeContador">Parâmetros!$C$12</definedName>
    <definedName name="paramNomeControleInterno">Parâmetros!$C$10</definedName>
    <definedName name="paramNomePrefeito">Parâmetros!$C$6</definedName>
    <definedName name="paramNomePresidente">Parâmetros!$C$15</definedName>
    <definedName name="paramNomeSecretario">Parâmetros!$C$8</definedName>
    <definedName name="paramOperacaoCreditoLimiteSenado">Parâmetros!$C$24</definedName>
    <definedName name="paramRCL1Sem">'Valores manuais'!$D$15</definedName>
    <definedName name="paramRCL1SemAtual">'Valores calculados'!$C$10</definedName>
    <definedName name="paramRCL2SemAtual">'Valores calculados'!$C$12</definedName>
    <definedName name="paramRCLAnoAnterior">'Valores manuais'!$D$13</definedName>
    <definedName name="_xlnm.Print_Titles" localSheetId="41">'RGF A5 Consolidado'!$2:$15</definedName>
    <definedName name="_xlnm.Print_Titles" localSheetId="34">'RGF A5 Exec 2 Sem'!$2:$15</definedName>
    <definedName name="_xlnm.Print_Titles" localSheetId="38">'RGF A5 Leg 2 Sem'!$2:$15</definedName>
    <definedName name="_xlnm.Print_Titles" localSheetId="22">'RREO A10'!$2:$12</definedName>
    <definedName name="_xlnm.Print_Titles" localSheetId="23">'RREO A11'!$2:$10</definedName>
    <definedName name="_xlnm.Print_Titles" localSheetId="13">'RREO A2'!$2:$11</definedName>
    <definedName name="_xlnm.Print_Titles" localSheetId="14">'RREO A2 Intra'!$2:$11</definedName>
  </definedNames>
  <calcPr calcId="191029"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6" i="40" l="1"/>
  <c r="H225" i="40"/>
  <c r="I236" i="25"/>
  <c r="I237" i="25"/>
  <c r="I238" i="25"/>
  <c r="I239" i="25"/>
  <c r="I240" i="25"/>
  <c r="I241" i="25"/>
  <c r="I242" i="25"/>
  <c r="I243" i="25"/>
  <c r="I244" i="25"/>
  <c r="I245" i="25"/>
  <c r="I246" i="25"/>
  <c r="I247" i="25"/>
  <c r="I248" i="25"/>
  <c r="I249" i="25"/>
  <c r="I250" i="25"/>
  <c r="I251" i="25"/>
  <c r="J236" i="25"/>
  <c r="J237" i="25"/>
  <c r="J238" i="25"/>
  <c r="J239" i="25"/>
  <c r="J240" i="25"/>
  <c r="J241" i="25"/>
  <c r="J242" i="25"/>
  <c r="J243" i="25"/>
  <c r="J244" i="25"/>
  <c r="J245" i="25"/>
  <c r="J246" i="25"/>
  <c r="J247" i="25"/>
  <c r="J248" i="25"/>
  <c r="J249" i="25"/>
  <c r="J250" i="25"/>
  <c r="J251" i="25"/>
  <c r="K236" i="25"/>
  <c r="K237" i="25"/>
  <c r="K238" i="25"/>
  <c r="K239" i="25"/>
  <c r="K240" i="25"/>
  <c r="K241" i="25"/>
  <c r="K242" i="25"/>
  <c r="K243" i="25"/>
  <c r="K244" i="25"/>
  <c r="K245" i="25"/>
  <c r="K246" i="25"/>
  <c r="K247" i="25"/>
  <c r="K248" i="25"/>
  <c r="K249" i="25"/>
  <c r="K250" i="25"/>
  <c r="K251" i="25"/>
  <c r="L236" i="25"/>
  <c r="L237" i="25"/>
  <c r="L238" i="25"/>
  <c r="L239" i="25"/>
  <c r="L240" i="25"/>
  <c r="L241" i="25"/>
  <c r="L242" i="25"/>
  <c r="L243" i="25"/>
  <c r="L244" i="25"/>
  <c r="L245" i="25"/>
  <c r="L246" i="25"/>
  <c r="L247" i="25"/>
  <c r="L248" i="25"/>
  <c r="L249" i="25"/>
  <c r="L250" i="25"/>
  <c r="L251" i="25"/>
  <c r="M236" i="25"/>
  <c r="M237" i="25"/>
  <c r="M238" i="25"/>
  <c r="M239" i="25"/>
  <c r="M240" i="25"/>
  <c r="M241" i="25"/>
  <c r="M242" i="25"/>
  <c r="M243" i="25"/>
  <c r="M244" i="25"/>
  <c r="M245" i="25"/>
  <c r="M246" i="25"/>
  <c r="M247" i="25"/>
  <c r="M248" i="25"/>
  <c r="M249" i="25"/>
  <c r="M250" i="25"/>
  <c r="M251" i="25"/>
  <c r="C120" i="37"/>
  <c r="C118" i="37"/>
  <c r="C112" i="37"/>
  <c r="I50" i="37"/>
  <c r="I47" i="37"/>
  <c r="I44" i="37"/>
  <c r="H50" i="37"/>
  <c r="H47" i="37"/>
  <c r="H44" i="37"/>
  <c r="I34" i="37"/>
  <c r="H34" i="37"/>
  <c r="I31" i="37"/>
  <c r="H31" i="37"/>
  <c r="I23" i="37"/>
  <c r="H23" i="37"/>
  <c r="I19" i="37"/>
  <c r="H19" i="37"/>
  <c r="G48" i="36"/>
  <c r="G47" i="36"/>
  <c r="G46" i="36"/>
  <c r="G45" i="36"/>
  <c r="G44" i="36"/>
  <c r="G42" i="36"/>
  <c r="F47" i="36"/>
  <c r="E47" i="36"/>
  <c r="D47" i="36"/>
  <c r="C47" i="36"/>
  <c r="G35" i="36"/>
  <c r="F35" i="36"/>
  <c r="G31" i="36"/>
  <c r="F31" i="36"/>
  <c r="G26" i="36"/>
  <c r="F26" i="36"/>
  <c r="N25" i="48"/>
  <c r="M25" i="48"/>
  <c r="L25" i="48"/>
  <c r="K25" i="48"/>
  <c r="J25" i="48"/>
  <c r="I25" i="48"/>
  <c r="H25" i="48"/>
  <c r="G25" i="48"/>
  <c r="F25" i="48"/>
  <c r="E25" i="48"/>
  <c r="D25" i="48"/>
  <c r="C25" i="48"/>
  <c r="O32" i="48"/>
  <c r="O31" i="48"/>
  <c r="O30" i="48"/>
  <c r="O45" i="35"/>
  <c r="K40" i="48" s="1"/>
  <c r="O44" i="35"/>
  <c r="K39" i="48" s="1"/>
  <c r="O25" i="35"/>
  <c r="O24" i="35"/>
  <c r="O23" i="35"/>
  <c r="D122" i="44"/>
  <c r="E122" i="44"/>
  <c r="F122" i="44"/>
  <c r="H122" i="44"/>
  <c r="J122" i="44"/>
  <c r="G185" i="40"/>
  <c r="F185" i="40"/>
  <c r="E185" i="40"/>
  <c r="D185" i="40"/>
  <c r="G127" i="40"/>
  <c r="F127" i="40"/>
  <c r="E127" i="40"/>
  <c r="D127" i="40"/>
  <c r="K36" i="57" l="1"/>
  <c r="K37" i="57"/>
  <c r="D113" i="40"/>
  <c r="C113" i="40"/>
  <c r="D8" i="63"/>
  <c r="C8" i="63"/>
  <c r="G83" i="40" l="1"/>
  <c r="F83" i="40"/>
  <c r="E83" i="40"/>
  <c r="D83" i="40"/>
  <c r="G75" i="40"/>
  <c r="F75" i="40"/>
  <c r="E75" i="40"/>
  <c r="D75" i="40"/>
  <c r="M203" i="34"/>
  <c r="J203" i="34"/>
  <c r="K203" i="34" s="1"/>
  <c r="I203" i="34"/>
  <c r="F203" i="34"/>
  <c r="G203" i="34" s="1"/>
  <c r="E203" i="34"/>
  <c r="D203" i="34"/>
  <c r="C203" i="34"/>
  <c r="M202" i="34"/>
  <c r="L202" i="34"/>
  <c r="K202" i="34"/>
  <c r="H202" i="34"/>
  <c r="G202" i="34"/>
  <c r="M201" i="34"/>
  <c r="L201" i="34"/>
  <c r="K201" i="34"/>
  <c r="H201" i="34"/>
  <c r="G201" i="34"/>
  <c r="M200" i="34"/>
  <c r="L200" i="34"/>
  <c r="K200" i="34"/>
  <c r="H200" i="34"/>
  <c r="G200" i="34"/>
  <c r="M199" i="34"/>
  <c r="L199" i="34"/>
  <c r="K199" i="34"/>
  <c r="H199" i="34"/>
  <c r="G199" i="34"/>
  <c r="M198" i="34"/>
  <c r="L198" i="34"/>
  <c r="K198" i="34"/>
  <c r="H198" i="34"/>
  <c r="G198" i="34"/>
  <c r="M197" i="34"/>
  <c r="L197" i="34"/>
  <c r="K197" i="34"/>
  <c r="H197" i="34"/>
  <c r="G197" i="34"/>
  <c r="M196" i="34"/>
  <c r="L196" i="34"/>
  <c r="K196" i="34"/>
  <c r="H196" i="34"/>
  <c r="G196" i="34"/>
  <c r="M195" i="34"/>
  <c r="L195" i="34"/>
  <c r="K195" i="34"/>
  <c r="H195" i="34"/>
  <c r="G195" i="34"/>
  <c r="M194" i="34"/>
  <c r="J194" i="34"/>
  <c r="K194" i="34" s="1"/>
  <c r="I194" i="34"/>
  <c r="F194" i="34"/>
  <c r="G194" i="34" s="1"/>
  <c r="E194" i="34"/>
  <c r="D194" i="34"/>
  <c r="C194" i="34"/>
  <c r="M193" i="34"/>
  <c r="L193" i="34"/>
  <c r="K193" i="34"/>
  <c r="H193" i="34"/>
  <c r="G193" i="34"/>
  <c r="M192" i="34"/>
  <c r="L192" i="34"/>
  <c r="K192" i="34"/>
  <c r="H192" i="34"/>
  <c r="G192" i="34"/>
  <c r="M191" i="34"/>
  <c r="L191" i="34"/>
  <c r="K191" i="34"/>
  <c r="H191" i="34"/>
  <c r="G191" i="34"/>
  <c r="M190" i="34"/>
  <c r="L190" i="34"/>
  <c r="K190" i="34"/>
  <c r="H190" i="34"/>
  <c r="G190" i="34"/>
  <c r="M189" i="34"/>
  <c r="L189" i="34"/>
  <c r="K189" i="34"/>
  <c r="H189" i="34"/>
  <c r="G189" i="34"/>
  <c r="M188" i="34"/>
  <c r="J188" i="34"/>
  <c r="K188" i="34" s="1"/>
  <c r="I188" i="34"/>
  <c r="F188" i="34"/>
  <c r="G188" i="34" s="1"/>
  <c r="E188" i="34"/>
  <c r="D188" i="34"/>
  <c r="C188" i="34"/>
  <c r="M187" i="34"/>
  <c r="L187" i="34"/>
  <c r="K187" i="34"/>
  <c r="H187" i="34"/>
  <c r="G187" i="34"/>
  <c r="M186" i="34"/>
  <c r="L186" i="34"/>
  <c r="K186" i="34"/>
  <c r="H186" i="34"/>
  <c r="G186" i="34"/>
  <c r="M185" i="34"/>
  <c r="L185" i="34"/>
  <c r="K185" i="34"/>
  <c r="H185" i="34"/>
  <c r="G185" i="34"/>
  <c r="M184" i="34"/>
  <c r="L184" i="34"/>
  <c r="K184" i="34"/>
  <c r="H184" i="34"/>
  <c r="G184" i="34"/>
  <c r="M183" i="34"/>
  <c r="L183" i="34"/>
  <c r="K183" i="34"/>
  <c r="H183" i="34"/>
  <c r="G183" i="34"/>
  <c r="M182" i="34"/>
  <c r="L182" i="34"/>
  <c r="K182" i="34"/>
  <c r="H182" i="34"/>
  <c r="G182" i="34"/>
  <c r="M181" i="34"/>
  <c r="L181" i="34"/>
  <c r="K181" i="34"/>
  <c r="H181" i="34"/>
  <c r="G181" i="34"/>
  <c r="M180" i="34"/>
  <c r="J180" i="34"/>
  <c r="K180" i="34" s="1"/>
  <c r="I180" i="34"/>
  <c r="F180" i="34"/>
  <c r="G180" i="34" s="1"/>
  <c r="E180" i="34"/>
  <c r="D180" i="34"/>
  <c r="C180" i="34"/>
  <c r="M179" i="34"/>
  <c r="L179" i="34"/>
  <c r="K179" i="34"/>
  <c r="H179" i="34"/>
  <c r="G179" i="34"/>
  <c r="M178" i="34"/>
  <c r="L178" i="34"/>
  <c r="K178" i="34"/>
  <c r="H178" i="34"/>
  <c r="G178" i="34"/>
  <c r="M177" i="34"/>
  <c r="L177" i="34"/>
  <c r="K177" i="34"/>
  <c r="H177" i="34"/>
  <c r="G177" i="34"/>
  <c r="M176" i="34"/>
  <c r="L176" i="34"/>
  <c r="K176" i="34"/>
  <c r="H176" i="34"/>
  <c r="G176" i="34"/>
  <c r="M175" i="34"/>
  <c r="L175" i="34"/>
  <c r="K175" i="34"/>
  <c r="H175" i="34"/>
  <c r="G175" i="34"/>
  <c r="M174" i="34"/>
  <c r="L174" i="34"/>
  <c r="K174" i="34"/>
  <c r="H174" i="34"/>
  <c r="G174" i="34"/>
  <c r="M173" i="34"/>
  <c r="J173" i="34"/>
  <c r="K173" i="34" s="1"/>
  <c r="I173" i="34"/>
  <c r="F173" i="34"/>
  <c r="G173" i="34" s="1"/>
  <c r="E173" i="34"/>
  <c r="D173" i="34"/>
  <c r="C173" i="34"/>
  <c r="M172" i="34"/>
  <c r="L172" i="34"/>
  <c r="K172" i="34"/>
  <c r="H172" i="34"/>
  <c r="G172" i="34"/>
  <c r="M171" i="34"/>
  <c r="L171" i="34"/>
  <c r="K171" i="34"/>
  <c r="H171" i="34"/>
  <c r="G171" i="34"/>
  <c r="M170" i="34"/>
  <c r="L170" i="34"/>
  <c r="K170" i="34"/>
  <c r="H170" i="34"/>
  <c r="G170" i="34"/>
  <c r="M169" i="34"/>
  <c r="L169" i="34"/>
  <c r="K169" i="34"/>
  <c r="H169" i="34"/>
  <c r="G169" i="34"/>
  <c r="M168" i="34"/>
  <c r="J168" i="34"/>
  <c r="K168" i="34" s="1"/>
  <c r="I168" i="34"/>
  <c r="F168" i="34"/>
  <c r="G168" i="34" s="1"/>
  <c r="E168" i="34"/>
  <c r="D168" i="34"/>
  <c r="C168" i="34"/>
  <c r="M167" i="34"/>
  <c r="L167" i="34"/>
  <c r="K167" i="34"/>
  <c r="H167" i="34"/>
  <c r="G167" i="34"/>
  <c r="M166" i="34"/>
  <c r="L166" i="34"/>
  <c r="K166" i="34"/>
  <c r="H166" i="34"/>
  <c r="G166" i="34"/>
  <c r="M165" i="34"/>
  <c r="L165" i="34"/>
  <c r="K165" i="34"/>
  <c r="H165" i="34"/>
  <c r="G165" i="34"/>
  <c r="M164" i="34"/>
  <c r="L164" i="34"/>
  <c r="K164" i="34"/>
  <c r="H164" i="34"/>
  <c r="G164" i="34"/>
  <c r="M163" i="34"/>
  <c r="L163" i="34"/>
  <c r="K163" i="34"/>
  <c r="H163" i="34"/>
  <c r="G163" i="34"/>
  <c r="M162" i="34"/>
  <c r="L162" i="34"/>
  <c r="K162" i="34"/>
  <c r="H162" i="34"/>
  <c r="G162" i="34"/>
  <c r="M161" i="34"/>
  <c r="L161" i="34"/>
  <c r="K161" i="34"/>
  <c r="H161" i="34"/>
  <c r="G161" i="34"/>
  <c r="M160" i="34"/>
  <c r="J160" i="34"/>
  <c r="K160" i="34" s="1"/>
  <c r="I160" i="34"/>
  <c r="F160" i="34"/>
  <c r="G160" i="34" s="1"/>
  <c r="E160" i="34"/>
  <c r="D160" i="34"/>
  <c r="C160" i="34"/>
  <c r="M159" i="34"/>
  <c r="L159" i="34"/>
  <c r="K159" i="34"/>
  <c r="H159" i="34"/>
  <c r="G159" i="34"/>
  <c r="M158" i="34"/>
  <c r="L158" i="34"/>
  <c r="K158" i="34"/>
  <c r="H158" i="34"/>
  <c r="G158" i="34"/>
  <c r="M157" i="34"/>
  <c r="L157" i="34"/>
  <c r="K157" i="34"/>
  <c r="H157" i="34"/>
  <c r="G157" i="34"/>
  <c r="M156" i="34"/>
  <c r="L156" i="34"/>
  <c r="K156" i="34"/>
  <c r="H156" i="34"/>
  <c r="G156" i="34"/>
  <c r="M155" i="34"/>
  <c r="L155" i="34"/>
  <c r="K155" i="34"/>
  <c r="H155" i="34"/>
  <c r="G155" i="34"/>
  <c r="M154" i="34"/>
  <c r="L154" i="34"/>
  <c r="K154" i="34"/>
  <c r="H154" i="34"/>
  <c r="G154" i="34"/>
  <c r="M153" i="34"/>
  <c r="L153" i="34"/>
  <c r="K153" i="34"/>
  <c r="H153" i="34"/>
  <c r="G153" i="34"/>
  <c r="M152" i="34"/>
  <c r="J152" i="34"/>
  <c r="K152" i="34" s="1"/>
  <c r="I152" i="34"/>
  <c r="F152" i="34"/>
  <c r="G152" i="34" s="1"/>
  <c r="E152" i="34"/>
  <c r="D152" i="34"/>
  <c r="C152" i="34"/>
  <c r="M151" i="34"/>
  <c r="L151" i="34"/>
  <c r="K151" i="34"/>
  <c r="H151" i="34"/>
  <c r="G151" i="34"/>
  <c r="M150" i="34"/>
  <c r="L150" i="34"/>
  <c r="K150" i="34"/>
  <c r="H150" i="34"/>
  <c r="G150" i="34"/>
  <c r="M149" i="34"/>
  <c r="L149" i="34"/>
  <c r="K149" i="34"/>
  <c r="H149" i="34"/>
  <c r="G149" i="34"/>
  <c r="M148" i="34"/>
  <c r="L148" i="34"/>
  <c r="K148" i="34"/>
  <c r="H148" i="34"/>
  <c r="G148" i="34"/>
  <c r="M147" i="34"/>
  <c r="J147" i="34"/>
  <c r="K147" i="34" s="1"/>
  <c r="I147" i="34"/>
  <c r="F147" i="34"/>
  <c r="E147" i="34"/>
  <c r="D147" i="34"/>
  <c r="C147" i="34"/>
  <c r="M146" i="34"/>
  <c r="L146" i="34"/>
  <c r="K146" i="34"/>
  <c r="H146" i="34"/>
  <c r="G146" i="34"/>
  <c r="M145" i="34"/>
  <c r="L145" i="34"/>
  <c r="K145" i="34"/>
  <c r="H145" i="34"/>
  <c r="G145" i="34"/>
  <c r="M144" i="34"/>
  <c r="L144" i="34"/>
  <c r="K144" i="34"/>
  <c r="H144" i="34"/>
  <c r="G144" i="34"/>
  <c r="M143" i="34"/>
  <c r="L143" i="34"/>
  <c r="K143" i="34"/>
  <c r="H143" i="34"/>
  <c r="G143" i="34"/>
  <c r="M142" i="34"/>
  <c r="L142" i="34"/>
  <c r="K142" i="34"/>
  <c r="H142" i="34"/>
  <c r="G142" i="34"/>
  <c r="M141" i="34"/>
  <c r="L141" i="34"/>
  <c r="K141" i="34"/>
  <c r="H141" i="34"/>
  <c r="G141" i="34"/>
  <c r="M140" i="34"/>
  <c r="L140" i="34"/>
  <c r="K140" i="34"/>
  <c r="H140" i="34"/>
  <c r="G140" i="34"/>
  <c r="M139" i="34"/>
  <c r="J139" i="34"/>
  <c r="K139" i="34" s="1"/>
  <c r="I139" i="34"/>
  <c r="F139" i="34"/>
  <c r="G139" i="34" s="1"/>
  <c r="E139" i="34"/>
  <c r="D139" i="34"/>
  <c r="C139" i="34"/>
  <c r="M138" i="34"/>
  <c r="L138" i="34"/>
  <c r="K138" i="34"/>
  <c r="H138" i="34"/>
  <c r="G138" i="34"/>
  <c r="M137" i="34"/>
  <c r="L137" i="34"/>
  <c r="K137" i="34"/>
  <c r="H137" i="34"/>
  <c r="G137" i="34"/>
  <c r="M136" i="34"/>
  <c r="L136" i="34"/>
  <c r="K136" i="34"/>
  <c r="H136" i="34"/>
  <c r="G136" i="34"/>
  <c r="M135" i="34"/>
  <c r="L135" i="34"/>
  <c r="K135" i="34"/>
  <c r="H135" i="34"/>
  <c r="G135" i="34"/>
  <c r="M134" i="34"/>
  <c r="L134" i="34"/>
  <c r="K134" i="34"/>
  <c r="H134" i="34"/>
  <c r="G134" i="34"/>
  <c r="M133" i="34"/>
  <c r="J133" i="34"/>
  <c r="K133" i="34" s="1"/>
  <c r="I133" i="34"/>
  <c r="F133" i="34"/>
  <c r="G133" i="34" s="1"/>
  <c r="E133" i="34"/>
  <c r="D133" i="34"/>
  <c r="C133" i="34"/>
  <c r="M132" i="34"/>
  <c r="L132" i="34"/>
  <c r="K132" i="34"/>
  <c r="H132" i="34"/>
  <c r="G132" i="34"/>
  <c r="M131" i="34"/>
  <c r="L131" i="34"/>
  <c r="K131" i="34"/>
  <c r="H131" i="34"/>
  <c r="G131" i="34"/>
  <c r="M130" i="34"/>
  <c r="L130" i="34"/>
  <c r="K130" i="34"/>
  <c r="H130" i="34"/>
  <c r="G130" i="34"/>
  <c r="M129" i="34"/>
  <c r="L129" i="34"/>
  <c r="K129" i="34"/>
  <c r="H129" i="34"/>
  <c r="G129" i="34"/>
  <c r="M128" i="34"/>
  <c r="L128" i="34"/>
  <c r="K128" i="34"/>
  <c r="H128" i="34"/>
  <c r="G128" i="34"/>
  <c r="M127" i="34"/>
  <c r="L127" i="34"/>
  <c r="K127" i="34"/>
  <c r="H127" i="34"/>
  <c r="G127" i="34"/>
  <c r="M126" i="34"/>
  <c r="L126" i="34"/>
  <c r="K126" i="34"/>
  <c r="H126" i="34"/>
  <c r="G126" i="34"/>
  <c r="M125" i="34"/>
  <c r="J125" i="34"/>
  <c r="K125" i="34" s="1"/>
  <c r="I125" i="34"/>
  <c r="F125" i="34"/>
  <c r="G125" i="34" s="1"/>
  <c r="E125" i="34"/>
  <c r="D125" i="34"/>
  <c r="C125" i="34"/>
  <c r="M124" i="34"/>
  <c r="L124" i="34"/>
  <c r="K124" i="34"/>
  <c r="H124" i="34"/>
  <c r="G124" i="34"/>
  <c r="M123" i="34"/>
  <c r="L123" i="34"/>
  <c r="K123" i="34"/>
  <c r="H123" i="34"/>
  <c r="G123" i="34"/>
  <c r="M122" i="34"/>
  <c r="L122" i="34"/>
  <c r="K122" i="34"/>
  <c r="H122" i="34"/>
  <c r="G122" i="34"/>
  <c r="M121" i="34"/>
  <c r="L121" i="34"/>
  <c r="K121" i="34"/>
  <c r="H121" i="34"/>
  <c r="G121" i="34"/>
  <c r="M120" i="34"/>
  <c r="J120" i="34"/>
  <c r="K120" i="34" s="1"/>
  <c r="I120" i="34"/>
  <c r="F120" i="34"/>
  <c r="G120" i="34" s="1"/>
  <c r="E120" i="34"/>
  <c r="D120" i="34"/>
  <c r="C120" i="34"/>
  <c r="M119" i="34"/>
  <c r="L119" i="34"/>
  <c r="K119" i="34"/>
  <c r="H119" i="34"/>
  <c r="G119" i="34"/>
  <c r="M118" i="34"/>
  <c r="L118" i="34"/>
  <c r="K118" i="34"/>
  <c r="H118" i="34"/>
  <c r="G118" i="34"/>
  <c r="M117" i="34"/>
  <c r="L117" i="34"/>
  <c r="K117" i="34"/>
  <c r="H117" i="34"/>
  <c r="G117" i="34"/>
  <c r="M116" i="34"/>
  <c r="L116" i="34"/>
  <c r="K116" i="34"/>
  <c r="H116" i="34"/>
  <c r="G116" i="34"/>
  <c r="M115" i="34"/>
  <c r="J115" i="34"/>
  <c r="K115" i="34" s="1"/>
  <c r="I115" i="34"/>
  <c r="F115" i="34"/>
  <c r="G115" i="34" s="1"/>
  <c r="E115" i="34"/>
  <c r="D115" i="34"/>
  <c r="C115" i="34"/>
  <c r="M114" i="34"/>
  <c r="L114" i="34"/>
  <c r="K114" i="34"/>
  <c r="H114" i="34"/>
  <c r="G114" i="34"/>
  <c r="M113" i="34"/>
  <c r="L113" i="34"/>
  <c r="K113" i="34"/>
  <c r="H113" i="34"/>
  <c r="G113" i="34"/>
  <c r="M112" i="34"/>
  <c r="L112" i="34"/>
  <c r="K112" i="34"/>
  <c r="H112" i="34"/>
  <c r="G112" i="34"/>
  <c r="M111" i="34"/>
  <c r="L111" i="34"/>
  <c r="K111" i="34"/>
  <c r="H111" i="34"/>
  <c r="G111" i="34"/>
  <c r="M110" i="34"/>
  <c r="L110" i="34"/>
  <c r="K110" i="34"/>
  <c r="H110" i="34"/>
  <c r="G110" i="34"/>
  <c r="M109" i="34"/>
  <c r="J109" i="34"/>
  <c r="K109" i="34" s="1"/>
  <c r="I109" i="34"/>
  <c r="F109" i="34"/>
  <c r="G109" i="34" s="1"/>
  <c r="E109" i="34"/>
  <c r="D109" i="34"/>
  <c r="C109" i="34"/>
  <c r="M108" i="34"/>
  <c r="L108" i="34"/>
  <c r="K108" i="34"/>
  <c r="H108" i="34"/>
  <c r="G108" i="34"/>
  <c r="M107" i="34"/>
  <c r="L107" i="34"/>
  <c r="K107" i="34"/>
  <c r="H107" i="34"/>
  <c r="G107" i="34"/>
  <c r="M106" i="34"/>
  <c r="L106" i="34"/>
  <c r="K106" i="34"/>
  <c r="H106" i="34"/>
  <c r="G106" i="34"/>
  <c r="M105" i="34"/>
  <c r="L105" i="34"/>
  <c r="K105" i="34"/>
  <c r="H105" i="34"/>
  <c r="G105" i="34"/>
  <c r="M104" i="34"/>
  <c r="L104" i="34"/>
  <c r="K104" i="34"/>
  <c r="H104" i="34"/>
  <c r="G104" i="34"/>
  <c r="M103" i="34"/>
  <c r="J103" i="34"/>
  <c r="K103" i="34" s="1"/>
  <c r="I103" i="34"/>
  <c r="F103" i="34"/>
  <c r="G103" i="34" s="1"/>
  <c r="E103" i="34"/>
  <c r="D103" i="34"/>
  <c r="C103" i="34"/>
  <c r="M102" i="34"/>
  <c r="L102" i="34"/>
  <c r="K102" i="34"/>
  <c r="H102" i="34"/>
  <c r="G102" i="34"/>
  <c r="M101" i="34"/>
  <c r="L101" i="34"/>
  <c r="K101" i="34"/>
  <c r="H101" i="34"/>
  <c r="G101" i="34"/>
  <c r="M100" i="34"/>
  <c r="L100" i="34"/>
  <c r="K100" i="34"/>
  <c r="H100" i="34"/>
  <c r="G100" i="34"/>
  <c r="M99" i="34"/>
  <c r="L99" i="34"/>
  <c r="K99" i="34"/>
  <c r="H99" i="34"/>
  <c r="G99" i="34"/>
  <c r="M98" i="34"/>
  <c r="J98" i="34"/>
  <c r="K98" i="34" s="1"/>
  <c r="I98" i="34"/>
  <c r="F98" i="34"/>
  <c r="G98" i="34" s="1"/>
  <c r="E98" i="34"/>
  <c r="D98" i="34"/>
  <c r="C98" i="34"/>
  <c r="M97" i="34"/>
  <c r="L97" i="34"/>
  <c r="K97" i="34"/>
  <c r="H97" i="34"/>
  <c r="G97" i="34"/>
  <c r="M96" i="34"/>
  <c r="L96" i="34"/>
  <c r="K96" i="34"/>
  <c r="H96" i="34"/>
  <c r="G96" i="34"/>
  <c r="M95" i="34"/>
  <c r="L95" i="34"/>
  <c r="K95" i="34"/>
  <c r="H95" i="34"/>
  <c r="G95" i="34"/>
  <c r="M94" i="34"/>
  <c r="L94" i="34"/>
  <c r="K94" i="34"/>
  <c r="H94" i="34"/>
  <c r="G94" i="34"/>
  <c r="M93" i="34"/>
  <c r="L93" i="34"/>
  <c r="K93" i="34"/>
  <c r="H93" i="34"/>
  <c r="G93" i="34"/>
  <c r="M92" i="34"/>
  <c r="L92" i="34"/>
  <c r="K92" i="34"/>
  <c r="H92" i="34"/>
  <c r="G92" i="34"/>
  <c r="M91" i="34"/>
  <c r="L91" i="34"/>
  <c r="K91" i="34"/>
  <c r="H91" i="34"/>
  <c r="G91" i="34"/>
  <c r="M90" i="34"/>
  <c r="L90" i="34"/>
  <c r="K90" i="34"/>
  <c r="H90" i="34"/>
  <c r="G90" i="34"/>
  <c r="M89" i="34"/>
  <c r="L89" i="34"/>
  <c r="K89" i="34"/>
  <c r="H89" i="34"/>
  <c r="G89" i="34"/>
  <c r="M88" i="34"/>
  <c r="L88" i="34"/>
  <c r="K88" i="34"/>
  <c r="H88" i="34"/>
  <c r="G88" i="34"/>
  <c r="M87" i="34"/>
  <c r="J87" i="34"/>
  <c r="K87" i="34" s="1"/>
  <c r="I87" i="34"/>
  <c r="F87" i="34"/>
  <c r="E87" i="34"/>
  <c r="D87" i="34"/>
  <c r="C87" i="34"/>
  <c r="M86" i="34"/>
  <c r="L86" i="34"/>
  <c r="K86" i="34"/>
  <c r="H86" i="34"/>
  <c r="G86" i="34"/>
  <c r="M85" i="34"/>
  <c r="L85" i="34"/>
  <c r="K85" i="34"/>
  <c r="H85" i="34"/>
  <c r="G85" i="34"/>
  <c r="M84" i="34"/>
  <c r="L84" i="34"/>
  <c r="K84" i="34"/>
  <c r="H84" i="34"/>
  <c r="G84" i="34"/>
  <c r="M83" i="34"/>
  <c r="L83" i="34"/>
  <c r="K83" i="34"/>
  <c r="H83" i="34"/>
  <c r="G83" i="34"/>
  <c r="M82" i="34"/>
  <c r="L82" i="34"/>
  <c r="K82" i="34"/>
  <c r="H82" i="34"/>
  <c r="G82" i="34"/>
  <c r="M81" i="34"/>
  <c r="L81" i="34"/>
  <c r="K81" i="34"/>
  <c r="H81" i="34"/>
  <c r="G81" i="34"/>
  <c r="M80" i="34"/>
  <c r="J80" i="34"/>
  <c r="K80" i="34" s="1"/>
  <c r="I80" i="34"/>
  <c r="F80" i="34"/>
  <c r="G80" i="34" s="1"/>
  <c r="E80" i="34"/>
  <c r="D80" i="34"/>
  <c r="C80" i="34"/>
  <c r="M79" i="34"/>
  <c r="L79" i="34"/>
  <c r="K79" i="34"/>
  <c r="H79" i="34"/>
  <c r="G79" i="34"/>
  <c r="M78" i="34"/>
  <c r="L78" i="34"/>
  <c r="K78" i="34"/>
  <c r="H78" i="34"/>
  <c r="G78" i="34"/>
  <c r="M77" i="34"/>
  <c r="L77" i="34"/>
  <c r="K77" i="34"/>
  <c r="H77" i="34"/>
  <c r="G77" i="34"/>
  <c r="M76" i="34"/>
  <c r="L76" i="34"/>
  <c r="K76" i="34"/>
  <c r="H76" i="34"/>
  <c r="G76" i="34"/>
  <c r="M75" i="34"/>
  <c r="L75" i="34"/>
  <c r="K75" i="34"/>
  <c r="H75" i="34"/>
  <c r="G75" i="34"/>
  <c r="M74" i="34"/>
  <c r="L74" i="34"/>
  <c r="K74" i="34"/>
  <c r="H74" i="34"/>
  <c r="G74" i="34"/>
  <c r="M73" i="34"/>
  <c r="L73" i="34"/>
  <c r="K73" i="34"/>
  <c r="H73" i="34"/>
  <c r="G73" i="34"/>
  <c r="M72" i="34"/>
  <c r="L72" i="34"/>
  <c r="K72" i="34"/>
  <c r="H72" i="34"/>
  <c r="G72" i="34"/>
  <c r="M71" i="34"/>
  <c r="J71" i="34"/>
  <c r="K71" i="34" s="1"/>
  <c r="I71" i="34"/>
  <c r="F71" i="34"/>
  <c r="G71" i="34" s="1"/>
  <c r="E71" i="34"/>
  <c r="D71" i="34"/>
  <c r="C71" i="34"/>
  <c r="M70" i="34"/>
  <c r="L70" i="34"/>
  <c r="K70" i="34"/>
  <c r="H70" i="34"/>
  <c r="G70" i="34"/>
  <c r="M69" i="34"/>
  <c r="L69" i="34"/>
  <c r="K69" i="34"/>
  <c r="H69" i="34"/>
  <c r="G69" i="34"/>
  <c r="M68" i="34"/>
  <c r="L68" i="34"/>
  <c r="K68" i="34"/>
  <c r="H68" i="34"/>
  <c r="G68" i="34"/>
  <c r="M67" i="34"/>
  <c r="L67" i="34"/>
  <c r="K67" i="34"/>
  <c r="H67" i="34"/>
  <c r="G67" i="34"/>
  <c r="M66" i="34"/>
  <c r="L66" i="34"/>
  <c r="K66" i="34"/>
  <c r="H66" i="34"/>
  <c r="G66" i="34"/>
  <c r="M65" i="34"/>
  <c r="L65" i="34"/>
  <c r="K65" i="34"/>
  <c r="H65" i="34"/>
  <c r="G65" i="34"/>
  <c r="M64" i="34"/>
  <c r="J64" i="34"/>
  <c r="K64" i="34" s="1"/>
  <c r="I64" i="34"/>
  <c r="F64" i="34"/>
  <c r="G64" i="34" s="1"/>
  <c r="E64" i="34"/>
  <c r="D64" i="34"/>
  <c r="C64" i="34"/>
  <c r="M63" i="34"/>
  <c r="L63" i="34"/>
  <c r="K63" i="34"/>
  <c r="H63" i="34"/>
  <c r="G63" i="34"/>
  <c r="M62" i="34"/>
  <c r="L62" i="34"/>
  <c r="K62" i="34"/>
  <c r="H62" i="34"/>
  <c r="G62" i="34"/>
  <c r="M61" i="34"/>
  <c r="L61" i="34"/>
  <c r="K61" i="34"/>
  <c r="H61" i="34"/>
  <c r="G61" i="34"/>
  <c r="M60" i="34"/>
  <c r="L60" i="34"/>
  <c r="K60" i="34"/>
  <c r="H60" i="34"/>
  <c r="G60" i="34"/>
  <c r="M59" i="34"/>
  <c r="L59" i="34"/>
  <c r="K59" i="34"/>
  <c r="H59" i="34"/>
  <c r="G59" i="34"/>
  <c r="M58" i="34"/>
  <c r="L58" i="34"/>
  <c r="K58" i="34"/>
  <c r="H58" i="34"/>
  <c r="G58" i="34"/>
  <c r="M57" i="34"/>
  <c r="J57" i="34"/>
  <c r="K57" i="34" s="1"/>
  <c r="I57" i="34"/>
  <c r="F57" i="34"/>
  <c r="E57" i="34"/>
  <c r="D57" i="34"/>
  <c r="C57" i="34"/>
  <c r="M56" i="34"/>
  <c r="L56" i="34"/>
  <c r="K56" i="34"/>
  <c r="H56" i="34"/>
  <c r="G56" i="34"/>
  <c r="M55" i="34"/>
  <c r="L55" i="34"/>
  <c r="K55" i="34"/>
  <c r="H55" i="34"/>
  <c r="G55" i="34"/>
  <c r="M54" i="34"/>
  <c r="L54" i="34"/>
  <c r="K54" i="34"/>
  <c r="H54" i="34"/>
  <c r="G54" i="34"/>
  <c r="M53" i="34"/>
  <c r="L53" i="34"/>
  <c r="K53" i="34"/>
  <c r="H53" i="34"/>
  <c r="G53" i="34"/>
  <c r="M52" i="34"/>
  <c r="J52" i="34"/>
  <c r="K52" i="34" s="1"/>
  <c r="I52" i="34"/>
  <c r="F52" i="34"/>
  <c r="G52" i="34" s="1"/>
  <c r="E52" i="34"/>
  <c r="D52" i="34"/>
  <c r="C52" i="34"/>
  <c r="M51" i="34"/>
  <c r="L51" i="34"/>
  <c r="K51" i="34"/>
  <c r="H51" i="34"/>
  <c r="G51" i="34"/>
  <c r="M50" i="34"/>
  <c r="L50" i="34"/>
  <c r="K50" i="34"/>
  <c r="H50" i="34"/>
  <c r="G50" i="34"/>
  <c r="M49" i="34"/>
  <c r="L49" i="34"/>
  <c r="K49" i="34"/>
  <c r="H49" i="34"/>
  <c r="G49" i="34"/>
  <c r="M48" i="34"/>
  <c r="L48" i="34"/>
  <c r="K48" i="34"/>
  <c r="H48" i="34"/>
  <c r="G48" i="34"/>
  <c r="M47" i="34"/>
  <c r="L47" i="34"/>
  <c r="K47" i="34"/>
  <c r="H47" i="34"/>
  <c r="G47" i="34"/>
  <c r="M46" i="34"/>
  <c r="J46" i="34"/>
  <c r="K46" i="34" s="1"/>
  <c r="I46" i="34"/>
  <c r="F46" i="34"/>
  <c r="G46" i="34" s="1"/>
  <c r="E46" i="34"/>
  <c r="D46" i="34"/>
  <c r="C46" i="34"/>
  <c r="M45" i="34"/>
  <c r="L45" i="34"/>
  <c r="K45" i="34"/>
  <c r="H45" i="34"/>
  <c r="G45" i="34"/>
  <c r="M44" i="34"/>
  <c r="L44" i="34"/>
  <c r="K44" i="34"/>
  <c r="H44" i="34"/>
  <c r="G44" i="34"/>
  <c r="M43" i="34"/>
  <c r="L43" i="34"/>
  <c r="K43" i="34"/>
  <c r="H43" i="34"/>
  <c r="G43" i="34"/>
  <c r="M42" i="34"/>
  <c r="L42" i="34"/>
  <c r="K42" i="34"/>
  <c r="H42" i="34"/>
  <c r="G42" i="34"/>
  <c r="M41" i="34"/>
  <c r="L41" i="34"/>
  <c r="K41" i="34"/>
  <c r="H41" i="34"/>
  <c r="G41" i="34"/>
  <c r="M40" i="34"/>
  <c r="J40" i="34"/>
  <c r="K40" i="34" s="1"/>
  <c r="I40" i="34"/>
  <c r="F40" i="34"/>
  <c r="G40" i="34" s="1"/>
  <c r="E40" i="34"/>
  <c r="D40" i="34"/>
  <c r="C40" i="34"/>
  <c r="M39" i="34"/>
  <c r="L39" i="34"/>
  <c r="K39" i="34"/>
  <c r="H39" i="34"/>
  <c r="G39" i="34"/>
  <c r="M38" i="34"/>
  <c r="L38" i="34"/>
  <c r="K38" i="34"/>
  <c r="H38" i="34"/>
  <c r="G38" i="34"/>
  <c r="M37" i="34"/>
  <c r="L37" i="34"/>
  <c r="K37" i="34"/>
  <c r="H37" i="34"/>
  <c r="G37" i="34"/>
  <c r="M36" i="34"/>
  <c r="L36" i="34"/>
  <c r="K36" i="34"/>
  <c r="H36" i="34"/>
  <c r="G36" i="34"/>
  <c r="M35" i="34"/>
  <c r="L35" i="34"/>
  <c r="K35" i="34"/>
  <c r="H35" i="34"/>
  <c r="G35" i="34"/>
  <c r="M34" i="34"/>
  <c r="L34" i="34"/>
  <c r="K34" i="34"/>
  <c r="H34" i="34"/>
  <c r="G34" i="34"/>
  <c r="M33" i="34"/>
  <c r="L33" i="34"/>
  <c r="K33" i="34"/>
  <c r="H33" i="34"/>
  <c r="G33" i="34"/>
  <c r="M32" i="34"/>
  <c r="L32" i="34"/>
  <c r="K32" i="34"/>
  <c r="H32" i="34"/>
  <c r="G32" i="34"/>
  <c r="M31" i="34"/>
  <c r="L31" i="34"/>
  <c r="K31" i="34"/>
  <c r="H31" i="34"/>
  <c r="G31" i="34"/>
  <c r="M30" i="34"/>
  <c r="L30" i="34"/>
  <c r="K30" i="34"/>
  <c r="H30" i="34"/>
  <c r="G30" i="34"/>
  <c r="M29" i="34"/>
  <c r="L29" i="34"/>
  <c r="K29" i="34"/>
  <c r="H29" i="34"/>
  <c r="G29" i="34"/>
  <c r="M28" i="34"/>
  <c r="L28" i="34"/>
  <c r="K28" i="34"/>
  <c r="H28" i="34"/>
  <c r="G28" i="34"/>
  <c r="M27" i="34"/>
  <c r="J27" i="34"/>
  <c r="K27" i="34" s="1"/>
  <c r="I27" i="34"/>
  <c r="F27" i="34"/>
  <c r="G27" i="34" s="1"/>
  <c r="E27" i="34"/>
  <c r="D27" i="34"/>
  <c r="C27" i="34"/>
  <c r="M26" i="34"/>
  <c r="L26" i="34"/>
  <c r="K26" i="34"/>
  <c r="H26" i="34"/>
  <c r="G26" i="34"/>
  <c r="M25" i="34"/>
  <c r="L25" i="34"/>
  <c r="K25" i="34"/>
  <c r="H25" i="34"/>
  <c r="G25" i="34"/>
  <c r="M24" i="34"/>
  <c r="L24" i="34"/>
  <c r="K24" i="34"/>
  <c r="H24" i="34"/>
  <c r="G24" i="34"/>
  <c r="M23" i="34"/>
  <c r="L23" i="34"/>
  <c r="K23" i="34"/>
  <c r="H23" i="34"/>
  <c r="G23" i="34"/>
  <c r="M22" i="34"/>
  <c r="J22" i="34"/>
  <c r="K22" i="34" s="1"/>
  <c r="I22" i="34"/>
  <c r="F22" i="34"/>
  <c r="G22" i="34" s="1"/>
  <c r="E22" i="34"/>
  <c r="D22" i="34"/>
  <c r="C22" i="34"/>
  <c r="M21" i="34"/>
  <c r="L21" i="34"/>
  <c r="K21" i="34"/>
  <c r="H21" i="34"/>
  <c r="G21" i="34"/>
  <c r="M20" i="34"/>
  <c r="L20" i="34"/>
  <c r="K20" i="34"/>
  <c r="H20" i="34"/>
  <c r="G20" i="34"/>
  <c r="M19" i="34"/>
  <c r="L19" i="34"/>
  <c r="K19" i="34"/>
  <c r="H19" i="34"/>
  <c r="G19" i="34"/>
  <c r="M18" i="34"/>
  <c r="L18" i="34"/>
  <c r="K18" i="34"/>
  <c r="H18" i="34"/>
  <c r="G18" i="34"/>
  <c r="M17" i="34"/>
  <c r="J17" i="34"/>
  <c r="K17" i="34" s="1"/>
  <c r="I17" i="34"/>
  <c r="F17" i="34"/>
  <c r="G17" i="34" s="1"/>
  <c r="E17" i="34"/>
  <c r="D17" i="34"/>
  <c r="C17" i="34"/>
  <c r="M16" i="34"/>
  <c r="L16" i="34"/>
  <c r="K16" i="34"/>
  <c r="H16" i="34"/>
  <c r="G16" i="34"/>
  <c r="M15" i="34"/>
  <c r="L15" i="34"/>
  <c r="K15" i="34"/>
  <c r="H15" i="34"/>
  <c r="G15" i="34"/>
  <c r="M14" i="34"/>
  <c r="L14" i="34"/>
  <c r="K14" i="34"/>
  <c r="H14" i="34"/>
  <c r="G14" i="34"/>
  <c r="M13" i="34"/>
  <c r="L13" i="34"/>
  <c r="K13" i="34"/>
  <c r="H13" i="34"/>
  <c r="G13" i="34"/>
  <c r="J203" i="33"/>
  <c r="I203" i="33"/>
  <c r="J194" i="33"/>
  <c r="I194" i="33"/>
  <c r="J188" i="33"/>
  <c r="I188" i="33"/>
  <c r="J180" i="33"/>
  <c r="I180" i="33"/>
  <c r="J173" i="33"/>
  <c r="I173" i="33"/>
  <c r="J168" i="33"/>
  <c r="I168" i="33"/>
  <c r="J160" i="33"/>
  <c r="I160" i="33"/>
  <c r="J152" i="33"/>
  <c r="I152" i="33"/>
  <c r="J147" i="33"/>
  <c r="I147" i="33"/>
  <c r="J139" i="33"/>
  <c r="I139" i="33"/>
  <c r="J133" i="33"/>
  <c r="I133" i="33"/>
  <c r="J125" i="33"/>
  <c r="I125" i="33"/>
  <c r="J120" i="33"/>
  <c r="I120" i="33"/>
  <c r="J115" i="33"/>
  <c r="I115" i="33"/>
  <c r="J109" i="33"/>
  <c r="I109" i="33"/>
  <c r="J103" i="33"/>
  <c r="I103" i="33"/>
  <c r="J98" i="33"/>
  <c r="I98" i="33"/>
  <c r="J87" i="33"/>
  <c r="I87" i="33"/>
  <c r="J80" i="33"/>
  <c r="I80" i="33"/>
  <c r="J71" i="33"/>
  <c r="I71" i="33"/>
  <c r="J64" i="33"/>
  <c r="I64" i="33"/>
  <c r="J57" i="33"/>
  <c r="I57" i="33"/>
  <c r="J52" i="33"/>
  <c r="I52" i="33"/>
  <c r="J46" i="33"/>
  <c r="I46" i="33"/>
  <c r="J40" i="33"/>
  <c r="I40" i="33"/>
  <c r="J27" i="33"/>
  <c r="I27" i="33"/>
  <c r="J22" i="33"/>
  <c r="I22" i="33"/>
  <c r="J17" i="33"/>
  <c r="I17" i="33"/>
  <c r="F203" i="33"/>
  <c r="E203" i="33"/>
  <c r="F194" i="33"/>
  <c r="E194" i="33"/>
  <c r="F188" i="33"/>
  <c r="E188" i="33"/>
  <c r="F180" i="33"/>
  <c r="E180" i="33"/>
  <c r="F173" i="33"/>
  <c r="E173" i="33"/>
  <c r="F168" i="33"/>
  <c r="E168" i="33"/>
  <c r="F160" i="33"/>
  <c r="E160" i="33"/>
  <c r="F152" i="33"/>
  <c r="E152" i="33"/>
  <c r="F147" i="33"/>
  <c r="E147" i="33"/>
  <c r="F139" i="33"/>
  <c r="E139" i="33"/>
  <c r="F133" i="33"/>
  <c r="E133" i="33"/>
  <c r="F125" i="33"/>
  <c r="E125" i="33"/>
  <c r="F120" i="33"/>
  <c r="E120" i="33"/>
  <c r="F115" i="33"/>
  <c r="E115" i="33"/>
  <c r="F109" i="33"/>
  <c r="E109" i="33"/>
  <c r="F103" i="33"/>
  <c r="E103" i="33"/>
  <c r="F98" i="33"/>
  <c r="E98" i="33"/>
  <c r="F87" i="33"/>
  <c r="E87" i="33"/>
  <c r="F80" i="33"/>
  <c r="E80" i="33"/>
  <c r="F71" i="33"/>
  <c r="E71" i="33"/>
  <c r="F64" i="33"/>
  <c r="E64" i="33"/>
  <c r="F57" i="33"/>
  <c r="E57" i="33"/>
  <c r="F52" i="33"/>
  <c r="E52" i="33"/>
  <c r="F46" i="33"/>
  <c r="E46" i="33"/>
  <c r="F40" i="33"/>
  <c r="E40" i="33"/>
  <c r="F27" i="33"/>
  <c r="E27" i="33"/>
  <c r="F22" i="33"/>
  <c r="E22" i="33"/>
  <c r="F17" i="33"/>
  <c r="E17" i="33"/>
  <c r="D203" i="33"/>
  <c r="D194" i="33"/>
  <c r="D188" i="33"/>
  <c r="D180" i="33"/>
  <c r="D173" i="33"/>
  <c r="D168" i="33"/>
  <c r="D160" i="33"/>
  <c r="D152" i="33"/>
  <c r="D147" i="33"/>
  <c r="D139" i="33"/>
  <c r="D133" i="33"/>
  <c r="D125" i="33"/>
  <c r="D120" i="33"/>
  <c r="D115" i="33"/>
  <c r="D109" i="33"/>
  <c r="D103" i="33"/>
  <c r="D98" i="33"/>
  <c r="D87" i="33"/>
  <c r="D80" i="33"/>
  <c r="D71" i="33"/>
  <c r="D64" i="33"/>
  <c r="D57" i="33"/>
  <c r="D52" i="33"/>
  <c r="D46" i="33"/>
  <c r="D40" i="33"/>
  <c r="D27" i="33"/>
  <c r="D22" i="33"/>
  <c r="D17" i="33"/>
  <c r="C17" i="33"/>
  <c r="C22" i="33"/>
  <c r="C27" i="33"/>
  <c r="C40" i="33"/>
  <c r="C46" i="33"/>
  <c r="C52" i="33"/>
  <c r="C57" i="33"/>
  <c r="C64" i="33"/>
  <c r="C71" i="33"/>
  <c r="C80" i="33"/>
  <c r="C87" i="33"/>
  <c r="C98" i="33"/>
  <c r="C103" i="33"/>
  <c r="C109" i="33"/>
  <c r="C115" i="33"/>
  <c r="C120" i="33"/>
  <c r="C125" i="33"/>
  <c r="C133" i="33"/>
  <c r="C139" i="33"/>
  <c r="C147" i="33"/>
  <c r="C152" i="33"/>
  <c r="C160" i="33"/>
  <c r="C168" i="33"/>
  <c r="C173" i="33"/>
  <c r="C180" i="33"/>
  <c r="C188" i="33"/>
  <c r="C194" i="33"/>
  <c r="C203" i="33"/>
  <c r="M12" i="34"/>
  <c r="B6" i="29"/>
  <c r="C52" i="62"/>
  <c r="B52" i="62"/>
  <c r="C51" i="62"/>
  <c r="B51" i="62"/>
  <c r="B47" i="62"/>
  <c r="C46" i="62"/>
  <c r="B46" i="62"/>
  <c r="C45" i="62"/>
  <c r="B45" i="62"/>
  <c r="B40" i="62"/>
  <c r="B37" i="62"/>
  <c r="D32" i="62"/>
  <c r="D27" i="62"/>
  <c r="D17" i="62"/>
  <c r="B7" i="62"/>
  <c r="B2" i="62"/>
  <c r="C60" i="61"/>
  <c r="B60" i="61"/>
  <c r="C59" i="61"/>
  <c r="B59" i="61"/>
  <c r="B55" i="61"/>
  <c r="C54" i="61"/>
  <c r="B54" i="61"/>
  <c r="C53" i="61"/>
  <c r="B53" i="61"/>
  <c r="B48" i="61"/>
  <c r="B43" i="61"/>
  <c r="K41" i="61"/>
  <c r="H41" i="61"/>
  <c r="G41" i="61"/>
  <c r="K40" i="61"/>
  <c r="H40" i="61"/>
  <c r="G40" i="61"/>
  <c r="K39" i="61"/>
  <c r="H39" i="61"/>
  <c r="G39" i="61"/>
  <c r="K37" i="61"/>
  <c r="H37" i="61"/>
  <c r="K36" i="61"/>
  <c r="H36" i="61"/>
  <c r="G36" i="61"/>
  <c r="K35" i="61"/>
  <c r="H35" i="61"/>
  <c r="G35" i="61"/>
  <c r="K34" i="61"/>
  <c r="H34" i="61"/>
  <c r="G34" i="61"/>
  <c r="K33" i="61"/>
  <c r="H33" i="61"/>
  <c r="G33" i="61"/>
  <c r="K32" i="61"/>
  <c r="H32" i="61"/>
  <c r="G32" i="61"/>
  <c r="K30" i="61"/>
  <c r="H30" i="61"/>
  <c r="G30" i="61"/>
  <c r="K29" i="61"/>
  <c r="H29" i="61"/>
  <c r="G29" i="61"/>
  <c r="K27" i="61"/>
  <c r="H27" i="61"/>
  <c r="G27" i="61"/>
  <c r="K26" i="61"/>
  <c r="H26" i="61"/>
  <c r="G26" i="61"/>
  <c r="K25" i="61"/>
  <c r="H25" i="61"/>
  <c r="G25" i="61"/>
  <c r="K24" i="61"/>
  <c r="H24" i="61"/>
  <c r="G24" i="61"/>
  <c r="K22" i="61"/>
  <c r="H22" i="61"/>
  <c r="G22" i="61"/>
  <c r="K21" i="61"/>
  <c r="H21" i="61"/>
  <c r="G21" i="61"/>
  <c r="K18" i="61"/>
  <c r="H18" i="61"/>
  <c r="G18" i="61"/>
  <c r="K17" i="61"/>
  <c r="H17" i="61"/>
  <c r="G17" i="61"/>
  <c r="B7" i="61"/>
  <c r="B2" i="61"/>
  <c r="B52" i="60"/>
  <c r="M51" i="60"/>
  <c r="H51" i="60"/>
  <c r="D51" i="60"/>
  <c r="B51" i="60"/>
  <c r="M50" i="60"/>
  <c r="H50" i="60"/>
  <c r="D50" i="60"/>
  <c r="B50" i="60"/>
  <c r="B41" i="60"/>
  <c r="O40" i="60"/>
  <c r="O39" i="60"/>
  <c r="P29" i="60"/>
  <c r="P28" i="60"/>
  <c r="P27" i="60"/>
  <c r="P26" i="60"/>
  <c r="P24" i="60"/>
  <c r="P23" i="60"/>
  <c r="P22" i="60"/>
  <c r="P21" i="60"/>
  <c r="P19" i="60"/>
  <c r="P18" i="60"/>
  <c r="N15" i="60"/>
  <c r="M15" i="60" s="1"/>
  <c r="L15" i="60" s="1"/>
  <c r="K15" i="60" s="1"/>
  <c r="J15" i="60" s="1"/>
  <c r="I15" i="60" s="1"/>
  <c r="H15" i="60" s="1"/>
  <c r="G15" i="60" s="1"/>
  <c r="F15" i="60" s="1"/>
  <c r="E15" i="60" s="1"/>
  <c r="D15" i="60" s="1"/>
  <c r="C15" i="60" s="1"/>
  <c r="B7" i="60"/>
  <c r="B2" i="60"/>
  <c r="C36" i="59"/>
  <c r="B36" i="59"/>
  <c r="C35" i="59"/>
  <c r="B35" i="59"/>
  <c r="B31" i="59"/>
  <c r="C30" i="59"/>
  <c r="B30" i="59"/>
  <c r="C29" i="59"/>
  <c r="B29" i="59"/>
  <c r="B24" i="59"/>
  <c r="B21" i="59"/>
  <c r="D15" i="59"/>
  <c r="B7" i="59"/>
  <c r="B2" i="59"/>
  <c r="C60" i="58"/>
  <c r="B60" i="58"/>
  <c r="C59" i="58"/>
  <c r="B59" i="58"/>
  <c r="B55" i="58"/>
  <c r="C54" i="58"/>
  <c r="B54" i="58"/>
  <c r="C53" i="58"/>
  <c r="B53" i="58"/>
  <c r="B48" i="58"/>
  <c r="B43" i="58"/>
  <c r="I41" i="58"/>
  <c r="L41" i="58" s="1"/>
  <c r="I40" i="58"/>
  <c r="L40" i="58" s="1"/>
  <c r="I39" i="58"/>
  <c r="L39" i="58" s="1"/>
  <c r="K38" i="58"/>
  <c r="J38" i="58"/>
  <c r="C20" i="59" s="1"/>
  <c r="H38" i="58"/>
  <c r="G38" i="58"/>
  <c r="F38" i="58"/>
  <c r="E38" i="58"/>
  <c r="D38" i="58"/>
  <c r="C38" i="58"/>
  <c r="J37" i="58"/>
  <c r="G37" i="58"/>
  <c r="F37" i="58"/>
  <c r="E37" i="58"/>
  <c r="D37" i="58"/>
  <c r="C37" i="58"/>
  <c r="J36" i="58"/>
  <c r="F36" i="58"/>
  <c r="E36" i="58"/>
  <c r="D36" i="58"/>
  <c r="C36" i="58"/>
  <c r="J35" i="58"/>
  <c r="F35" i="58"/>
  <c r="E35" i="58"/>
  <c r="D35" i="58"/>
  <c r="C35" i="58"/>
  <c r="J34" i="58"/>
  <c r="F34" i="58"/>
  <c r="E34" i="58"/>
  <c r="D34" i="58"/>
  <c r="C34" i="58"/>
  <c r="J33" i="58"/>
  <c r="F33" i="58"/>
  <c r="E33" i="58"/>
  <c r="D33" i="58"/>
  <c r="C33" i="58"/>
  <c r="J32" i="58"/>
  <c r="J31" i="58" s="1"/>
  <c r="F32" i="58"/>
  <c r="F31" i="58" s="1"/>
  <c r="E32" i="58"/>
  <c r="E31" i="58" s="1"/>
  <c r="D32" i="58"/>
  <c r="D31" i="58" s="1"/>
  <c r="C32" i="58"/>
  <c r="C31" i="58" s="1"/>
  <c r="K31" i="58"/>
  <c r="H31" i="58"/>
  <c r="G31" i="58"/>
  <c r="J30" i="58"/>
  <c r="F30" i="58"/>
  <c r="E30" i="58"/>
  <c r="D30" i="58"/>
  <c r="C30" i="58"/>
  <c r="J29" i="58"/>
  <c r="J28" i="58" s="1"/>
  <c r="F29" i="58"/>
  <c r="F28" i="58" s="1"/>
  <c r="E29" i="58"/>
  <c r="E28" i="58" s="1"/>
  <c r="D29" i="58"/>
  <c r="D28" i="58" s="1"/>
  <c r="C29" i="58"/>
  <c r="C28" i="58" s="1"/>
  <c r="K28" i="58"/>
  <c r="H28" i="58"/>
  <c r="G28" i="58"/>
  <c r="J27" i="58"/>
  <c r="F27" i="58"/>
  <c r="E27" i="58"/>
  <c r="D27" i="58"/>
  <c r="C27" i="58"/>
  <c r="J26" i="58"/>
  <c r="F26" i="58"/>
  <c r="E26" i="58"/>
  <c r="D26" i="58"/>
  <c r="C26" i="58"/>
  <c r="J25" i="58"/>
  <c r="F25" i="58"/>
  <c r="E25" i="58"/>
  <c r="D25" i="58"/>
  <c r="C25" i="58"/>
  <c r="J24" i="58"/>
  <c r="J23" i="58" s="1"/>
  <c r="F24" i="58"/>
  <c r="F23" i="58" s="1"/>
  <c r="E24" i="58"/>
  <c r="E23" i="58" s="1"/>
  <c r="D24" i="58"/>
  <c r="D23" i="58" s="1"/>
  <c r="C24" i="58"/>
  <c r="K23" i="58"/>
  <c r="H23" i="58"/>
  <c r="G23" i="58"/>
  <c r="J22" i="58"/>
  <c r="F22" i="58"/>
  <c r="E22" i="58"/>
  <c r="D22" i="58"/>
  <c r="C22" i="58"/>
  <c r="J21" i="58"/>
  <c r="J20" i="58" s="1"/>
  <c r="F21" i="58"/>
  <c r="F20" i="58" s="1"/>
  <c r="E21" i="58"/>
  <c r="E20" i="58" s="1"/>
  <c r="D21" i="58"/>
  <c r="D20" i="58" s="1"/>
  <c r="C21" i="58"/>
  <c r="K20" i="58"/>
  <c r="H20" i="58"/>
  <c r="G20" i="58"/>
  <c r="J18" i="58"/>
  <c r="F18" i="58"/>
  <c r="E18" i="58"/>
  <c r="D18" i="58"/>
  <c r="C18" i="58"/>
  <c r="J17" i="58"/>
  <c r="J16" i="58" s="1"/>
  <c r="F17" i="58"/>
  <c r="F16" i="58" s="1"/>
  <c r="E17" i="58"/>
  <c r="E16" i="58" s="1"/>
  <c r="D17" i="58"/>
  <c r="D16" i="58" s="1"/>
  <c r="C17" i="58"/>
  <c r="K16" i="58"/>
  <c r="H16" i="58"/>
  <c r="G16" i="58"/>
  <c r="B7" i="58"/>
  <c r="B2" i="58"/>
  <c r="B54" i="57"/>
  <c r="M53" i="57"/>
  <c r="H53" i="57"/>
  <c r="D53" i="57"/>
  <c r="B53" i="57"/>
  <c r="M52" i="57"/>
  <c r="H52" i="57"/>
  <c r="D52" i="57"/>
  <c r="B52" i="57"/>
  <c r="B47" i="57"/>
  <c r="B43" i="57"/>
  <c r="O42" i="57"/>
  <c r="D17" i="59" s="1"/>
  <c r="O41" i="57"/>
  <c r="D16" i="59" s="1"/>
  <c r="P25" i="57"/>
  <c r="P20" i="57"/>
  <c r="P17" i="57"/>
  <c r="B7" i="57"/>
  <c r="B2" i="57"/>
  <c r="C52" i="56"/>
  <c r="B52" i="56"/>
  <c r="C51" i="56"/>
  <c r="B51" i="56"/>
  <c r="B47" i="56"/>
  <c r="C46" i="56"/>
  <c r="B46" i="56"/>
  <c r="C45" i="56"/>
  <c r="B45" i="56"/>
  <c r="B40" i="56"/>
  <c r="B37" i="56"/>
  <c r="D32" i="56"/>
  <c r="D27" i="56"/>
  <c r="D17" i="56"/>
  <c r="B7" i="56"/>
  <c r="B2" i="56"/>
  <c r="C49" i="55"/>
  <c r="B49" i="55"/>
  <c r="C48" i="55"/>
  <c r="B48" i="55"/>
  <c r="B44" i="55"/>
  <c r="C43" i="55"/>
  <c r="B43" i="55"/>
  <c r="C42" i="55"/>
  <c r="B42" i="55"/>
  <c r="B37" i="55"/>
  <c r="B34" i="55"/>
  <c r="D32" i="55"/>
  <c r="D27" i="55"/>
  <c r="D17" i="55"/>
  <c r="B7" i="55"/>
  <c r="B2" i="55"/>
  <c r="C60" i="54"/>
  <c r="B60" i="54"/>
  <c r="C59" i="54"/>
  <c r="B59" i="54"/>
  <c r="B55" i="54"/>
  <c r="C54" i="54"/>
  <c r="B54" i="54"/>
  <c r="C53" i="54"/>
  <c r="B53" i="54"/>
  <c r="B48" i="54"/>
  <c r="B43" i="54"/>
  <c r="J41" i="54"/>
  <c r="J41" i="61" s="1"/>
  <c r="F41" i="54"/>
  <c r="F41" i="61" s="1"/>
  <c r="E41" i="54"/>
  <c r="E41" i="61" s="1"/>
  <c r="D41" i="54"/>
  <c r="D41" i="61" s="1"/>
  <c r="C41" i="54"/>
  <c r="C41" i="61" s="1"/>
  <c r="J40" i="54"/>
  <c r="J40" i="61" s="1"/>
  <c r="F40" i="54"/>
  <c r="F40" i="61" s="1"/>
  <c r="E40" i="54"/>
  <c r="E40" i="61" s="1"/>
  <c r="D40" i="54"/>
  <c r="D40" i="61" s="1"/>
  <c r="C40" i="54"/>
  <c r="C40" i="61" s="1"/>
  <c r="J39" i="54"/>
  <c r="F39" i="54"/>
  <c r="F39" i="61" s="1"/>
  <c r="E39" i="54"/>
  <c r="E39" i="61" s="1"/>
  <c r="D39" i="54"/>
  <c r="D39" i="61" s="1"/>
  <c r="C39" i="54"/>
  <c r="K38" i="54"/>
  <c r="H38" i="54"/>
  <c r="G38" i="54"/>
  <c r="J37" i="54"/>
  <c r="G37" i="54"/>
  <c r="F37" i="54"/>
  <c r="E37" i="54"/>
  <c r="D37" i="54"/>
  <c r="C37" i="54"/>
  <c r="J36" i="54"/>
  <c r="F36" i="54"/>
  <c r="E36" i="54"/>
  <c r="D36" i="54"/>
  <c r="C36" i="54"/>
  <c r="J35" i="54"/>
  <c r="F35" i="54"/>
  <c r="E35" i="54"/>
  <c r="D35" i="54"/>
  <c r="C35" i="54"/>
  <c r="J34" i="54"/>
  <c r="F34" i="54"/>
  <c r="E34" i="54"/>
  <c r="D34" i="54"/>
  <c r="C34" i="54"/>
  <c r="J33" i="54"/>
  <c r="F33" i="54"/>
  <c r="E33" i="54"/>
  <c r="D33" i="54"/>
  <c r="C33" i="54"/>
  <c r="J32" i="54"/>
  <c r="J31" i="54" s="1"/>
  <c r="F32" i="54"/>
  <c r="E32" i="54"/>
  <c r="E31" i="54" s="1"/>
  <c r="D32" i="54"/>
  <c r="C32" i="54"/>
  <c r="K31" i="54"/>
  <c r="H31" i="54"/>
  <c r="G31" i="54"/>
  <c r="J30" i="54"/>
  <c r="F30" i="54"/>
  <c r="E30" i="54"/>
  <c r="D30" i="54"/>
  <c r="C30" i="54"/>
  <c r="J29" i="54"/>
  <c r="J28" i="54" s="1"/>
  <c r="F29" i="54"/>
  <c r="E29" i="54"/>
  <c r="D29" i="54"/>
  <c r="C29" i="54"/>
  <c r="K28" i="54"/>
  <c r="H28" i="54"/>
  <c r="G28" i="54"/>
  <c r="J27" i="54"/>
  <c r="F27" i="54"/>
  <c r="E27" i="54"/>
  <c r="D27" i="54"/>
  <c r="C27" i="54"/>
  <c r="J26" i="54"/>
  <c r="F26" i="54"/>
  <c r="E26" i="54"/>
  <c r="D26" i="54"/>
  <c r="C26" i="54"/>
  <c r="J25" i="54"/>
  <c r="F25" i="54"/>
  <c r="E25" i="54"/>
  <c r="D25" i="54"/>
  <c r="C25" i="54"/>
  <c r="J24" i="54"/>
  <c r="F24" i="54"/>
  <c r="E24" i="54"/>
  <c r="D24" i="54"/>
  <c r="C24" i="54"/>
  <c r="C23" i="54" s="1"/>
  <c r="K23" i="54"/>
  <c r="H23" i="54"/>
  <c r="G23" i="54"/>
  <c r="J22" i="54"/>
  <c r="F22" i="54"/>
  <c r="E22" i="54"/>
  <c r="D22" i="54"/>
  <c r="C22" i="54"/>
  <c r="J21" i="54"/>
  <c r="F21" i="54"/>
  <c r="F20" i="54" s="1"/>
  <c r="E21" i="54"/>
  <c r="D21" i="54"/>
  <c r="D20" i="54" s="1"/>
  <c r="C21" i="54"/>
  <c r="K20" i="54"/>
  <c r="H20" i="54"/>
  <c r="G20" i="54"/>
  <c r="J18" i="54"/>
  <c r="F18" i="54"/>
  <c r="E18" i="54"/>
  <c r="D18" i="54"/>
  <c r="C18" i="54"/>
  <c r="J17" i="54"/>
  <c r="J16" i="54" s="1"/>
  <c r="F17" i="54"/>
  <c r="E17" i="54"/>
  <c r="E16" i="54" s="1"/>
  <c r="D17" i="54"/>
  <c r="D16" i="54" s="1"/>
  <c r="C17" i="54"/>
  <c r="K16" i="54"/>
  <c r="H16" i="54"/>
  <c r="G16" i="54"/>
  <c r="B7" i="54"/>
  <c r="B2" i="54"/>
  <c r="C69" i="53"/>
  <c r="B69" i="53"/>
  <c r="C68" i="53"/>
  <c r="B68" i="53"/>
  <c r="B64" i="53"/>
  <c r="C63" i="53"/>
  <c r="B63" i="53"/>
  <c r="C62" i="53"/>
  <c r="B62" i="53"/>
  <c r="B57" i="53"/>
  <c r="B54" i="53"/>
  <c r="D48" i="53"/>
  <c r="C48" i="53"/>
  <c r="B40" i="53"/>
  <c r="D24" i="53"/>
  <c r="C24" i="53"/>
  <c r="D18" i="53"/>
  <c r="D17" i="53" s="1"/>
  <c r="C18" i="53"/>
  <c r="C17" i="53" s="1"/>
  <c r="D14" i="53"/>
  <c r="C14" i="53"/>
  <c r="B7" i="53"/>
  <c r="B2" i="53"/>
  <c r="C59" i="52"/>
  <c r="B59" i="52"/>
  <c r="C58" i="52"/>
  <c r="B58" i="52"/>
  <c r="B54" i="52"/>
  <c r="C53" i="52"/>
  <c r="B53" i="52"/>
  <c r="C52" i="52"/>
  <c r="B52" i="52"/>
  <c r="B47" i="52"/>
  <c r="B44" i="52"/>
  <c r="E38" i="52"/>
  <c r="D38" i="52"/>
  <c r="C38" i="52"/>
  <c r="E35" i="52"/>
  <c r="D35" i="52"/>
  <c r="C35" i="52"/>
  <c r="E32" i="52"/>
  <c r="D32" i="52"/>
  <c r="C32" i="52"/>
  <c r="D30" i="52"/>
  <c r="B28" i="52"/>
  <c r="B27" i="52"/>
  <c r="C24" i="52"/>
  <c r="C23" i="52"/>
  <c r="E18" i="52"/>
  <c r="D18" i="52"/>
  <c r="C18" i="52"/>
  <c r="E15" i="52"/>
  <c r="D15" i="52"/>
  <c r="C15" i="52"/>
  <c r="E12" i="52"/>
  <c r="D12" i="52"/>
  <c r="C12" i="52"/>
  <c r="D10" i="52"/>
  <c r="B7" i="52"/>
  <c r="B2" i="52"/>
  <c r="B67" i="51"/>
  <c r="E66" i="51"/>
  <c r="D66" i="51"/>
  <c r="C66" i="51"/>
  <c r="B66" i="51"/>
  <c r="E65" i="51"/>
  <c r="D65" i="51"/>
  <c r="C65" i="51"/>
  <c r="B65" i="51"/>
  <c r="B60" i="51"/>
  <c r="B55" i="51"/>
  <c r="D46" i="51"/>
  <c r="C39" i="51"/>
  <c r="C38" i="51"/>
  <c r="F107" i="37"/>
  <c r="C107" i="37"/>
  <c r="F106" i="37"/>
  <c r="C106" i="37"/>
  <c r="F105" i="37"/>
  <c r="C105" i="37"/>
  <c r="C104" i="37"/>
  <c r="E22" i="51"/>
  <c r="D22" i="51"/>
  <c r="C22" i="51"/>
  <c r="E19" i="51"/>
  <c r="D19" i="51"/>
  <c r="C19" i="51"/>
  <c r="E15" i="51"/>
  <c r="D15" i="51"/>
  <c r="C15" i="51"/>
  <c r="D10" i="51"/>
  <c r="B7" i="51"/>
  <c r="B2" i="51"/>
  <c r="B42" i="50"/>
  <c r="F41" i="50"/>
  <c r="D41" i="50"/>
  <c r="C41" i="50"/>
  <c r="B41" i="50"/>
  <c r="F40" i="50"/>
  <c r="D40" i="50"/>
  <c r="C40" i="50"/>
  <c r="B40" i="50"/>
  <c r="B35" i="50"/>
  <c r="B31" i="50"/>
  <c r="F29" i="50"/>
  <c r="F28" i="50"/>
  <c r="F27" i="50"/>
  <c r="F26" i="50"/>
  <c r="E25" i="50"/>
  <c r="D25" i="50"/>
  <c r="C25" i="50"/>
  <c r="F24" i="50"/>
  <c r="F23" i="50"/>
  <c r="F22" i="50"/>
  <c r="F21" i="50"/>
  <c r="E20" i="50"/>
  <c r="D20" i="50"/>
  <c r="C20" i="50"/>
  <c r="F19" i="50"/>
  <c r="C17" i="50"/>
  <c r="E17" i="50"/>
  <c r="B7" i="50"/>
  <c r="B2" i="50"/>
  <c r="B42" i="49"/>
  <c r="F41" i="49"/>
  <c r="D41" i="49"/>
  <c r="C41" i="49"/>
  <c r="B41" i="49"/>
  <c r="F40" i="49"/>
  <c r="D40" i="49"/>
  <c r="C40" i="49"/>
  <c r="B40" i="49"/>
  <c r="B35" i="49"/>
  <c r="B31" i="49"/>
  <c r="F29" i="49"/>
  <c r="F28" i="49"/>
  <c r="F27" i="49"/>
  <c r="F26" i="49"/>
  <c r="E25" i="49"/>
  <c r="D25" i="49"/>
  <c r="C25" i="49"/>
  <c r="F24" i="49"/>
  <c r="F23" i="49"/>
  <c r="F22" i="49"/>
  <c r="F21" i="49"/>
  <c r="E20" i="49"/>
  <c r="D20" i="49"/>
  <c r="C20" i="49"/>
  <c r="F19" i="49"/>
  <c r="C17" i="49"/>
  <c r="E17" i="49"/>
  <c r="B7" i="49"/>
  <c r="B2" i="49"/>
  <c r="B57" i="48"/>
  <c r="M56" i="48"/>
  <c r="H56" i="48"/>
  <c r="D56" i="48"/>
  <c r="B56" i="48"/>
  <c r="M55" i="48"/>
  <c r="H55" i="48"/>
  <c r="D55" i="48"/>
  <c r="B55" i="48"/>
  <c r="B46" i="48"/>
  <c r="O45" i="48"/>
  <c r="O44" i="48"/>
  <c r="P25" i="48"/>
  <c r="P20" i="48"/>
  <c r="P17" i="48"/>
  <c r="B7" i="48"/>
  <c r="B2" i="48"/>
  <c r="B109" i="47"/>
  <c r="F108" i="47"/>
  <c r="C108" i="47"/>
  <c r="B108" i="47"/>
  <c r="F107" i="47"/>
  <c r="C107" i="47"/>
  <c r="B107" i="47"/>
  <c r="B100" i="47"/>
  <c r="F99" i="47"/>
  <c r="E95" i="47"/>
  <c r="F80" i="47"/>
  <c r="E80" i="47"/>
  <c r="D80" i="47"/>
  <c r="C80" i="47"/>
  <c r="F79" i="47"/>
  <c r="E79" i="47"/>
  <c r="D79" i="47"/>
  <c r="C79" i="47"/>
  <c r="F78" i="47"/>
  <c r="E78" i="47"/>
  <c r="D78" i="47"/>
  <c r="C78" i="47"/>
  <c r="F77" i="47"/>
  <c r="E77" i="47"/>
  <c r="D77" i="47"/>
  <c r="C77" i="47"/>
  <c r="E66" i="47"/>
  <c r="B66" i="47"/>
  <c r="D52" i="47"/>
  <c r="B6" i="47"/>
  <c r="B2" i="47"/>
  <c r="B47" i="46"/>
  <c r="F46" i="46"/>
  <c r="C46" i="46"/>
  <c r="B46" i="46"/>
  <c r="F45" i="46"/>
  <c r="C45" i="46"/>
  <c r="B45" i="46"/>
  <c r="B38" i="46"/>
  <c r="E37" i="46"/>
  <c r="E30" i="46"/>
  <c r="B30" i="46"/>
  <c r="B6" i="46"/>
  <c r="B2" i="46"/>
  <c r="B40" i="45"/>
  <c r="L39" i="45"/>
  <c r="D39" i="45"/>
  <c r="B39" i="45"/>
  <c r="L38" i="45"/>
  <c r="D38" i="45"/>
  <c r="B38" i="45"/>
  <c r="B31" i="45"/>
  <c r="E24" i="45"/>
  <c r="F24" i="45" s="1"/>
  <c r="G24" i="45" s="1"/>
  <c r="H24" i="45" s="1"/>
  <c r="I24" i="45" s="1"/>
  <c r="J24" i="45" s="1"/>
  <c r="K24" i="45" s="1"/>
  <c r="L24" i="45" s="1"/>
  <c r="M24" i="45" s="1"/>
  <c r="M18" i="45"/>
  <c r="L18" i="45"/>
  <c r="M14" i="45"/>
  <c r="L14" i="45"/>
  <c r="M12" i="45"/>
  <c r="L12" i="45"/>
  <c r="B6" i="45"/>
  <c r="B2" i="45"/>
  <c r="B156" i="44"/>
  <c r="K155" i="44"/>
  <c r="F155" i="44"/>
  <c r="B155" i="44"/>
  <c r="K154" i="44"/>
  <c r="F154" i="44"/>
  <c r="B154" i="44"/>
  <c r="B144" i="44"/>
  <c r="L143" i="44"/>
  <c r="L142" i="44"/>
  <c r="L141" i="44"/>
  <c r="L140" i="44"/>
  <c r="L139" i="44"/>
  <c r="L138" i="44"/>
  <c r="L137" i="44"/>
  <c r="L136" i="44"/>
  <c r="L131" i="44"/>
  <c r="L130" i="44"/>
  <c r="L129" i="44"/>
  <c r="L128" i="44"/>
  <c r="L127" i="44"/>
  <c r="L126" i="44"/>
  <c r="L125" i="44"/>
  <c r="L124" i="44"/>
  <c r="L123" i="44"/>
  <c r="L122" i="44"/>
  <c r="L121" i="44"/>
  <c r="L120" i="44"/>
  <c r="L119" i="44"/>
  <c r="L118" i="44"/>
  <c r="L117" i="44"/>
  <c r="D116" i="44"/>
  <c r="L116" i="44"/>
  <c r="L115" i="44"/>
  <c r="L114" i="44"/>
  <c r="L113" i="44"/>
  <c r="L112" i="44"/>
  <c r="L111" i="44"/>
  <c r="L110" i="44"/>
  <c r="H93" i="44"/>
  <c r="H92" i="44"/>
  <c r="B92" i="44"/>
  <c r="B91" i="44"/>
  <c r="L84" i="44"/>
  <c r="G81" i="44"/>
  <c r="F81" i="44"/>
  <c r="D81" i="44"/>
  <c r="C81" i="44"/>
  <c r="B81" i="44"/>
  <c r="G80" i="44"/>
  <c r="F80" i="44"/>
  <c r="D80" i="44"/>
  <c r="C80" i="44"/>
  <c r="B80" i="44"/>
  <c r="G79" i="44"/>
  <c r="F79" i="44"/>
  <c r="D79" i="44"/>
  <c r="C79" i="44"/>
  <c r="B79" i="44"/>
  <c r="G78" i="44"/>
  <c r="F78" i="44"/>
  <c r="D78" i="44"/>
  <c r="C78" i="44"/>
  <c r="B78" i="44"/>
  <c r="B77" i="44"/>
  <c r="L72" i="44"/>
  <c r="L71" i="44"/>
  <c r="H70" i="44"/>
  <c r="L70" i="44" s="1"/>
  <c r="B70" i="44"/>
  <c r="B69" i="44"/>
  <c r="L55" i="44"/>
  <c r="K55" i="44"/>
  <c r="J55" i="44"/>
  <c r="G77" i="44" s="1"/>
  <c r="L50" i="44"/>
  <c r="L49" i="44"/>
  <c r="L48" i="44"/>
  <c r="L47" i="44"/>
  <c r="L46" i="44"/>
  <c r="L45" i="44"/>
  <c r="L44" i="44"/>
  <c r="L43" i="44"/>
  <c r="L42" i="44"/>
  <c r="L41" i="44"/>
  <c r="L40" i="44"/>
  <c r="L39" i="44"/>
  <c r="L38" i="44"/>
  <c r="L37" i="44"/>
  <c r="L36" i="44"/>
  <c r="L35" i="44"/>
  <c r="L34" i="44"/>
  <c r="L33" i="44"/>
  <c r="L32" i="44"/>
  <c r="L31" i="44"/>
  <c r="L30" i="44"/>
  <c r="L29" i="44"/>
  <c r="J17" i="44"/>
  <c r="I17" i="44"/>
  <c r="J12" i="44"/>
  <c r="I12" i="44"/>
  <c r="B6" i="44"/>
  <c r="B2" i="44"/>
  <c r="B41" i="43"/>
  <c r="I40" i="43"/>
  <c r="E40" i="43"/>
  <c r="B40" i="43"/>
  <c r="I39" i="43"/>
  <c r="E39" i="43"/>
  <c r="B39" i="43"/>
  <c r="B35" i="43"/>
  <c r="B32" i="43"/>
  <c r="G31" i="43"/>
  <c r="H29" i="43"/>
  <c r="G29" i="43"/>
  <c r="H26" i="43"/>
  <c r="G26" i="43"/>
  <c r="F26" i="43"/>
  <c r="E26" i="43"/>
  <c r="D26" i="43"/>
  <c r="C26" i="43"/>
  <c r="I25" i="43"/>
  <c r="I24" i="43"/>
  <c r="H23" i="43"/>
  <c r="H22" i="43" s="1"/>
  <c r="F23" i="43"/>
  <c r="F22" i="43" s="1"/>
  <c r="E23" i="43"/>
  <c r="E22" i="43" s="1"/>
  <c r="D23" i="43"/>
  <c r="C23" i="43"/>
  <c r="H15" i="43"/>
  <c r="G15" i="43"/>
  <c r="H14" i="43"/>
  <c r="G14" i="43"/>
  <c r="H13" i="43"/>
  <c r="G13" i="43"/>
  <c r="H12" i="43"/>
  <c r="H11" i="43" s="1"/>
  <c r="E90" i="47" s="1"/>
  <c r="G12" i="43"/>
  <c r="G11" i="43" s="1"/>
  <c r="B6" i="43"/>
  <c r="B2" i="43"/>
  <c r="B100" i="42"/>
  <c r="F99" i="42"/>
  <c r="D99" i="42"/>
  <c r="B99" i="42"/>
  <c r="F98" i="42"/>
  <c r="D98" i="42"/>
  <c r="B98" i="42"/>
  <c r="B94" i="42"/>
  <c r="B93" i="42"/>
  <c r="B92" i="42"/>
  <c r="B89" i="42"/>
  <c r="E87" i="42"/>
  <c r="E86" i="42"/>
  <c r="E85" i="42"/>
  <c r="E84" i="42"/>
  <c r="E83" i="42"/>
  <c r="E82" i="42"/>
  <c r="E81" i="42"/>
  <c r="E80" i="42"/>
  <c r="E79" i="42"/>
  <c r="E78" i="42"/>
  <c r="E77" i="42"/>
  <c r="E76" i="42"/>
  <c r="E75" i="42"/>
  <c r="E74" i="42"/>
  <c r="E73" i="42"/>
  <c r="E72" i="42"/>
  <c r="E71" i="42"/>
  <c r="E70" i="42"/>
  <c r="E69" i="42"/>
  <c r="E68" i="42"/>
  <c r="E67" i="42"/>
  <c r="E66" i="42"/>
  <c r="E65" i="42"/>
  <c r="E64" i="42"/>
  <c r="E63" i="42"/>
  <c r="E62" i="42"/>
  <c r="E61" i="42"/>
  <c r="E60" i="42"/>
  <c r="E59" i="42"/>
  <c r="E58" i="42"/>
  <c r="E57" i="42"/>
  <c r="E56" i="42"/>
  <c r="E55" i="42"/>
  <c r="E54" i="42"/>
  <c r="E53" i="42"/>
  <c r="E52" i="42"/>
  <c r="E51" i="42"/>
  <c r="E50" i="42"/>
  <c r="E49" i="42"/>
  <c r="E48" i="42"/>
  <c r="E47" i="42"/>
  <c r="F81" i="47" s="1"/>
  <c r="E46" i="42"/>
  <c r="E45" i="42"/>
  <c r="E44" i="42"/>
  <c r="E43" i="42"/>
  <c r="E42" i="42"/>
  <c r="E41" i="42"/>
  <c r="E40" i="42"/>
  <c r="E39" i="42"/>
  <c r="E38" i="42"/>
  <c r="E37" i="42"/>
  <c r="E36" i="42"/>
  <c r="E35" i="42"/>
  <c r="E34" i="42"/>
  <c r="E33" i="42"/>
  <c r="E32" i="42"/>
  <c r="E81" i="47" s="1"/>
  <c r="E31" i="42"/>
  <c r="E30" i="42"/>
  <c r="E29" i="42"/>
  <c r="E28" i="42"/>
  <c r="E27" i="42"/>
  <c r="E26" i="42"/>
  <c r="E25" i="42"/>
  <c r="E24" i="42"/>
  <c r="E23" i="42"/>
  <c r="E22" i="42"/>
  <c r="D81" i="47" s="1"/>
  <c r="E21" i="42"/>
  <c r="E20" i="42"/>
  <c r="E19" i="42"/>
  <c r="E18" i="42"/>
  <c r="E17" i="42"/>
  <c r="E16" i="42"/>
  <c r="E15" i="42"/>
  <c r="E14" i="42"/>
  <c r="F14" i="42" s="1"/>
  <c r="E13" i="42"/>
  <c r="C81" i="47" s="1"/>
  <c r="B13" i="42"/>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B66" i="42" s="1"/>
  <c r="B67" i="42" s="1"/>
  <c r="B68" i="42" s="1"/>
  <c r="B69" i="42" s="1"/>
  <c r="B70" i="42" s="1"/>
  <c r="B71" i="42" s="1"/>
  <c r="B72" i="42" s="1"/>
  <c r="B73" i="42" s="1"/>
  <c r="B74" i="42" s="1"/>
  <c r="B75" i="42" s="1"/>
  <c r="B76" i="42" s="1"/>
  <c r="B77" i="42" s="1"/>
  <c r="B78" i="42" s="1"/>
  <c r="B79" i="42" s="1"/>
  <c r="B80" i="42" s="1"/>
  <c r="B81" i="42" s="1"/>
  <c r="B82" i="42" s="1"/>
  <c r="B83" i="42" s="1"/>
  <c r="B84" i="42" s="1"/>
  <c r="B85" i="42" s="1"/>
  <c r="B86" i="42" s="1"/>
  <c r="B87" i="42" s="1"/>
  <c r="B6" i="42"/>
  <c r="B2" i="42"/>
  <c r="B34" i="41"/>
  <c r="E33" i="41"/>
  <c r="C33" i="41"/>
  <c r="B33" i="41"/>
  <c r="E32" i="41"/>
  <c r="C32" i="41"/>
  <c r="B32" i="41"/>
  <c r="B28" i="41"/>
  <c r="B24" i="41"/>
  <c r="E20" i="41"/>
  <c r="E19" i="41"/>
  <c r="D18" i="41"/>
  <c r="C18" i="41"/>
  <c r="D17" i="41"/>
  <c r="C17" i="41"/>
  <c r="D16" i="41"/>
  <c r="D15" i="41" s="1"/>
  <c r="D21" i="41" s="1"/>
  <c r="C16" i="41"/>
  <c r="C15" i="41" s="1"/>
  <c r="D11" i="41"/>
  <c r="C11" i="41"/>
  <c r="B6" i="41"/>
  <c r="B2" i="41"/>
  <c r="B227" i="40"/>
  <c r="C226" i="40"/>
  <c r="B226" i="40"/>
  <c r="F225" i="40"/>
  <c r="C225" i="40"/>
  <c r="B225" i="40"/>
  <c r="B207" i="40"/>
  <c r="B200" i="40"/>
  <c r="H197" i="40"/>
  <c r="H196" i="40"/>
  <c r="G195" i="40"/>
  <c r="F195" i="40"/>
  <c r="E195" i="40"/>
  <c r="D195" i="40"/>
  <c r="H195" i="40"/>
  <c r="H194" i="40"/>
  <c r="H193" i="40"/>
  <c r="H192" i="40"/>
  <c r="H191" i="40"/>
  <c r="G190" i="40"/>
  <c r="F190" i="40"/>
  <c r="E190" i="40"/>
  <c r="D190" i="40"/>
  <c r="H190" i="40"/>
  <c r="H189" i="40"/>
  <c r="H185" i="40"/>
  <c r="H184" i="40"/>
  <c r="H183" i="40"/>
  <c r="H182" i="40"/>
  <c r="H181" i="40"/>
  <c r="H180" i="40"/>
  <c r="H179" i="40"/>
  <c r="H178" i="40"/>
  <c r="H177" i="40"/>
  <c r="H164" i="40"/>
  <c r="G164" i="40"/>
  <c r="G154" i="40"/>
  <c r="F154" i="40"/>
  <c r="E154" i="40"/>
  <c r="H137" i="40"/>
  <c r="H136" i="40"/>
  <c r="H135" i="40"/>
  <c r="H134" i="40"/>
  <c r="H133" i="40"/>
  <c r="H127" i="40"/>
  <c r="H126" i="40"/>
  <c r="H125" i="40"/>
  <c r="H124" i="40"/>
  <c r="H123" i="40"/>
  <c r="H122" i="40"/>
  <c r="H121" i="40"/>
  <c r="H120" i="40"/>
  <c r="D114" i="40"/>
  <c r="D112" i="40" s="1"/>
  <c r="C114" i="40"/>
  <c r="C112" i="40" s="1"/>
  <c r="G98" i="40"/>
  <c r="F98" i="40"/>
  <c r="F103" i="40"/>
  <c r="G97" i="40"/>
  <c r="F97" i="40"/>
  <c r="F102" i="40"/>
  <c r="G96" i="40"/>
  <c r="F96" i="40"/>
  <c r="F101" i="40"/>
  <c r="G95" i="40"/>
  <c r="F95" i="40"/>
  <c r="G94" i="40"/>
  <c r="F94" i="40"/>
  <c r="G93" i="40"/>
  <c r="F93" i="40"/>
  <c r="G92" i="40"/>
  <c r="F92" i="40"/>
  <c r="H83" i="40"/>
  <c r="H82" i="40"/>
  <c r="H81" i="40"/>
  <c r="H80" i="40"/>
  <c r="H79" i="40"/>
  <c r="H78" i="40"/>
  <c r="H77" i="40"/>
  <c r="H76" i="40"/>
  <c r="H75" i="40"/>
  <c r="H74" i="40"/>
  <c r="H73" i="40"/>
  <c r="H72" i="40"/>
  <c r="H71" i="40"/>
  <c r="H70" i="40"/>
  <c r="H69" i="40"/>
  <c r="H68" i="40"/>
  <c r="H59" i="40"/>
  <c r="H51" i="40"/>
  <c r="G51" i="40"/>
  <c r="H47" i="40"/>
  <c r="G47" i="40"/>
  <c r="H43" i="40"/>
  <c r="G43" i="40"/>
  <c r="H39" i="40"/>
  <c r="H13" i="40"/>
  <c r="G13" i="40"/>
  <c r="B6" i="40"/>
  <c r="B2" i="40"/>
  <c r="B28" i="39"/>
  <c r="M27" i="39"/>
  <c r="H27" i="39"/>
  <c r="B27" i="39"/>
  <c r="M26" i="39"/>
  <c r="H26" i="39"/>
  <c r="B26" i="39"/>
  <c r="B22" i="39"/>
  <c r="B19" i="39"/>
  <c r="M18" i="39"/>
  <c r="G18" i="39"/>
  <c r="L16" i="39"/>
  <c r="K16" i="39"/>
  <c r="J16" i="39"/>
  <c r="H16" i="39"/>
  <c r="F16" i="39"/>
  <c r="E16" i="39"/>
  <c r="D16" i="39"/>
  <c r="I12" i="39"/>
  <c r="D12" i="39"/>
  <c r="B6" i="39"/>
  <c r="B2" i="39"/>
  <c r="B30" i="38"/>
  <c r="M29" i="38"/>
  <c r="H29" i="38"/>
  <c r="B29" i="38"/>
  <c r="M28" i="38"/>
  <c r="H28" i="38"/>
  <c r="B28" i="38"/>
  <c r="B24" i="38"/>
  <c r="B21" i="38"/>
  <c r="M18" i="38"/>
  <c r="G18" i="38"/>
  <c r="L16" i="38"/>
  <c r="D61" i="47" s="1"/>
  <c r="K16" i="38"/>
  <c r="J16" i="38"/>
  <c r="I16" i="38"/>
  <c r="H16" i="38"/>
  <c r="F16" i="38"/>
  <c r="D58" i="47" s="1"/>
  <c r="E16" i="38"/>
  <c r="D16" i="38"/>
  <c r="C16" i="38"/>
  <c r="I12" i="38"/>
  <c r="D12" i="38"/>
  <c r="B6" i="38"/>
  <c r="B2" i="38"/>
  <c r="B139" i="37"/>
  <c r="H138" i="37"/>
  <c r="D138" i="37"/>
  <c r="B138" i="37"/>
  <c r="H137" i="37"/>
  <c r="D137" i="37"/>
  <c r="B137" i="37"/>
  <c r="B134" i="37"/>
  <c r="B130" i="37"/>
  <c r="C129" i="37"/>
  <c r="C128" i="37"/>
  <c r="C127" i="37"/>
  <c r="C114" i="37"/>
  <c r="F99" i="37"/>
  <c r="C99" i="37"/>
  <c r="C90" i="37"/>
  <c r="C88" i="37"/>
  <c r="D51" i="47" s="1"/>
  <c r="I62" i="37"/>
  <c r="H62" i="37"/>
  <c r="G62" i="37"/>
  <c r="F62" i="37"/>
  <c r="E62" i="37"/>
  <c r="D62" i="37"/>
  <c r="C62" i="37"/>
  <c r="D57" i="37"/>
  <c r="C116" i="37"/>
  <c r="I10" i="37"/>
  <c r="B6" i="37"/>
  <c r="B2" i="37"/>
  <c r="B122" i="36"/>
  <c r="F121" i="36"/>
  <c r="C121" i="36"/>
  <c r="B121" i="36"/>
  <c r="F120" i="36"/>
  <c r="C120" i="36"/>
  <c r="B120" i="36"/>
  <c r="B116" i="36"/>
  <c r="B111" i="36"/>
  <c r="G106" i="36"/>
  <c r="G105" i="36"/>
  <c r="F108" i="36"/>
  <c r="E108" i="36"/>
  <c r="D108" i="36"/>
  <c r="C108" i="36"/>
  <c r="G99" i="36"/>
  <c r="F99" i="36"/>
  <c r="G83" i="36"/>
  <c r="G82" i="36"/>
  <c r="G81" i="36"/>
  <c r="F80" i="36"/>
  <c r="E80" i="36"/>
  <c r="D80" i="36"/>
  <c r="C80" i="36"/>
  <c r="G74" i="36"/>
  <c r="F74" i="36"/>
  <c r="G43" i="36"/>
  <c r="F42" i="36"/>
  <c r="E42" i="36"/>
  <c r="D42" i="36"/>
  <c r="C42" i="36"/>
  <c r="G19" i="36"/>
  <c r="F19" i="36"/>
  <c r="G15" i="36"/>
  <c r="F15" i="36"/>
  <c r="B6" i="36"/>
  <c r="B2" i="36"/>
  <c r="B56" i="35"/>
  <c r="N55" i="35"/>
  <c r="G55" i="35"/>
  <c r="B55" i="35"/>
  <c r="N54" i="35"/>
  <c r="G54" i="35"/>
  <c r="B54" i="35"/>
  <c r="B50" i="35"/>
  <c r="B47" i="35"/>
  <c r="P35" i="35"/>
  <c r="P26" i="35"/>
  <c r="P20" i="35"/>
  <c r="P13" i="35"/>
  <c r="P11" i="35"/>
  <c r="N20" i="35"/>
  <c r="B6" i="35"/>
  <c r="B2" i="35"/>
  <c r="B216" i="34"/>
  <c r="J215" i="34"/>
  <c r="E215" i="34"/>
  <c r="B215" i="34"/>
  <c r="J214" i="34"/>
  <c r="E214" i="34"/>
  <c r="B214" i="34"/>
  <c r="B209" i="34"/>
  <c r="B206" i="34"/>
  <c r="M205" i="34"/>
  <c r="M204" i="34"/>
  <c r="B6" i="34"/>
  <c r="B2" i="34"/>
  <c r="B217" i="33"/>
  <c r="J216" i="33"/>
  <c r="E216" i="33"/>
  <c r="B216" i="33"/>
  <c r="J215" i="33"/>
  <c r="E215" i="33"/>
  <c r="B215" i="33"/>
  <c r="B210" i="33"/>
  <c r="B207" i="33"/>
  <c r="M206" i="33"/>
  <c r="M205" i="33"/>
  <c r="M204" i="33"/>
  <c r="M203" i="33"/>
  <c r="M202" i="33"/>
  <c r="M201" i="33"/>
  <c r="M200" i="33"/>
  <c r="M199" i="33"/>
  <c r="M198" i="33"/>
  <c r="M197" i="33"/>
  <c r="M196" i="33"/>
  <c r="M195" i="33"/>
  <c r="M194" i="33"/>
  <c r="M193" i="33"/>
  <c r="M192" i="33"/>
  <c r="M191" i="33"/>
  <c r="M190" i="33"/>
  <c r="M189" i="33"/>
  <c r="M188" i="33"/>
  <c r="M187" i="33"/>
  <c r="M186" i="33"/>
  <c r="M185" i="33"/>
  <c r="M184" i="33"/>
  <c r="M183" i="33"/>
  <c r="M182" i="33"/>
  <c r="M181" i="33"/>
  <c r="M180" i="33"/>
  <c r="M179" i="33"/>
  <c r="M178" i="33"/>
  <c r="M177" i="33"/>
  <c r="M176" i="33"/>
  <c r="M175" i="33"/>
  <c r="M174" i="33"/>
  <c r="M173" i="33"/>
  <c r="M172" i="33"/>
  <c r="M171" i="33"/>
  <c r="M170" i="33"/>
  <c r="M169" i="33"/>
  <c r="M168" i="33"/>
  <c r="M167" i="33"/>
  <c r="M166" i="33"/>
  <c r="M165" i="33"/>
  <c r="M164" i="33"/>
  <c r="M163" i="33"/>
  <c r="M162" i="33"/>
  <c r="M161" i="33"/>
  <c r="M160" i="33"/>
  <c r="M159" i="33"/>
  <c r="M158" i="33"/>
  <c r="M157" i="33"/>
  <c r="M156" i="33"/>
  <c r="M155" i="33"/>
  <c r="M154" i="33"/>
  <c r="M153" i="33"/>
  <c r="M152" i="33"/>
  <c r="M151" i="33"/>
  <c r="M150" i="33"/>
  <c r="M149" i="33"/>
  <c r="M148" i="33"/>
  <c r="M147" i="33"/>
  <c r="M146" i="33"/>
  <c r="M145" i="33"/>
  <c r="M144" i="33"/>
  <c r="M143" i="33"/>
  <c r="M142" i="33"/>
  <c r="M141" i="33"/>
  <c r="M140" i="33"/>
  <c r="M139" i="33"/>
  <c r="M138" i="33"/>
  <c r="M137" i="33"/>
  <c r="M136" i="33"/>
  <c r="M135" i="33"/>
  <c r="M134" i="33"/>
  <c r="M133" i="33"/>
  <c r="M132" i="33"/>
  <c r="M131" i="33"/>
  <c r="M130" i="33"/>
  <c r="M129" i="33"/>
  <c r="M128" i="33"/>
  <c r="M127" i="33"/>
  <c r="M126" i="33"/>
  <c r="M125" i="33"/>
  <c r="M124" i="33"/>
  <c r="M123" i="33"/>
  <c r="M122" i="33"/>
  <c r="M121" i="33"/>
  <c r="M120" i="33"/>
  <c r="M119" i="33"/>
  <c r="M118" i="33"/>
  <c r="M117" i="33"/>
  <c r="M116" i="33"/>
  <c r="M115" i="33"/>
  <c r="M114" i="33"/>
  <c r="M113" i="33"/>
  <c r="M112" i="33"/>
  <c r="M111" i="33"/>
  <c r="M110" i="33"/>
  <c r="M109" i="33"/>
  <c r="M108" i="33"/>
  <c r="M107" i="33"/>
  <c r="M106" i="33"/>
  <c r="M105" i="33"/>
  <c r="M104" i="33"/>
  <c r="M103" i="33"/>
  <c r="M102" i="33"/>
  <c r="M101" i="33"/>
  <c r="M100" i="33"/>
  <c r="M99" i="33"/>
  <c r="M98" i="33"/>
  <c r="M97" i="33"/>
  <c r="M96" i="33"/>
  <c r="M95" i="33"/>
  <c r="M94" i="33"/>
  <c r="M93" i="33"/>
  <c r="M92" i="33"/>
  <c r="M91" i="33"/>
  <c r="M90" i="33"/>
  <c r="M89" i="33"/>
  <c r="M88" i="33"/>
  <c r="M87" i="33"/>
  <c r="M86" i="33"/>
  <c r="M85" i="33"/>
  <c r="M84" i="33"/>
  <c r="M83" i="33"/>
  <c r="M82" i="33"/>
  <c r="M81" i="33"/>
  <c r="M80" i="33"/>
  <c r="M79" i="33"/>
  <c r="M78" i="33"/>
  <c r="M77" i="33"/>
  <c r="M76" i="33"/>
  <c r="M75" i="33"/>
  <c r="M74" i="33"/>
  <c r="M73" i="33"/>
  <c r="M72" i="33"/>
  <c r="M71" i="33"/>
  <c r="M70" i="33"/>
  <c r="M69" i="33"/>
  <c r="M68" i="33"/>
  <c r="M67" i="33"/>
  <c r="M66" i="33"/>
  <c r="M65" i="33"/>
  <c r="M64" i="33"/>
  <c r="M63" i="33"/>
  <c r="M62" i="33"/>
  <c r="M61" i="33"/>
  <c r="M60"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B6" i="33"/>
  <c r="B2" i="33"/>
  <c r="B30" i="32"/>
  <c r="K29" i="32"/>
  <c r="E29" i="32"/>
  <c r="B29" i="32"/>
  <c r="K28" i="32"/>
  <c r="E28" i="32"/>
  <c r="B28" i="32"/>
  <c r="B22" i="32"/>
  <c r="L21" i="32"/>
  <c r="J21" i="32"/>
  <c r="G21" i="32"/>
  <c r="L20" i="32"/>
  <c r="J20" i="32"/>
  <c r="G20" i="32"/>
  <c r="L19" i="32"/>
  <c r="J19" i="32"/>
  <c r="G19" i="32"/>
  <c r="L18" i="32"/>
  <c r="J18" i="32"/>
  <c r="G18" i="32"/>
  <c r="L17" i="32"/>
  <c r="K17" i="32"/>
  <c r="I17" i="32"/>
  <c r="H17" i="32"/>
  <c r="F17" i="32"/>
  <c r="E17" i="32"/>
  <c r="D17" i="32"/>
  <c r="C17" i="32"/>
  <c r="L16" i="32"/>
  <c r="J16" i="32"/>
  <c r="G16" i="32"/>
  <c r="L15" i="32"/>
  <c r="J15" i="32"/>
  <c r="G15" i="32"/>
  <c r="L14" i="32"/>
  <c r="J14" i="32"/>
  <c r="G14" i="32"/>
  <c r="L13" i="32"/>
  <c r="K13" i="32"/>
  <c r="I13" i="32"/>
  <c r="H13" i="32"/>
  <c r="F13" i="32"/>
  <c r="E13" i="32"/>
  <c r="D13" i="32"/>
  <c r="C13" i="32"/>
  <c r="L12" i="32"/>
  <c r="B6" i="32"/>
  <c r="B2" i="32"/>
  <c r="H75" i="31"/>
  <c r="F75" i="31"/>
  <c r="I74" i="31"/>
  <c r="H74" i="31"/>
  <c r="F74" i="31"/>
  <c r="I73" i="31"/>
  <c r="H73" i="31"/>
  <c r="F73" i="31"/>
  <c r="I72" i="31"/>
  <c r="H72" i="31"/>
  <c r="F72" i="31"/>
  <c r="I71" i="31"/>
  <c r="H71" i="31"/>
  <c r="F71" i="31"/>
  <c r="I70" i="31"/>
  <c r="H70" i="31"/>
  <c r="F70" i="31"/>
  <c r="G69" i="31"/>
  <c r="E69" i="31"/>
  <c r="E61" i="31" s="1"/>
  <c r="D69" i="31"/>
  <c r="D61" i="31" s="1"/>
  <c r="C69" i="31"/>
  <c r="C61" i="31" s="1"/>
  <c r="I68" i="31"/>
  <c r="H68" i="31"/>
  <c r="F68" i="31"/>
  <c r="I67" i="31"/>
  <c r="H67" i="31"/>
  <c r="F67" i="31"/>
  <c r="I66" i="31"/>
  <c r="H66" i="31"/>
  <c r="F66" i="31"/>
  <c r="I65" i="31"/>
  <c r="H65" i="31"/>
  <c r="F65" i="31"/>
  <c r="I64" i="31"/>
  <c r="H64" i="31"/>
  <c r="F64" i="31"/>
  <c r="I63" i="31"/>
  <c r="H63" i="31"/>
  <c r="F63" i="31"/>
  <c r="I62" i="31"/>
  <c r="H62" i="31"/>
  <c r="F62" i="31"/>
  <c r="I60" i="31"/>
  <c r="H60" i="31"/>
  <c r="F60" i="31"/>
  <c r="I59" i="31"/>
  <c r="H59" i="31"/>
  <c r="F59" i="31"/>
  <c r="I58" i="31"/>
  <c r="H58" i="31"/>
  <c r="F58" i="31"/>
  <c r="I57" i="31"/>
  <c r="H57" i="31"/>
  <c r="F57" i="31"/>
  <c r="G56" i="31"/>
  <c r="E56" i="31"/>
  <c r="D56" i="31"/>
  <c r="C56" i="31"/>
  <c r="I55" i="31"/>
  <c r="H55" i="31"/>
  <c r="F55" i="31"/>
  <c r="I54" i="31"/>
  <c r="H54" i="31"/>
  <c r="F54" i="31"/>
  <c r="G53" i="31"/>
  <c r="E53" i="31"/>
  <c r="D53" i="31"/>
  <c r="C53" i="31"/>
  <c r="I51" i="31"/>
  <c r="H51" i="31"/>
  <c r="F51" i="31"/>
  <c r="I50" i="31"/>
  <c r="H50" i="31"/>
  <c r="F50" i="31"/>
  <c r="I49" i="31"/>
  <c r="H49" i="31"/>
  <c r="F49" i="31"/>
  <c r="I48" i="31"/>
  <c r="H48" i="31"/>
  <c r="F48" i="31"/>
  <c r="I47" i="31"/>
  <c r="H47" i="31"/>
  <c r="F47" i="31"/>
  <c r="G46" i="31"/>
  <c r="E46" i="31"/>
  <c r="D46" i="31"/>
  <c r="C46" i="31"/>
  <c r="I45" i="31"/>
  <c r="H45" i="31"/>
  <c r="F45" i="31"/>
  <c r="I44" i="31"/>
  <c r="H44" i="31"/>
  <c r="F44" i="31"/>
  <c r="I43" i="31"/>
  <c r="H43" i="31"/>
  <c r="F43" i="31"/>
  <c r="I42" i="31"/>
  <c r="H42" i="31"/>
  <c r="F42" i="31"/>
  <c r="I41" i="31"/>
  <c r="H41" i="31"/>
  <c r="F41" i="31"/>
  <c r="I40" i="31"/>
  <c r="H40" i="31"/>
  <c r="F40" i="31"/>
  <c r="I39" i="31"/>
  <c r="H39" i="31"/>
  <c r="F39" i="31"/>
  <c r="G38" i="31"/>
  <c r="E38" i="31"/>
  <c r="D38" i="31"/>
  <c r="C38" i="31"/>
  <c r="I37" i="31"/>
  <c r="H37" i="31"/>
  <c r="F37" i="31"/>
  <c r="I36" i="31"/>
  <c r="H36" i="31"/>
  <c r="F36" i="31"/>
  <c r="I35" i="31"/>
  <c r="H35" i="31"/>
  <c r="F35" i="31"/>
  <c r="I34" i="31"/>
  <c r="H34" i="31"/>
  <c r="F34" i="31"/>
  <c r="I33" i="31"/>
  <c r="H33" i="31"/>
  <c r="F33" i="31"/>
  <c r="G32" i="31"/>
  <c r="E32" i="31"/>
  <c r="D32" i="31"/>
  <c r="C32" i="31"/>
  <c r="I31" i="31"/>
  <c r="H31" i="31"/>
  <c r="F31" i="31"/>
  <c r="I30" i="31"/>
  <c r="H30" i="31"/>
  <c r="F30" i="31"/>
  <c r="I29" i="31"/>
  <c r="H29" i="31"/>
  <c r="F29" i="31"/>
  <c r="I28" i="31"/>
  <c r="H28" i="31"/>
  <c r="F28" i="31"/>
  <c r="I27" i="31"/>
  <c r="H27" i="31"/>
  <c r="F27" i="31"/>
  <c r="I26" i="31"/>
  <c r="H26" i="31"/>
  <c r="F26" i="31"/>
  <c r="I25" i="31"/>
  <c r="H25" i="31"/>
  <c r="F25" i="31"/>
  <c r="I24" i="31"/>
  <c r="H24" i="31"/>
  <c r="F24" i="31"/>
  <c r="I23" i="31"/>
  <c r="H23" i="31"/>
  <c r="F23" i="31"/>
  <c r="G22" i="31"/>
  <c r="E22" i="31"/>
  <c r="D22" i="31"/>
  <c r="C22" i="31"/>
  <c r="I21" i="31"/>
  <c r="H21" i="31"/>
  <c r="F21" i="31"/>
  <c r="I20" i="31"/>
  <c r="H20" i="31"/>
  <c r="F20" i="31"/>
  <c r="I19" i="31"/>
  <c r="H19" i="31"/>
  <c r="F19" i="31"/>
  <c r="I18" i="31"/>
  <c r="H18" i="31"/>
  <c r="F18" i="31"/>
  <c r="G17" i="31"/>
  <c r="E17" i="31"/>
  <c r="D17" i="31"/>
  <c r="C17" i="31"/>
  <c r="I16" i="31"/>
  <c r="H16" i="31"/>
  <c r="F16" i="31"/>
  <c r="I15" i="31"/>
  <c r="H15" i="31"/>
  <c r="F15" i="31"/>
  <c r="I14" i="31"/>
  <c r="H14" i="31"/>
  <c r="F14" i="31"/>
  <c r="G13" i="31"/>
  <c r="E13" i="31"/>
  <c r="D13" i="31"/>
  <c r="C13" i="31"/>
  <c r="B6" i="31"/>
  <c r="B2" i="31"/>
  <c r="B45" i="30"/>
  <c r="K44" i="30"/>
  <c r="E44" i="30"/>
  <c r="B44" i="30"/>
  <c r="K43" i="30"/>
  <c r="E43" i="30"/>
  <c r="B43" i="30"/>
  <c r="B35" i="30"/>
  <c r="L34" i="30"/>
  <c r="J34" i="30"/>
  <c r="G34" i="30"/>
  <c r="F32" i="30"/>
  <c r="L31" i="30"/>
  <c r="L33" i="30" s="1"/>
  <c r="L30" i="30"/>
  <c r="J30" i="30"/>
  <c r="G30" i="30"/>
  <c r="L29" i="30"/>
  <c r="J29" i="30"/>
  <c r="G29" i="30"/>
  <c r="L28" i="30"/>
  <c r="K28" i="30"/>
  <c r="I28" i="30"/>
  <c r="H28" i="30"/>
  <c r="F28" i="30"/>
  <c r="E28" i="30"/>
  <c r="D28" i="30"/>
  <c r="C28" i="30"/>
  <c r="L27" i="30"/>
  <c r="J27" i="30"/>
  <c r="G27" i="30"/>
  <c r="L26" i="30"/>
  <c r="J26" i="30"/>
  <c r="G26" i="30"/>
  <c r="L25" i="30"/>
  <c r="K25" i="30"/>
  <c r="I25" i="30"/>
  <c r="H25" i="30"/>
  <c r="F25" i="30"/>
  <c r="E25" i="30"/>
  <c r="D25" i="30"/>
  <c r="C25" i="30"/>
  <c r="L24" i="30"/>
  <c r="L23" i="30"/>
  <c r="L22" i="30"/>
  <c r="L21" i="30"/>
  <c r="J21" i="30"/>
  <c r="G21" i="30"/>
  <c r="L20" i="30"/>
  <c r="J20" i="30"/>
  <c r="G20" i="30"/>
  <c r="L19" i="30"/>
  <c r="J19" i="30"/>
  <c r="G19" i="30"/>
  <c r="L18" i="30"/>
  <c r="J18" i="30"/>
  <c r="G18" i="30"/>
  <c r="L17" i="30"/>
  <c r="K17" i="30"/>
  <c r="I17" i="30"/>
  <c r="H17" i="30"/>
  <c r="F17" i="30"/>
  <c r="E17" i="30"/>
  <c r="D17" i="30"/>
  <c r="C17" i="30"/>
  <c r="L16" i="30"/>
  <c r="J16" i="30"/>
  <c r="G16" i="30"/>
  <c r="L15" i="30"/>
  <c r="J15" i="30"/>
  <c r="G15" i="30"/>
  <c r="L14" i="30"/>
  <c r="J14" i="30"/>
  <c r="G14" i="30"/>
  <c r="L13" i="30"/>
  <c r="K13" i="30"/>
  <c r="I13" i="30"/>
  <c r="H13" i="30"/>
  <c r="F13" i="30"/>
  <c r="E13" i="30"/>
  <c r="D13" i="30"/>
  <c r="C13" i="30"/>
  <c r="L12" i="30"/>
  <c r="B6" i="30"/>
  <c r="B2" i="30"/>
  <c r="G89" i="29"/>
  <c r="G87" i="29" s="1"/>
  <c r="H88" i="29"/>
  <c r="F88" i="29"/>
  <c r="D87" i="29"/>
  <c r="C87" i="29"/>
  <c r="F85" i="29"/>
  <c r="I83" i="29"/>
  <c r="H83" i="29"/>
  <c r="F83" i="29"/>
  <c r="I82" i="29"/>
  <c r="H82" i="29"/>
  <c r="F82" i="29"/>
  <c r="G81" i="29"/>
  <c r="E81" i="29"/>
  <c r="D81" i="29"/>
  <c r="C81" i="29"/>
  <c r="I80" i="29"/>
  <c r="H80" i="29"/>
  <c r="F80" i="29"/>
  <c r="I79" i="29"/>
  <c r="H79" i="29"/>
  <c r="F79" i="29"/>
  <c r="G78" i="29"/>
  <c r="E78" i="29"/>
  <c r="D78" i="29"/>
  <c r="C78" i="29"/>
  <c r="I74" i="29"/>
  <c r="H74" i="29"/>
  <c r="F74" i="29"/>
  <c r="I73" i="29"/>
  <c r="H73" i="29"/>
  <c r="F73" i="29"/>
  <c r="I72" i="29"/>
  <c r="H72" i="29"/>
  <c r="F72" i="29"/>
  <c r="I71" i="29"/>
  <c r="H71" i="29"/>
  <c r="F71" i="29"/>
  <c r="G70" i="29"/>
  <c r="E70" i="29"/>
  <c r="D70" i="29"/>
  <c r="C70" i="29"/>
  <c r="I69" i="29"/>
  <c r="H69" i="29"/>
  <c r="F69" i="29"/>
  <c r="I68" i="29"/>
  <c r="H68" i="29"/>
  <c r="F68" i="29"/>
  <c r="I67" i="29"/>
  <c r="H67" i="29"/>
  <c r="F67" i="29"/>
  <c r="I66" i="29"/>
  <c r="H66" i="29"/>
  <c r="F66" i="29"/>
  <c r="I65" i="29"/>
  <c r="H65" i="29"/>
  <c r="F65" i="29"/>
  <c r="I64" i="29"/>
  <c r="H64" i="29"/>
  <c r="F64" i="29"/>
  <c r="I63" i="29"/>
  <c r="H63" i="29"/>
  <c r="F63" i="29"/>
  <c r="G62" i="29"/>
  <c r="E62" i="29"/>
  <c r="D62" i="29"/>
  <c r="C62" i="29"/>
  <c r="I61" i="29"/>
  <c r="H61" i="29"/>
  <c r="F61" i="29"/>
  <c r="I60" i="29"/>
  <c r="H60" i="29"/>
  <c r="F60" i="29"/>
  <c r="I59" i="29"/>
  <c r="H59" i="29"/>
  <c r="F59" i="29"/>
  <c r="I58" i="29"/>
  <c r="H58" i="29"/>
  <c r="F58" i="29"/>
  <c r="G57" i="29"/>
  <c r="E57" i="29"/>
  <c r="D57" i="29"/>
  <c r="C57" i="29"/>
  <c r="I56" i="29"/>
  <c r="H56" i="29"/>
  <c r="F56" i="29"/>
  <c r="I55" i="29"/>
  <c r="H55" i="29"/>
  <c r="F55" i="29"/>
  <c r="G54" i="29"/>
  <c r="E54" i="29"/>
  <c r="D54" i="29"/>
  <c r="C54" i="29"/>
  <c r="I52" i="29"/>
  <c r="H52" i="29"/>
  <c r="F52" i="29"/>
  <c r="I51" i="29"/>
  <c r="H51" i="29"/>
  <c r="F51" i="29"/>
  <c r="I50" i="29"/>
  <c r="H50" i="29"/>
  <c r="F50" i="29"/>
  <c r="I49" i="29"/>
  <c r="H49" i="29"/>
  <c r="F49" i="29"/>
  <c r="I48" i="29"/>
  <c r="H48" i="29"/>
  <c r="F48" i="29"/>
  <c r="G47" i="29"/>
  <c r="E47" i="29"/>
  <c r="D47" i="29"/>
  <c r="C47" i="29"/>
  <c r="I46" i="29"/>
  <c r="H46" i="29"/>
  <c r="F46" i="29"/>
  <c r="I45" i="29"/>
  <c r="H45" i="29"/>
  <c r="F45" i="29"/>
  <c r="I44" i="29"/>
  <c r="H44" i="29"/>
  <c r="F44" i="29"/>
  <c r="I43" i="29"/>
  <c r="H43" i="29"/>
  <c r="F43" i="29"/>
  <c r="I42" i="29"/>
  <c r="H42" i="29"/>
  <c r="F42" i="29"/>
  <c r="I41" i="29"/>
  <c r="H41" i="29"/>
  <c r="F41" i="29"/>
  <c r="I40" i="29"/>
  <c r="H40" i="29"/>
  <c r="F40" i="29"/>
  <c r="G39" i="29"/>
  <c r="E39" i="29"/>
  <c r="D39" i="29"/>
  <c r="C39" i="29"/>
  <c r="I38" i="29"/>
  <c r="H38" i="29"/>
  <c r="F38" i="29"/>
  <c r="I37" i="29"/>
  <c r="H37" i="29"/>
  <c r="F37" i="29"/>
  <c r="I36" i="29"/>
  <c r="H36" i="29"/>
  <c r="F36" i="29"/>
  <c r="I35" i="29"/>
  <c r="H35" i="29"/>
  <c r="F35" i="29"/>
  <c r="I34" i="29"/>
  <c r="H34" i="29"/>
  <c r="F34" i="29"/>
  <c r="G33" i="29"/>
  <c r="E33" i="29"/>
  <c r="D33" i="29"/>
  <c r="C33" i="29"/>
  <c r="I32" i="29"/>
  <c r="H32" i="29"/>
  <c r="F32" i="29"/>
  <c r="I31" i="29"/>
  <c r="H31" i="29"/>
  <c r="F31" i="29"/>
  <c r="I30" i="29"/>
  <c r="H30" i="29"/>
  <c r="F30" i="29"/>
  <c r="I29" i="29"/>
  <c r="H29" i="29"/>
  <c r="F29" i="29"/>
  <c r="I28" i="29"/>
  <c r="H28" i="29"/>
  <c r="F28" i="29"/>
  <c r="I27" i="29"/>
  <c r="H27" i="29"/>
  <c r="F27" i="29"/>
  <c r="I26" i="29"/>
  <c r="H26" i="29"/>
  <c r="F26" i="29"/>
  <c r="I25" i="29"/>
  <c r="H25" i="29"/>
  <c r="F25" i="29"/>
  <c r="I24" i="29"/>
  <c r="H24" i="29"/>
  <c r="F24" i="29"/>
  <c r="G23" i="29"/>
  <c r="E23" i="29"/>
  <c r="D23" i="29"/>
  <c r="C23" i="29"/>
  <c r="I22" i="29"/>
  <c r="H22" i="29"/>
  <c r="F22" i="29"/>
  <c r="I21" i="29"/>
  <c r="H21" i="29"/>
  <c r="F21" i="29"/>
  <c r="I20" i="29"/>
  <c r="H20" i="29"/>
  <c r="F20" i="29"/>
  <c r="I19" i="29"/>
  <c r="H19" i="29"/>
  <c r="F19" i="29"/>
  <c r="G18" i="29"/>
  <c r="E18" i="29"/>
  <c r="D18" i="29"/>
  <c r="C18" i="29"/>
  <c r="I17" i="29"/>
  <c r="H17" i="29"/>
  <c r="F17" i="29"/>
  <c r="I16" i="29"/>
  <c r="H16" i="29"/>
  <c r="F16" i="29"/>
  <c r="I15" i="29"/>
  <c r="H15" i="29"/>
  <c r="F15" i="29"/>
  <c r="G14" i="29"/>
  <c r="E14" i="29"/>
  <c r="D14" i="29"/>
  <c r="C14" i="29"/>
  <c r="B2" i="29"/>
  <c r="D9" i="28"/>
  <c r="D8" i="28"/>
  <c r="D6" i="28"/>
  <c r="C5" i="28"/>
  <c r="D5" i="28" s="1"/>
  <c r="D4" i="28"/>
  <c r="B34" i="45" s="1"/>
  <c r="D3" i="28"/>
  <c r="B38" i="30" s="1"/>
  <c r="B18" i="26"/>
  <c r="B17" i="26"/>
  <c r="B8" i="26"/>
  <c r="B7" i="26"/>
  <c r="B6" i="26"/>
  <c r="B5" i="26"/>
  <c r="B4" i="26"/>
  <c r="M235" i="25"/>
  <c r="L235" i="25"/>
  <c r="K235" i="25"/>
  <c r="J235" i="25"/>
  <c r="I235" i="25"/>
  <c r="M234" i="25"/>
  <c r="L234" i="25"/>
  <c r="K234" i="25"/>
  <c r="J234" i="25"/>
  <c r="I234" i="25"/>
  <c r="M233" i="25"/>
  <c r="L233" i="25"/>
  <c r="K233" i="25"/>
  <c r="J233" i="25"/>
  <c r="I233" i="25"/>
  <c r="M232" i="25"/>
  <c r="L232" i="25"/>
  <c r="K232" i="25"/>
  <c r="J232" i="25"/>
  <c r="I232" i="25"/>
  <c r="M231" i="25"/>
  <c r="L231" i="25"/>
  <c r="K231" i="25"/>
  <c r="J231" i="25"/>
  <c r="I231" i="25"/>
  <c r="M230" i="25"/>
  <c r="L230" i="25"/>
  <c r="K230" i="25"/>
  <c r="J230" i="25"/>
  <c r="I230" i="25"/>
  <c r="M229" i="25"/>
  <c r="L229" i="25"/>
  <c r="K229" i="25"/>
  <c r="J229" i="25"/>
  <c r="I229" i="25"/>
  <c r="M228" i="25"/>
  <c r="L228" i="25"/>
  <c r="K228" i="25"/>
  <c r="J228" i="25"/>
  <c r="I228" i="25"/>
  <c r="M227" i="25"/>
  <c r="L227" i="25"/>
  <c r="K227" i="25"/>
  <c r="J227" i="25"/>
  <c r="I227" i="25"/>
  <c r="M226" i="25"/>
  <c r="L226" i="25"/>
  <c r="K226" i="25"/>
  <c r="J226" i="25"/>
  <c r="I226" i="25"/>
  <c r="M225" i="25"/>
  <c r="L225" i="25"/>
  <c r="K225" i="25"/>
  <c r="J225" i="25"/>
  <c r="I225" i="25"/>
  <c r="M224" i="25"/>
  <c r="L224" i="25"/>
  <c r="K224" i="25"/>
  <c r="J224" i="25"/>
  <c r="I224" i="25"/>
  <c r="M223" i="25"/>
  <c r="L223" i="25"/>
  <c r="K223" i="25"/>
  <c r="J223" i="25"/>
  <c r="I223" i="25"/>
  <c r="M222" i="25"/>
  <c r="L222" i="25"/>
  <c r="K222" i="25"/>
  <c r="J222" i="25"/>
  <c r="I222" i="25"/>
  <c r="M221" i="25"/>
  <c r="L221" i="25"/>
  <c r="K221" i="25"/>
  <c r="J221" i="25"/>
  <c r="I221" i="25"/>
  <c r="M220" i="25"/>
  <c r="L220" i="25"/>
  <c r="K220" i="25"/>
  <c r="J220" i="25"/>
  <c r="I220" i="25"/>
  <c r="M219" i="25"/>
  <c r="L219" i="25"/>
  <c r="K219" i="25"/>
  <c r="J219" i="25"/>
  <c r="I219" i="25"/>
  <c r="M218" i="25"/>
  <c r="L218" i="25"/>
  <c r="K218" i="25"/>
  <c r="J218" i="25"/>
  <c r="I218" i="25"/>
  <c r="M217" i="25"/>
  <c r="L217" i="25"/>
  <c r="K217" i="25"/>
  <c r="J217" i="25"/>
  <c r="I217" i="25"/>
  <c r="M216" i="25"/>
  <c r="L216" i="25"/>
  <c r="K216" i="25"/>
  <c r="J216" i="25"/>
  <c r="I216" i="25"/>
  <c r="M215" i="25"/>
  <c r="L215" i="25"/>
  <c r="K215" i="25"/>
  <c r="J215" i="25"/>
  <c r="I215" i="25"/>
  <c r="M214" i="25"/>
  <c r="L214" i="25"/>
  <c r="K214" i="25"/>
  <c r="J214" i="25"/>
  <c r="I214" i="25"/>
  <c r="M213" i="25"/>
  <c r="L213" i="25"/>
  <c r="K213" i="25"/>
  <c r="J213" i="25"/>
  <c r="I213" i="25"/>
  <c r="M212" i="25"/>
  <c r="L212" i="25"/>
  <c r="K212" i="25"/>
  <c r="J212" i="25"/>
  <c r="I212" i="25"/>
  <c r="M211" i="25"/>
  <c r="L211" i="25"/>
  <c r="K211" i="25"/>
  <c r="J211" i="25"/>
  <c r="I211" i="25"/>
  <c r="M210" i="25"/>
  <c r="L210" i="25"/>
  <c r="K210" i="25"/>
  <c r="J210" i="25"/>
  <c r="I210" i="25"/>
  <c r="M209" i="25"/>
  <c r="L209" i="25"/>
  <c r="K209" i="25"/>
  <c r="J209" i="25"/>
  <c r="I209" i="25"/>
  <c r="M208" i="25"/>
  <c r="L208" i="25"/>
  <c r="K208" i="25"/>
  <c r="J208" i="25"/>
  <c r="I208" i="25"/>
  <c r="M207" i="25"/>
  <c r="L207" i="25"/>
  <c r="K207" i="25"/>
  <c r="J207" i="25"/>
  <c r="I207" i="25"/>
  <c r="M206" i="25"/>
  <c r="L206" i="25"/>
  <c r="K206" i="25"/>
  <c r="J206" i="25"/>
  <c r="I206" i="25"/>
  <c r="M205" i="25"/>
  <c r="L205" i="25"/>
  <c r="K205" i="25"/>
  <c r="J205" i="25"/>
  <c r="I205" i="25"/>
  <c r="M204" i="25"/>
  <c r="L204" i="25"/>
  <c r="K204" i="25"/>
  <c r="J204" i="25"/>
  <c r="I204" i="25"/>
  <c r="M203" i="25"/>
  <c r="L203" i="25"/>
  <c r="K203" i="25"/>
  <c r="J203" i="25"/>
  <c r="I203" i="25"/>
  <c r="M202" i="25"/>
  <c r="L202" i="25"/>
  <c r="K202" i="25"/>
  <c r="J202" i="25"/>
  <c r="I202" i="25"/>
  <c r="M201" i="25"/>
  <c r="L201" i="25"/>
  <c r="K201" i="25"/>
  <c r="J201" i="25"/>
  <c r="I201" i="25"/>
  <c r="M200" i="25"/>
  <c r="L200" i="25"/>
  <c r="K200" i="25"/>
  <c r="J200" i="25"/>
  <c r="I200" i="25"/>
  <c r="M199" i="25"/>
  <c r="L199" i="25"/>
  <c r="K199" i="25"/>
  <c r="J199" i="25"/>
  <c r="I199" i="25"/>
  <c r="M198" i="25"/>
  <c r="L198" i="25"/>
  <c r="K198" i="25"/>
  <c r="J198" i="25"/>
  <c r="I198" i="25"/>
  <c r="M197" i="25"/>
  <c r="L197" i="25"/>
  <c r="K197" i="25"/>
  <c r="J197" i="25"/>
  <c r="I197" i="25"/>
  <c r="M196" i="25"/>
  <c r="L196" i="25"/>
  <c r="K196" i="25"/>
  <c r="J196" i="25"/>
  <c r="I196" i="25"/>
  <c r="M195" i="25"/>
  <c r="L195" i="25"/>
  <c r="K195" i="25"/>
  <c r="J195" i="25"/>
  <c r="I195" i="25"/>
  <c r="M194" i="25"/>
  <c r="L194" i="25"/>
  <c r="K194" i="25"/>
  <c r="J194" i="25"/>
  <c r="I194" i="25"/>
  <c r="M193" i="25"/>
  <c r="L193" i="25"/>
  <c r="K193" i="25"/>
  <c r="J193" i="25"/>
  <c r="I193" i="25"/>
  <c r="M192" i="25"/>
  <c r="L192" i="25"/>
  <c r="K192" i="25"/>
  <c r="J192" i="25"/>
  <c r="I192" i="25"/>
  <c r="M191" i="25"/>
  <c r="L191" i="25"/>
  <c r="K191" i="25"/>
  <c r="J191" i="25"/>
  <c r="I191" i="25"/>
  <c r="M190" i="25"/>
  <c r="L190" i="25"/>
  <c r="K190" i="25"/>
  <c r="J190" i="25"/>
  <c r="I190" i="25"/>
  <c r="M189" i="25"/>
  <c r="L189" i="25"/>
  <c r="K189" i="25"/>
  <c r="J189" i="25"/>
  <c r="I189" i="25"/>
  <c r="M188" i="25"/>
  <c r="L188" i="25"/>
  <c r="K188" i="25"/>
  <c r="J188" i="25"/>
  <c r="I188" i="25"/>
  <c r="M187" i="25"/>
  <c r="L187" i="25"/>
  <c r="K187" i="25"/>
  <c r="J187" i="25"/>
  <c r="I187" i="25"/>
  <c r="M186" i="25"/>
  <c r="L186" i="25"/>
  <c r="K186" i="25"/>
  <c r="J186" i="25"/>
  <c r="I186" i="25"/>
  <c r="M185" i="25"/>
  <c r="L185" i="25"/>
  <c r="K185" i="25"/>
  <c r="J185" i="25"/>
  <c r="I185" i="25"/>
  <c r="M184" i="25"/>
  <c r="L184" i="25"/>
  <c r="K184" i="25"/>
  <c r="J184" i="25"/>
  <c r="I184" i="25"/>
  <c r="M183" i="25"/>
  <c r="L183" i="25"/>
  <c r="K183" i="25"/>
  <c r="J183" i="25"/>
  <c r="I183" i="25"/>
  <c r="M182" i="25"/>
  <c r="L182" i="25"/>
  <c r="K182" i="25"/>
  <c r="J182" i="25"/>
  <c r="I182" i="25"/>
  <c r="M181" i="25"/>
  <c r="L181" i="25"/>
  <c r="K181" i="25"/>
  <c r="J181" i="25"/>
  <c r="I181" i="25"/>
  <c r="M180" i="25"/>
  <c r="L180" i="25"/>
  <c r="K180" i="25"/>
  <c r="J180" i="25"/>
  <c r="I180" i="25"/>
  <c r="M179" i="25"/>
  <c r="L179" i="25"/>
  <c r="K179" i="25"/>
  <c r="J179" i="25"/>
  <c r="I179" i="25"/>
  <c r="M178" i="25"/>
  <c r="L178" i="25"/>
  <c r="K178" i="25"/>
  <c r="J178" i="25"/>
  <c r="I178" i="25"/>
  <c r="M177" i="25"/>
  <c r="L177" i="25"/>
  <c r="K177" i="25"/>
  <c r="J177" i="25"/>
  <c r="I177" i="25"/>
  <c r="M176" i="25"/>
  <c r="L176" i="25"/>
  <c r="K176" i="25"/>
  <c r="J176" i="25"/>
  <c r="I176" i="25"/>
  <c r="M175" i="25"/>
  <c r="L175" i="25"/>
  <c r="K175" i="25"/>
  <c r="J175" i="25"/>
  <c r="I175" i="25"/>
  <c r="M174" i="25"/>
  <c r="L174" i="25"/>
  <c r="K174" i="25"/>
  <c r="J174" i="25"/>
  <c r="I174" i="25"/>
  <c r="M173" i="25"/>
  <c r="L173" i="25"/>
  <c r="K173" i="25"/>
  <c r="J173" i="25"/>
  <c r="I173" i="25"/>
  <c r="M172" i="25"/>
  <c r="L172" i="25"/>
  <c r="K172" i="25"/>
  <c r="J172" i="25"/>
  <c r="I172" i="25"/>
  <c r="M171" i="25"/>
  <c r="L171" i="25"/>
  <c r="K171" i="25"/>
  <c r="J171" i="25"/>
  <c r="I171" i="25"/>
  <c r="M170" i="25"/>
  <c r="L170" i="25"/>
  <c r="K170" i="25"/>
  <c r="J170" i="25"/>
  <c r="I170" i="25"/>
  <c r="M169" i="25"/>
  <c r="L169" i="25"/>
  <c r="K169" i="25"/>
  <c r="J169" i="25"/>
  <c r="I169" i="25"/>
  <c r="M168" i="25"/>
  <c r="L168" i="25"/>
  <c r="K168" i="25"/>
  <c r="J168" i="25"/>
  <c r="I168" i="25"/>
  <c r="M167" i="25"/>
  <c r="L167" i="25"/>
  <c r="K167" i="25"/>
  <c r="J167" i="25"/>
  <c r="I167" i="25"/>
  <c r="M166" i="25"/>
  <c r="L166" i="25"/>
  <c r="K166" i="25"/>
  <c r="J166" i="25"/>
  <c r="I166" i="25"/>
  <c r="M165" i="25"/>
  <c r="L165" i="25"/>
  <c r="K165" i="25"/>
  <c r="J165" i="25"/>
  <c r="I165" i="25"/>
  <c r="M164" i="25"/>
  <c r="L164" i="25"/>
  <c r="K164" i="25"/>
  <c r="J164" i="25"/>
  <c r="I164" i="25"/>
  <c r="M163" i="25"/>
  <c r="L163" i="25"/>
  <c r="K163" i="25"/>
  <c r="J163" i="25"/>
  <c r="I163" i="25"/>
  <c r="M162" i="25"/>
  <c r="L162" i="25"/>
  <c r="K162" i="25"/>
  <c r="J162" i="25"/>
  <c r="I162" i="25"/>
  <c r="M161" i="25"/>
  <c r="L161" i="25"/>
  <c r="K161" i="25"/>
  <c r="J161" i="25"/>
  <c r="I161" i="25"/>
  <c r="M160" i="25"/>
  <c r="L160" i="25"/>
  <c r="K160" i="25"/>
  <c r="J160" i="25"/>
  <c r="I160" i="25"/>
  <c r="M159" i="25"/>
  <c r="L159" i="25"/>
  <c r="K159" i="25"/>
  <c r="J159" i="25"/>
  <c r="I159" i="25"/>
  <c r="M158" i="25"/>
  <c r="L158" i="25"/>
  <c r="K158" i="25"/>
  <c r="J158" i="25"/>
  <c r="I158" i="25"/>
  <c r="M157" i="25"/>
  <c r="L157" i="25"/>
  <c r="K157" i="25"/>
  <c r="J157" i="25"/>
  <c r="I157" i="25"/>
  <c r="M156" i="25"/>
  <c r="L156" i="25"/>
  <c r="K156" i="25"/>
  <c r="J156" i="25"/>
  <c r="I156" i="25"/>
  <c r="M155" i="25"/>
  <c r="L155" i="25"/>
  <c r="K155" i="25"/>
  <c r="J155" i="25"/>
  <c r="I155" i="25"/>
  <c r="M154" i="25"/>
  <c r="L154" i="25"/>
  <c r="K154" i="25"/>
  <c r="J154" i="25"/>
  <c r="I154" i="25"/>
  <c r="M153" i="25"/>
  <c r="L153" i="25"/>
  <c r="K153" i="25"/>
  <c r="J153" i="25"/>
  <c r="I153" i="25"/>
  <c r="M152" i="25"/>
  <c r="L152" i="25"/>
  <c r="K152" i="25"/>
  <c r="J152" i="25"/>
  <c r="I152" i="25"/>
  <c r="M151" i="25"/>
  <c r="L151" i="25"/>
  <c r="K151" i="25"/>
  <c r="J151" i="25"/>
  <c r="I151" i="25"/>
  <c r="M150" i="25"/>
  <c r="L150" i="25"/>
  <c r="K150" i="25"/>
  <c r="J150" i="25"/>
  <c r="I150" i="25"/>
  <c r="M149" i="25"/>
  <c r="L149" i="25"/>
  <c r="K149" i="25"/>
  <c r="J149" i="25"/>
  <c r="I149" i="25"/>
  <c r="M148" i="25"/>
  <c r="L148" i="25"/>
  <c r="K148" i="25"/>
  <c r="J148" i="25"/>
  <c r="I148" i="25"/>
  <c r="M147" i="25"/>
  <c r="L147" i="25"/>
  <c r="K147" i="25"/>
  <c r="J147" i="25"/>
  <c r="I147" i="25"/>
  <c r="M146" i="25"/>
  <c r="L146" i="25"/>
  <c r="K146" i="25"/>
  <c r="J146" i="25"/>
  <c r="I146" i="25"/>
  <c r="M145" i="25"/>
  <c r="L145" i="25"/>
  <c r="K145" i="25"/>
  <c r="J145" i="25"/>
  <c r="I145" i="25"/>
  <c r="M144" i="25"/>
  <c r="L144" i="25"/>
  <c r="K144" i="25"/>
  <c r="J144" i="25"/>
  <c r="I144" i="25"/>
  <c r="M143" i="25"/>
  <c r="L143" i="25"/>
  <c r="K143" i="25"/>
  <c r="J143" i="25"/>
  <c r="I143" i="25"/>
  <c r="M142" i="25"/>
  <c r="L142" i="25"/>
  <c r="K142" i="25"/>
  <c r="J142" i="25"/>
  <c r="I142" i="25"/>
  <c r="M141" i="25"/>
  <c r="L141" i="25"/>
  <c r="K141" i="25"/>
  <c r="J141" i="25"/>
  <c r="I141" i="25"/>
  <c r="M140" i="25"/>
  <c r="L140" i="25"/>
  <c r="K140" i="25"/>
  <c r="J140" i="25"/>
  <c r="I140" i="25"/>
  <c r="M139" i="25"/>
  <c r="L139" i="25"/>
  <c r="K139" i="25"/>
  <c r="J139" i="25"/>
  <c r="I139" i="25"/>
  <c r="M138" i="25"/>
  <c r="L138" i="25"/>
  <c r="K138" i="25"/>
  <c r="J138" i="25"/>
  <c r="I138" i="25"/>
  <c r="M137" i="25"/>
  <c r="L137" i="25"/>
  <c r="K137" i="25"/>
  <c r="J137" i="25"/>
  <c r="I137" i="25"/>
  <c r="M136" i="25"/>
  <c r="L136" i="25"/>
  <c r="K136" i="25"/>
  <c r="J136" i="25"/>
  <c r="I136" i="25"/>
  <c r="M135" i="25"/>
  <c r="L135" i="25"/>
  <c r="K135" i="25"/>
  <c r="J135" i="25"/>
  <c r="I135" i="25"/>
  <c r="M134" i="25"/>
  <c r="L134" i="25"/>
  <c r="K134" i="25"/>
  <c r="J134" i="25"/>
  <c r="I134" i="25"/>
  <c r="M133" i="25"/>
  <c r="L133" i="25"/>
  <c r="K133" i="25"/>
  <c r="J133" i="25"/>
  <c r="I133" i="25"/>
  <c r="M132" i="25"/>
  <c r="L132" i="25"/>
  <c r="K132" i="25"/>
  <c r="J132" i="25"/>
  <c r="I132" i="25"/>
  <c r="M131" i="25"/>
  <c r="L131" i="25"/>
  <c r="K131" i="25"/>
  <c r="J131" i="25"/>
  <c r="I131" i="25"/>
  <c r="M130" i="25"/>
  <c r="L130" i="25"/>
  <c r="K130" i="25"/>
  <c r="J130" i="25"/>
  <c r="I130" i="25"/>
  <c r="M129" i="25"/>
  <c r="L129" i="25"/>
  <c r="K129" i="25"/>
  <c r="J129" i="25"/>
  <c r="I129" i="25"/>
  <c r="M128" i="25"/>
  <c r="L128" i="25"/>
  <c r="K128" i="25"/>
  <c r="J128" i="25"/>
  <c r="I128" i="25"/>
  <c r="M127" i="25"/>
  <c r="L127" i="25"/>
  <c r="K127" i="25"/>
  <c r="J127" i="25"/>
  <c r="I127" i="25"/>
  <c r="M126" i="25"/>
  <c r="L126" i="25"/>
  <c r="K126" i="25"/>
  <c r="J126" i="25"/>
  <c r="I126" i="25"/>
  <c r="M125" i="25"/>
  <c r="L125" i="25"/>
  <c r="K125" i="25"/>
  <c r="J125" i="25"/>
  <c r="I125" i="25"/>
  <c r="M124" i="25"/>
  <c r="L124" i="25"/>
  <c r="K124" i="25"/>
  <c r="J124" i="25"/>
  <c r="I124" i="25"/>
  <c r="M123" i="25"/>
  <c r="L123" i="25"/>
  <c r="K123" i="25"/>
  <c r="J123" i="25"/>
  <c r="I123" i="25"/>
  <c r="M122" i="25"/>
  <c r="L122" i="25"/>
  <c r="K122" i="25"/>
  <c r="J122" i="25"/>
  <c r="I122" i="25"/>
  <c r="M121" i="25"/>
  <c r="L121" i="25"/>
  <c r="K121" i="25"/>
  <c r="J121" i="25"/>
  <c r="I121" i="25"/>
  <c r="M120" i="25"/>
  <c r="L120" i="25"/>
  <c r="K120" i="25"/>
  <c r="J120" i="25"/>
  <c r="I120" i="25"/>
  <c r="M119" i="25"/>
  <c r="L119" i="25"/>
  <c r="K119" i="25"/>
  <c r="J119" i="25"/>
  <c r="I119" i="25"/>
  <c r="M118" i="25"/>
  <c r="L118" i="25"/>
  <c r="K118" i="25"/>
  <c r="J118" i="25"/>
  <c r="I118" i="25"/>
  <c r="M117" i="25"/>
  <c r="L117" i="25"/>
  <c r="K117" i="25"/>
  <c r="J117" i="25"/>
  <c r="I117" i="25"/>
  <c r="M116" i="25"/>
  <c r="L116" i="25"/>
  <c r="K116" i="25"/>
  <c r="J116" i="25"/>
  <c r="I116" i="25"/>
  <c r="M115" i="25"/>
  <c r="L115" i="25"/>
  <c r="K115" i="25"/>
  <c r="J115" i="25"/>
  <c r="I115" i="25"/>
  <c r="M114" i="25"/>
  <c r="L114" i="25"/>
  <c r="K114" i="25"/>
  <c r="J114" i="25"/>
  <c r="I114" i="25"/>
  <c r="M113" i="25"/>
  <c r="L113" i="25"/>
  <c r="K113" i="25"/>
  <c r="J113" i="25"/>
  <c r="I113" i="25"/>
  <c r="M112" i="25"/>
  <c r="L112" i="25"/>
  <c r="K112" i="25"/>
  <c r="J112" i="25"/>
  <c r="I112" i="25"/>
  <c r="M111" i="25"/>
  <c r="L111" i="25"/>
  <c r="K111" i="25"/>
  <c r="J111" i="25"/>
  <c r="I111" i="25"/>
  <c r="M110" i="25"/>
  <c r="L110" i="25"/>
  <c r="K110" i="25"/>
  <c r="J110" i="25"/>
  <c r="I110" i="25"/>
  <c r="M109" i="25"/>
  <c r="L109" i="25"/>
  <c r="K109" i="25"/>
  <c r="J109" i="25"/>
  <c r="I109" i="25"/>
  <c r="M108" i="25"/>
  <c r="L108" i="25"/>
  <c r="K108" i="25"/>
  <c r="J108" i="25"/>
  <c r="I108" i="25"/>
  <c r="M107" i="25"/>
  <c r="L107" i="25"/>
  <c r="K107" i="25"/>
  <c r="J107" i="25"/>
  <c r="I107" i="25"/>
  <c r="M106" i="25"/>
  <c r="L106" i="25"/>
  <c r="K106" i="25"/>
  <c r="J106" i="25"/>
  <c r="I106" i="25"/>
  <c r="M105" i="25"/>
  <c r="L105" i="25"/>
  <c r="K105" i="25"/>
  <c r="J105" i="25"/>
  <c r="I105" i="25"/>
  <c r="M104" i="25"/>
  <c r="L104" i="25"/>
  <c r="K104" i="25"/>
  <c r="J104" i="25"/>
  <c r="I104" i="25"/>
  <c r="M103" i="25"/>
  <c r="L103" i="25"/>
  <c r="K103" i="25"/>
  <c r="J103" i="25"/>
  <c r="I103" i="25"/>
  <c r="M102" i="25"/>
  <c r="L102" i="25"/>
  <c r="K102" i="25"/>
  <c r="J102" i="25"/>
  <c r="I102" i="25"/>
  <c r="M101" i="25"/>
  <c r="L101" i="25"/>
  <c r="K101" i="25"/>
  <c r="J101" i="25"/>
  <c r="I101" i="25"/>
  <c r="M100" i="25"/>
  <c r="L100" i="25"/>
  <c r="K100" i="25"/>
  <c r="J100" i="25"/>
  <c r="I100" i="25"/>
  <c r="M99" i="25"/>
  <c r="L99" i="25"/>
  <c r="K99" i="25"/>
  <c r="J99" i="25"/>
  <c r="I99" i="25"/>
  <c r="M98" i="25"/>
  <c r="L98" i="25"/>
  <c r="K98" i="25"/>
  <c r="J98" i="25"/>
  <c r="I98" i="25"/>
  <c r="M97" i="25"/>
  <c r="L97" i="25"/>
  <c r="K97" i="25"/>
  <c r="J97" i="25"/>
  <c r="I97" i="25"/>
  <c r="M96" i="25"/>
  <c r="L96" i="25"/>
  <c r="K96" i="25"/>
  <c r="J96" i="25"/>
  <c r="I96" i="25"/>
  <c r="M95" i="25"/>
  <c r="L95" i="25"/>
  <c r="K95" i="25"/>
  <c r="J95" i="25"/>
  <c r="I95" i="25"/>
  <c r="M94" i="25"/>
  <c r="L94" i="25"/>
  <c r="K94" i="25"/>
  <c r="J94" i="25"/>
  <c r="I94" i="25"/>
  <c r="M93" i="25"/>
  <c r="L93" i="25"/>
  <c r="K93" i="25"/>
  <c r="J93" i="25"/>
  <c r="I93" i="25"/>
  <c r="M92" i="25"/>
  <c r="L92" i="25"/>
  <c r="K92" i="25"/>
  <c r="J92" i="25"/>
  <c r="I92" i="25"/>
  <c r="M91" i="25"/>
  <c r="L91" i="25"/>
  <c r="K91" i="25"/>
  <c r="J91" i="25"/>
  <c r="I91" i="25"/>
  <c r="M90" i="25"/>
  <c r="L90" i="25"/>
  <c r="K90" i="25"/>
  <c r="J90" i="25"/>
  <c r="I90" i="25"/>
  <c r="M89" i="25"/>
  <c r="L89" i="25"/>
  <c r="K89" i="25"/>
  <c r="J89" i="25"/>
  <c r="I89" i="25"/>
  <c r="M88" i="25"/>
  <c r="L88" i="25"/>
  <c r="K88" i="25"/>
  <c r="J88" i="25"/>
  <c r="I88" i="25"/>
  <c r="M87" i="25"/>
  <c r="L87" i="25"/>
  <c r="K87" i="25"/>
  <c r="J87" i="25"/>
  <c r="I87" i="25"/>
  <c r="M86" i="25"/>
  <c r="L86" i="25"/>
  <c r="K86" i="25"/>
  <c r="J86" i="25"/>
  <c r="I86" i="25"/>
  <c r="M85" i="25"/>
  <c r="L85" i="25"/>
  <c r="K85" i="25"/>
  <c r="J85" i="25"/>
  <c r="I85" i="25"/>
  <c r="M84" i="25"/>
  <c r="L84" i="25"/>
  <c r="K84" i="25"/>
  <c r="J84" i="25"/>
  <c r="I84" i="25"/>
  <c r="M83" i="25"/>
  <c r="L83" i="25"/>
  <c r="K83" i="25"/>
  <c r="J83" i="25"/>
  <c r="I83" i="25"/>
  <c r="M82" i="25"/>
  <c r="L82" i="25"/>
  <c r="K82" i="25"/>
  <c r="J82" i="25"/>
  <c r="I82" i="25"/>
  <c r="M81" i="25"/>
  <c r="L81" i="25"/>
  <c r="K81" i="25"/>
  <c r="J81" i="25"/>
  <c r="I81" i="25"/>
  <c r="M80" i="25"/>
  <c r="L80" i="25"/>
  <c r="K80" i="25"/>
  <c r="J80" i="25"/>
  <c r="I80" i="25"/>
  <c r="M79" i="25"/>
  <c r="L79" i="25"/>
  <c r="K79" i="25"/>
  <c r="J79" i="25"/>
  <c r="I79" i="25"/>
  <c r="M78" i="25"/>
  <c r="L78" i="25"/>
  <c r="K78" i="25"/>
  <c r="J78" i="25"/>
  <c r="I78" i="25"/>
  <c r="M77" i="25"/>
  <c r="L77" i="25"/>
  <c r="K77" i="25"/>
  <c r="J77" i="25"/>
  <c r="I77" i="25"/>
  <c r="M76" i="25"/>
  <c r="L76" i="25"/>
  <c r="K76" i="25"/>
  <c r="J76" i="25"/>
  <c r="I76" i="25"/>
  <c r="M75" i="25"/>
  <c r="L75" i="25"/>
  <c r="K75" i="25"/>
  <c r="J75" i="25"/>
  <c r="I75" i="25"/>
  <c r="M74" i="25"/>
  <c r="L74" i="25"/>
  <c r="K74" i="25"/>
  <c r="J74" i="25"/>
  <c r="I74" i="25"/>
  <c r="M73" i="25"/>
  <c r="L73" i="25"/>
  <c r="K73" i="25"/>
  <c r="J73" i="25"/>
  <c r="I73" i="25"/>
  <c r="M72" i="25"/>
  <c r="L72" i="25"/>
  <c r="K72" i="25"/>
  <c r="J72" i="25"/>
  <c r="I72" i="25"/>
  <c r="M71" i="25"/>
  <c r="L71" i="25"/>
  <c r="K71" i="25"/>
  <c r="J71" i="25"/>
  <c r="I71" i="25"/>
  <c r="M70" i="25"/>
  <c r="L70" i="25"/>
  <c r="K70" i="25"/>
  <c r="J70" i="25"/>
  <c r="I70" i="25"/>
  <c r="M69" i="25"/>
  <c r="L69" i="25"/>
  <c r="K69" i="25"/>
  <c r="J69" i="25"/>
  <c r="I69" i="25"/>
  <c r="M68" i="25"/>
  <c r="L68" i="25"/>
  <c r="K68" i="25"/>
  <c r="J68" i="25"/>
  <c r="I68" i="25"/>
  <c r="M67" i="25"/>
  <c r="L67" i="25"/>
  <c r="K67" i="25"/>
  <c r="J67" i="25"/>
  <c r="I67" i="25"/>
  <c r="M66" i="25"/>
  <c r="L66" i="25"/>
  <c r="K66" i="25"/>
  <c r="J66" i="25"/>
  <c r="I66" i="25"/>
  <c r="M65" i="25"/>
  <c r="L65" i="25"/>
  <c r="K65" i="25"/>
  <c r="J65" i="25"/>
  <c r="I65" i="25"/>
  <c r="M64" i="25"/>
  <c r="L64" i="25"/>
  <c r="K64" i="25"/>
  <c r="J64" i="25"/>
  <c r="I64" i="25"/>
  <c r="M63" i="25"/>
  <c r="L63" i="25"/>
  <c r="K63" i="25"/>
  <c r="J63" i="25"/>
  <c r="I63" i="25"/>
  <c r="M62" i="25"/>
  <c r="L62" i="25"/>
  <c r="K62" i="25"/>
  <c r="J62" i="25"/>
  <c r="I62" i="25"/>
  <c r="M61" i="25"/>
  <c r="L61" i="25"/>
  <c r="K61" i="25"/>
  <c r="J61" i="25"/>
  <c r="I61" i="25"/>
  <c r="M60" i="25"/>
  <c r="L60" i="25"/>
  <c r="K60" i="25"/>
  <c r="J60" i="25"/>
  <c r="I60" i="25"/>
  <c r="M59" i="25"/>
  <c r="L59" i="25"/>
  <c r="K59" i="25"/>
  <c r="J59" i="25"/>
  <c r="I59" i="25"/>
  <c r="M58" i="25"/>
  <c r="L58" i="25"/>
  <c r="K58" i="25"/>
  <c r="J58" i="25"/>
  <c r="I58" i="25"/>
  <c r="M57" i="25"/>
  <c r="L57" i="25"/>
  <c r="K57" i="25"/>
  <c r="J57" i="25"/>
  <c r="I57" i="25"/>
  <c r="M56" i="25"/>
  <c r="L56" i="25"/>
  <c r="K56" i="25"/>
  <c r="J56" i="25"/>
  <c r="I56" i="25"/>
  <c r="M55" i="25"/>
  <c r="L55" i="25"/>
  <c r="K55" i="25"/>
  <c r="J55" i="25"/>
  <c r="I55" i="25"/>
  <c r="M54" i="25"/>
  <c r="L54" i="25"/>
  <c r="K54" i="25"/>
  <c r="J54" i="25"/>
  <c r="I54" i="25"/>
  <c r="M53" i="25"/>
  <c r="L53" i="25"/>
  <c r="K53" i="25"/>
  <c r="J53" i="25"/>
  <c r="I53" i="25"/>
  <c r="M52" i="25"/>
  <c r="L52" i="25"/>
  <c r="K52" i="25"/>
  <c r="J52" i="25"/>
  <c r="I52" i="25"/>
  <c r="M51" i="25"/>
  <c r="L51" i="25"/>
  <c r="K51" i="25"/>
  <c r="J51" i="25"/>
  <c r="I51" i="25"/>
  <c r="M50" i="25"/>
  <c r="L50" i="25"/>
  <c r="K50" i="25"/>
  <c r="J50" i="25"/>
  <c r="I50" i="25"/>
  <c r="M49" i="25"/>
  <c r="L49" i="25"/>
  <c r="K49" i="25"/>
  <c r="J49" i="25"/>
  <c r="I49" i="25"/>
  <c r="M48" i="25"/>
  <c r="L48" i="25"/>
  <c r="K48" i="25"/>
  <c r="J48" i="25"/>
  <c r="I48" i="25"/>
  <c r="M47" i="25"/>
  <c r="L47" i="25"/>
  <c r="K47" i="25"/>
  <c r="J47" i="25"/>
  <c r="I47" i="25"/>
  <c r="M46" i="25"/>
  <c r="L46" i="25"/>
  <c r="K46" i="25"/>
  <c r="J46" i="25"/>
  <c r="I46" i="25"/>
  <c r="M45" i="25"/>
  <c r="L45" i="25"/>
  <c r="K45" i="25"/>
  <c r="J45" i="25"/>
  <c r="I45" i="25"/>
  <c r="M44" i="25"/>
  <c r="L44" i="25"/>
  <c r="K44" i="25"/>
  <c r="J44" i="25"/>
  <c r="I44" i="25"/>
  <c r="M43" i="25"/>
  <c r="L43" i="25"/>
  <c r="K43" i="25"/>
  <c r="J43" i="25"/>
  <c r="I43" i="25"/>
  <c r="M42" i="25"/>
  <c r="L42" i="25"/>
  <c r="K42" i="25"/>
  <c r="J42" i="25"/>
  <c r="I42" i="25"/>
  <c r="M41" i="25"/>
  <c r="L41" i="25"/>
  <c r="K41" i="25"/>
  <c r="J41" i="25"/>
  <c r="I41" i="25"/>
  <c r="M40" i="25"/>
  <c r="L40" i="25"/>
  <c r="K40" i="25"/>
  <c r="J40" i="25"/>
  <c r="I40" i="25"/>
  <c r="M39" i="25"/>
  <c r="L39" i="25"/>
  <c r="K39" i="25"/>
  <c r="J39" i="25"/>
  <c r="I39" i="25"/>
  <c r="M38" i="25"/>
  <c r="L38" i="25"/>
  <c r="K38" i="25"/>
  <c r="J38" i="25"/>
  <c r="I38" i="25"/>
  <c r="M37" i="25"/>
  <c r="L37" i="25"/>
  <c r="K37" i="25"/>
  <c r="J37" i="25"/>
  <c r="I37" i="25"/>
  <c r="M36" i="25"/>
  <c r="L36" i="25"/>
  <c r="K36" i="25"/>
  <c r="J36" i="25"/>
  <c r="I36" i="25"/>
  <c r="M35" i="25"/>
  <c r="L35" i="25"/>
  <c r="K35" i="25"/>
  <c r="J35" i="25"/>
  <c r="I35" i="25"/>
  <c r="M34" i="25"/>
  <c r="L34" i="25"/>
  <c r="K34" i="25"/>
  <c r="J34" i="25"/>
  <c r="I34" i="25"/>
  <c r="M33" i="25"/>
  <c r="L33" i="25"/>
  <c r="K33" i="25"/>
  <c r="J33" i="25"/>
  <c r="I33" i="25"/>
  <c r="M32" i="25"/>
  <c r="L32" i="25"/>
  <c r="K32" i="25"/>
  <c r="J32" i="25"/>
  <c r="I32" i="25"/>
  <c r="M31" i="25"/>
  <c r="L31" i="25"/>
  <c r="K31" i="25"/>
  <c r="J31" i="25"/>
  <c r="I31" i="25"/>
  <c r="M30" i="25"/>
  <c r="L30" i="25"/>
  <c r="K30" i="25"/>
  <c r="J30" i="25"/>
  <c r="I30" i="25"/>
  <c r="M29" i="25"/>
  <c r="L29" i="25"/>
  <c r="K29" i="25"/>
  <c r="J29" i="25"/>
  <c r="I29" i="25"/>
  <c r="M28" i="25"/>
  <c r="L28" i="25"/>
  <c r="K28" i="25"/>
  <c r="J28" i="25"/>
  <c r="I28" i="25"/>
  <c r="M27" i="25"/>
  <c r="L27" i="25"/>
  <c r="K27" i="25"/>
  <c r="J27" i="25"/>
  <c r="I27" i="25"/>
  <c r="M26" i="25"/>
  <c r="L26" i="25"/>
  <c r="K26" i="25"/>
  <c r="J26" i="25"/>
  <c r="I26" i="25"/>
  <c r="M25" i="25"/>
  <c r="L25" i="25"/>
  <c r="K25" i="25"/>
  <c r="J25" i="25"/>
  <c r="I25" i="25"/>
  <c r="M24" i="25"/>
  <c r="L24" i="25"/>
  <c r="K24" i="25"/>
  <c r="J24" i="25"/>
  <c r="I24" i="25"/>
  <c r="M23" i="25"/>
  <c r="L23" i="25"/>
  <c r="K23" i="25"/>
  <c r="J23" i="25"/>
  <c r="I23" i="25"/>
  <c r="M22" i="25"/>
  <c r="L22" i="25"/>
  <c r="K22" i="25"/>
  <c r="J22" i="25"/>
  <c r="I22" i="25"/>
  <c r="M21" i="25"/>
  <c r="L21" i="25"/>
  <c r="K21" i="25"/>
  <c r="J21" i="25"/>
  <c r="I21" i="25"/>
  <c r="M20" i="25"/>
  <c r="L20" i="25"/>
  <c r="K20" i="25"/>
  <c r="J20" i="25"/>
  <c r="I20" i="25"/>
  <c r="M19" i="25"/>
  <c r="L19" i="25"/>
  <c r="K19" i="25"/>
  <c r="J19" i="25"/>
  <c r="I19" i="25"/>
  <c r="M18" i="25"/>
  <c r="L18" i="25"/>
  <c r="K18" i="25"/>
  <c r="J18" i="25"/>
  <c r="I18" i="25"/>
  <c r="M17" i="25"/>
  <c r="L17" i="25"/>
  <c r="K17" i="25"/>
  <c r="J17" i="25"/>
  <c r="I17" i="25"/>
  <c r="M16" i="25"/>
  <c r="L16" i="25"/>
  <c r="K16" i="25"/>
  <c r="J16" i="25"/>
  <c r="I16" i="25"/>
  <c r="M15" i="25"/>
  <c r="L15" i="25"/>
  <c r="K15" i="25"/>
  <c r="J15" i="25"/>
  <c r="I15" i="25"/>
  <c r="M14" i="25"/>
  <c r="L14" i="25"/>
  <c r="K14" i="25"/>
  <c r="J14" i="25"/>
  <c r="I14" i="25"/>
  <c r="M13" i="25"/>
  <c r="L13" i="25"/>
  <c r="K13" i="25"/>
  <c r="J13" i="25"/>
  <c r="I13" i="25"/>
  <c r="M12" i="25"/>
  <c r="L12" i="25"/>
  <c r="K12" i="25"/>
  <c r="J12" i="25"/>
  <c r="I12" i="25"/>
  <c r="M11" i="25"/>
  <c r="L11" i="25"/>
  <c r="K11" i="25"/>
  <c r="J11" i="25"/>
  <c r="I11" i="25"/>
  <c r="M10" i="25"/>
  <c r="L10" i="25"/>
  <c r="K10" i="25"/>
  <c r="J10" i="25"/>
  <c r="I10" i="25"/>
  <c r="M9" i="25"/>
  <c r="L9" i="25"/>
  <c r="K9" i="25"/>
  <c r="J9" i="25"/>
  <c r="I9" i="25"/>
  <c r="M8" i="25"/>
  <c r="L8" i="25"/>
  <c r="K8" i="25"/>
  <c r="J8" i="25"/>
  <c r="I8" i="25"/>
  <c r="M7" i="25"/>
  <c r="L7" i="25"/>
  <c r="K7" i="25"/>
  <c r="J7" i="25"/>
  <c r="I7" i="25"/>
  <c r="M6" i="25"/>
  <c r="L6" i="25"/>
  <c r="K6" i="25"/>
  <c r="J6" i="25"/>
  <c r="I6" i="25"/>
  <c r="M5" i="25"/>
  <c r="L5" i="25"/>
  <c r="K5" i="25"/>
  <c r="J5" i="25"/>
  <c r="I5" i="25"/>
  <c r="M4" i="25"/>
  <c r="L4" i="25"/>
  <c r="K4" i="25"/>
  <c r="J4" i="25"/>
  <c r="I4" i="25"/>
  <c r="M3" i="25"/>
  <c r="L3" i="25"/>
  <c r="K3" i="25"/>
  <c r="J3" i="25"/>
  <c r="I3" i="25"/>
  <c r="M2" i="25"/>
  <c r="L2" i="25"/>
  <c r="K2" i="25"/>
  <c r="J2" i="25"/>
  <c r="I2" i="25"/>
  <c r="C13" i="22"/>
  <c r="C12" i="22"/>
  <c r="C11" i="22"/>
  <c r="C10" i="22"/>
  <c r="C9" i="22"/>
  <c r="C8" i="22"/>
  <c r="C3" i="22"/>
  <c r="C4" i="22" s="1"/>
  <c r="C6" i="22" s="1"/>
  <c r="L27" i="34" l="1"/>
  <c r="H87" i="34"/>
  <c r="L52" i="34"/>
  <c r="H109" i="34"/>
  <c r="L147" i="34"/>
  <c r="L40" i="34"/>
  <c r="H168" i="34"/>
  <c r="L22" i="34"/>
  <c r="L87" i="34"/>
  <c r="L160" i="34"/>
  <c r="L203" i="34"/>
  <c r="L71" i="34"/>
  <c r="H103" i="34"/>
  <c r="H139" i="34"/>
  <c r="H125" i="34"/>
  <c r="L46" i="34"/>
  <c r="L57" i="34"/>
  <c r="L98" i="34"/>
  <c r="L64" i="34"/>
  <c r="H80" i="34"/>
  <c r="L173" i="34"/>
  <c r="H17" i="34"/>
  <c r="H57" i="34"/>
  <c r="H188" i="34"/>
  <c r="L17" i="34"/>
  <c r="H98" i="34"/>
  <c r="H115" i="34"/>
  <c r="H180" i="34"/>
  <c r="H147" i="34"/>
  <c r="H173" i="34"/>
  <c r="H203" i="34"/>
  <c r="L125" i="34"/>
  <c r="H27" i="34"/>
  <c r="H120" i="34"/>
  <c r="H133" i="34"/>
  <c r="H152" i="34"/>
  <c r="H194" i="34"/>
  <c r="H71" i="34"/>
  <c r="H22" i="34"/>
  <c r="H40" i="34"/>
  <c r="H46" i="34"/>
  <c r="H52" i="34"/>
  <c r="G57" i="34"/>
  <c r="H64" i="34"/>
  <c r="L80" i="34"/>
  <c r="G87" i="34"/>
  <c r="G147" i="34"/>
  <c r="L152" i="34"/>
  <c r="H160" i="34"/>
  <c r="L188" i="34"/>
  <c r="L194" i="34"/>
  <c r="L103" i="34"/>
  <c r="L109" i="34"/>
  <c r="L115" i="34"/>
  <c r="L133" i="34"/>
  <c r="L139" i="34"/>
  <c r="L120" i="34"/>
  <c r="L168" i="34"/>
  <c r="L180" i="34"/>
  <c r="E113" i="44"/>
  <c r="D113" i="44"/>
  <c r="F110" i="44"/>
  <c r="F125" i="44"/>
  <c r="F12" i="34"/>
  <c r="E12" i="34"/>
  <c r="C12" i="34"/>
  <c r="I12" i="34"/>
  <c r="D12" i="34"/>
  <c r="J12" i="34"/>
  <c r="J116" i="44"/>
  <c r="E116" i="44"/>
  <c r="E119" i="44"/>
  <c r="J125" i="44"/>
  <c r="H116" i="44"/>
  <c r="D119" i="44"/>
  <c r="D125" i="44"/>
  <c r="E110" i="44"/>
  <c r="F116" i="44"/>
  <c r="C17" i="61"/>
  <c r="D18" i="61"/>
  <c r="F119" i="44"/>
  <c r="P25" i="60"/>
  <c r="E24" i="61"/>
  <c r="F25" i="61"/>
  <c r="J26" i="61"/>
  <c r="G28" i="61"/>
  <c r="J21" i="61"/>
  <c r="E125" i="44"/>
  <c r="H151" i="33"/>
  <c r="C66" i="37"/>
  <c r="E26" i="61"/>
  <c r="L75" i="33"/>
  <c r="E21" i="61"/>
  <c r="F22" i="61"/>
  <c r="E38" i="54"/>
  <c r="E38" i="61" s="1"/>
  <c r="G127" i="44"/>
  <c r="I126" i="44"/>
  <c r="E32" i="44"/>
  <c r="E32" i="51"/>
  <c r="E31" i="51" s="1"/>
  <c r="C22" i="52"/>
  <c r="N18" i="39"/>
  <c r="K31" i="61"/>
  <c r="C33" i="61"/>
  <c r="E35" i="61"/>
  <c r="F36" i="61"/>
  <c r="G37" i="61"/>
  <c r="L202" i="33"/>
  <c r="H93" i="33"/>
  <c r="I14" i="38"/>
  <c r="F21" i="43"/>
  <c r="F25" i="50"/>
  <c r="H134" i="33"/>
  <c r="H184" i="33"/>
  <c r="H69" i="37"/>
  <c r="H77" i="37" s="1"/>
  <c r="J14" i="39"/>
  <c r="J19" i="38" s="1"/>
  <c r="L128" i="33"/>
  <c r="L171" i="33"/>
  <c r="L176" i="33"/>
  <c r="J14" i="38"/>
  <c r="C24" i="30"/>
  <c r="L68" i="33"/>
  <c r="H76" i="33"/>
  <c r="L158" i="33"/>
  <c r="P20" i="60"/>
  <c r="G189" i="40"/>
  <c r="C42" i="52"/>
  <c r="D24" i="61"/>
  <c r="E25" i="61"/>
  <c r="F26" i="61"/>
  <c r="C77" i="29"/>
  <c r="F20" i="61"/>
  <c r="F30" i="61"/>
  <c r="H14" i="29"/>
  <c r="H70" i="29"/>
  <c r="C48" i="36"/>
  <c r="H14" i="39"/>
  <c r="H19" i="38" s="1"/>
  <c r="E18" i="41"/>
  <c r="E21" i="43"/>
  <c r="C18" i="61"/>
  <c r="D32" i="61"/>
  <c r="E33" i="61"/>
  <c r="F34" i="61"/>
  <c r="J35" i="61"/>
  <c r="C37" i="61"/>
  <c r="H14" i="38"/>
  <c r="E42" i="52"/>
  <c r="F113" i="44"/>
  <c r="L49" i="33"/>
  <c r="L67" i="33"/>
  <c r="I114" i="44"/>
  <c r="I115" i="44"/>
  <c r="E12" i="30"/>
  <c r="H70" i="33"/>
  <c r="C14" i="38"/>
  <c r="E77" i="29"/>
  <c r="H24" i="30"/>
  <c r="I13" i="31"/>
  <c r="H32" i="31"/>
  <c r="N18" i="38"/>
  <c r="I24" i="30"/>
  <c r="K12" i="32"/>
  <c r="K22" i="30" s="1"/>
  <c r="L45" i="33"/>
  <c r="I13" i="37"/>
  <c r="I35" i="37" s="1"/>
  <c r="G66" i="37"/>
  <c r="D17" i="49"/>
  <c r="D16" i="49" s="1"/>
  <c r="C16" i="50"/>
  <c r="C30" i="50" s="1"/>
  <c r="D16" i="61"/>
  <c r="H66" i="37"/>
  <c r="E18" i="61"/>
  <c r="F24" i="30"/>
  <c r="I17" i="31"/>
  <c r="I12" i="32"/>
  <c r="I22" i="30" s="1"/>
  <c r="H26" i="33"/>
  <c r="L157" i="33"/>
  <c r="D48" i="36"/>
  <c r="F36" i="47" s="1"/>
  <c r="H13" i="37"/>
  <c r="H35" i="37" s="1"/>
  <c r="F18" i="61"/>
  <c r="F24" i="61"/>
  <c r="J25" i="61"/>
  <c r="C27" i="61"/>
  <c r="H28" i="61"/>
  <c r="C16" i="54"/>
  <c r="H124" i="33"/>
  <c r="K24" i="30"/>
  <c r="L16" i="33"/>
  <c r="L26" i="33"/>
  <c r="L34" i="33"/>
  <c r="L44" i="33"/>
  <c r="L146" i="33"/>
  <c r="L183" i="33"/>
  <c r="H193" i="33"/>
  <c r="L197" i="33"/>
  <c r="L102" i="44"/>
  <c r="C21" i="61"/>
  <c r="H23" i="61"/>
  <c r="J24" i="61"/>
  <c r="F18" i="29"/>
  <c r="D17" i="61"/>
  <c r="E23" i="54"/>
  <c r="E23" i="61" s="1"/>
  <c r="I62" i="29"/>
  <c r="K12" i="30"/>
  <c r="G17" i="30"/>
  <c r="F22" i="31"/>
  <c r="G13" i="32"/>
  <c r="L15" i="33"/>
  <c r="H39" i="33"/>
  <c r="H145" i="33"/>
  <c r="H163" i="33"/>
  <c r="H178" i="33"/>
  <c r="D29" i="44"/>
  <c r="E44" i="44"/>
  <c r="E17" i="41"/>
  <c r="I13" i="43"/>
  <c r="L101" i="44"/>
  <c r="H54" i="29"/>
  <c r="L61" i="33"/>
  <c r="L135" i="33"/>
  <c r="F69" i="37"/>
  <c r="F77" i="37" s="1"/>
  <c r="C69" i="37"/>
  <c r="C77" i="37" s="1"/>
  <c r="I69" i="37"/>
  <c r="I77" i="37" s="1"/>
  <c r="D35" i="44"/>
  <c r="D138" i="44" s="1"/>
  <c r="E78" i="44"/>
  <c r="H78" i="44" s="1"/>
  <c r="E79" i="44"/>
  <c r="H79" i="44" s="1"/>
  <c r="G124" i="44"/>
  <c r="K127" i="44"/>
  <c r="C14" i="51"/>
  <c r="C12" i="51" s="1"/>
  <c r="D22" i="52"/>
  <c r="C26" i="56" s="1"/>
  <c r="K20" i="61"/>
  <c r="C22" i="61"/>
  <c r="G23" i="61"/>
  <c r="F29" i="61"/>
  <c r="J30" i="61"/>
  <c r="D33" i="61"/>
  <c r="F35" i="61"/>
  <c r="J36" i="61"/>
  <c r="J37" i="61"/>
  <c r="P16" i="57"/>
  <c r="P30" i="57" s="1"/>
  <c r="I33" i="29"/>
  <c r="E12" i="32"/>
  <c r="E22" i="30" s="1"/>
  <c r="H15" i="33"/>
  <c r="L20" i="33"/>
  <c r="L38" i="33"/>
  <c r="L86" i="33"/>
  <c r="L94" i="33"/>
  <c r="L173" i="33"/>
  <c r="D189" i="40"/>
  <c r="E31" i="61"/>
  <c r="F14" i="29"/>
  <c r="I18" i="29"/>
  <c r="I56" i="31"/>
  <c r="L37" i="33"/>
  <c r="L50" i="33"/>
  <c r="L85" i="33"/>
  <c r="L93" i="33"/>
  <c r="L110" i="33"/>
  <c r="C115" i="37"/>
  <c r="C61" i="47"/>
  <c r="D17" i="50"/>
  <c r="D16" i="50" s="1"/>
  <c r="F33" i="61"/>
  <c r="J34" i="61"/>
  <c r="D37" i="61"/>
  <c r="H12" i="30"/>
  <c r="F46" i="31"/>
  <c r="L82" i="33"/>
  <c r="L116" i="33"/>
  <c r="H129" i="33"/>
  <c r="L142" i="33"/>
  <c r="L172" i="33"/>
  <c r="L175" i="33"/>
  <c r="L200" i="33"/>
  <c r="E16" i="49"/>
  <c r="E30" i="49" s="1"/>
  <c r="K38" i="61"/>
  <c r="I47" i="29"/>
  <c r="F54" i="29"/>
  <c r="C12" i="32"/>
  <c r="C22" i="30" s="1"/>
  <c r="H139" i="33"/>
  <c r="H171" i="33"/>
  <c r="D14" i="39"/>
  <c r="D19" i="38" s="1"/>
  <c r="F189" i="40"/>
  <c r="E80" i="44"/>
  <c r="H80" i="44" s="1"/>
  <c r="F23" i="29"/>
  <c r="L21" i="44"/>
  <c r="L23" i="44"/>
  <c r="C26" i="61"/>
  <c r="I26" i="54"/>
  <c r="L26" i="54" s="1"/>
  <c r="H121" i="33"/>
  <c r="L122" i="33"/>
  <c r="H38" i="33"/>
  <c r="E69" i="37"/>
  <c r="E77" i="37" s="1"/>
  <c r="I23" i="29"/>
  <c r="I12" i="30"/>
  <c r="C52" i="31"/>
  <c r="L25" i="33"/>
  <c r="L39" i="33"/>
  <c r="H44" i="33"/>
  <c r="H45" i="33"/>
  <c r="H63" i="33"/>
  <c r="L120" i="33"/>
  <c r="H181" i="33"/>
  <c r="L182" i="33"/>
  <c r="L198" i="33"/>
  <c r="H198" i="33"/>
  <c r="E110" i="36"/>
  <c r="F66" i="37"/>
  <c r="G69" i="37"/>
  <c r="G77" i="37" s="1"/>
  <c r="F14" i="39"/>
  <c r="F19" i="38" s="1"/>
  <c r="G91" i="40"/>
  <c r="D21" i="61"/>
  <c r="E22" i="61"/>
  <c r="K19" i="58"/>
  <c r="K42" i="58" s="1"/>
  <c r="H18" i="29"/>
  <c r="F62" i="29"/>
  <c r="I70" i="29"/>
  <c r="F56" i="31"/>
  <c r="L33" i="33"/>
  <c r="H109" i="33"/>
  <c r="L104" i="33"/>
  <c r="L112" i="33"/>
  <c r="H112" i="33"/>
  <c r="L129" i="33"/>
  <c r="L141" i="33"/>
  <c r="C84" i="36"/>
  <c r="C86" i="36" s="1"/>
  <c r="C110" i="36"/>
  <c r="F61" i="31"/>
  <c r="F69" i="31"/>
  <c r="L19" i="33"/>
  <c r="L14" i="39"/>
  <c r="L19" i="38" s="1"/>
  <c r="E24" i="30"/>
  <c r="F53" i="31"/>
  <c r="H19" i="33"/>
  <c r="L21" i="33"/>
  <c r="L32" i="33"/>
  <c r="H34" i="33"/>
  <c r="L51" i="33"/>
  <c r="H67" i="33"/>
  <c r="L69" i="33"/>
  <c r="L74" i="33"/>
  <c r="L103" i="33"/>
  <c r="L127" i="33"/>
  <c r="H135" i="33"/>
  <c r="H202" i="33"/>
  <c r="D84" i="36"/>
  <c r="D86" i="36" s="1"/>
  <c r="H92" i="40"/>
  <c r="E81" i="44"/>
  <c r="H81" i="44" s="1"/>
  <c r="L130" i="33"/>
  <c r="H130" i="33"/>
  <c r="H110" i="33"/>
  <c r="H190" i="33"/>
  <c r="H39" i="29"/>
  <c r="I54" i="29"/>
  <c r="F70" i="29"/>
  <c r="E12" i="31"/>
  <c r="F32" i="31"/>
  <c r="H53" i="31"/>
  <c r="L17" i="33"/>
  <c r="H31" i="33"/>
  <c r="H33" i="33"/>
  <c r="H55" i="33"/>
  <c r="L62" i="33"/>
  <c r="L63" i="33"/>
  <c r="H80" i="33"/>
  <c r="L73" i="33"/>
  <c r="L92" i="33"/>
  <c r="L123" i="33"/>
  <c r="L159" i="33"/>
  <c r="L165" i="33"/>
  <c r="L194" i="33"/>
  <c r="H201" i="33"/>
  <c r="L204" i="33"/>
  <c r="E14" i="38"/>
  <c r="G101" i="40"/>
  <c r="D31" i="46" s="1"/>
  <c r="G102" i="40"/>
  <c r="D32" i="46" s="1"/>
  <c r="G103" i="40"/>
  <c r="D69" i="47" s="1"/>
  <c r="H163" i="40"/>
  <c r="E29" i="44"/>
  <c r="D32" i="44"/>
  <c r="H19" i="54"/>
  <c r="H42" i="54" s="1"/>
  <c r="E29" i="61"/>
  <c r="E28" i="54"/>
  <c r="C39" i="61"/>
  <c r="C38" i="54"/>
  <c r="C38" i="61" s="1"/>
  <c r="N17" i="57"/>
  <c r="F20" i="50"/>
  <c r="G20" i="61"/>
  <c r="H19" i="58"/>
  <c r="H42" i="58" s="1"/>
  <c r="I94" i="44"/>
  <c r="L93" i="44"/>
  <c r="K112" i="44"/>
  <c r="I121" i="44"/>
  <c r="F27" i="61"/>
  <c r="K28" i="61"/>
  <c r="C30" i="61"/>
  <c r="G31" i="61"/>
  <c r="L56" i="33"/>
  <c r="H62" i="33"/>
  <c r="H79" i="33"/>
  <c r="H86" i="33"/>
  <c r="L91" i="33"/>
  <c r="H92" i="33"/>
  <c r="H97" i="33"/>
  <c r="H111" i="33"/>
  <c r="H128" i="33"/>
  <c r="H147" i="33"/>
  <c r="L164" i="33"/>
  <c r="H175" i="33"/>
  <c r="L177" i="33"/>
  <c r="H187" i="33"/>
  <c r="I66" i="37"/>
  <c r="D14" i="38"/>
  <c r="H145" i="40"/>
  <c r="G163" i="40"/>
  <c r="L15" i="44"/>
  <c r="L20" i="44"/>
  <c r="J94" i="44"/>
  <c r="L103" i="44"/>
  <c r="G112" i="44"/>
  <c r="K124" i="44"/>
  <c r="C25" i="52"/>
  <c r="C27" i="52" s="1"/>
  <c r="C28" i="52" s="1"/>
  <c r="D42" i="52"/>
  <c r="F17" i="61"/>
  <c r="J18" i="61"/>
  <c r="J27" i="61"/>
  <c r="D30" i="61"/>
  <c r="H31" i="61"/>
  <c r="F32" i="61"/>
  <c r="J33" i="61"/>
  <c r="C35" i="61"/>
  <c r="D36" i="61"/>
  <c r="E37" i="61"/>
  <c r="I37" i="58"/>
  <c r="L37" i="58" s="1"/>
  <c r="F15" i="42"/>
  <c r="F16" i="42" s="1"/>
  <c r="F17" i="42" s="1"/>
  <c r="F18" i="42" s="1"/>
  <c r="F19" i="42" s="1"/>
  <c r="F20" i="42" s="1"/>
  <c r="F21" i="42" s="1"/>
  <c r="F22" i="42" s="1"/>
  <c r="F23" i="42" s="1"/>
  <c r="F24" i="42" s="1"/>
  <c r="F25" i="42" s="1"/>
  <c r="F26" i="42" s="1"/>
  <c r="F27" i="42" s="1"/>
  <c r="F28" i="42" s="1"/>
  <c r="F29" i="42" s="1"/>
  <c r="F30" i="42" s="1"/>
  <c r="F31" i="42" s="1"/>
  <c r="F32" i="42" s="1"/>
  <c r="F33" i="42" s="1"/>
  <c r="F34" i="42" s="1"/>
  <c r="F35" i="42" s="1"/>
  <c r="F36" i="42" s="1"/>
  <c r="F37" i="42" s="1"/>
  <c r="F38" i="42" s="1"/>
  <c r="F39" i="42" s="1"/>
  <c r="F40" i="42" s="1"/>
  <c r="F41" i="42" s="1"/>
  <c r="F42" i="42" s="1"/>
  <c r="F43" i="42" s="1"/>
  <c r="F44" i="42" s="1"/>
  <c r="F45" i="42" s="1"/>
  <c r="F46" i="42" s="1"/>
  <c r="F47" i="42" s="1"/>
  <c r="F48" i="42" s="1"/>
  <c r="F49" i="42" s="1"/>
  <c r="F50" i="42" s="1"/>
  <c r="F51" i="42" s="1"/>
  <c r="F52" i="42" s="1"/>
  <c r="F53" i="42" s="1"/>
  <c r="F54" i="42" s="1"/>
  <c r="F55" i="42" s="1"/>
  <c r="F56" i="42" s="1"/>
  <c r="F57" i="42" s="1"/>
  <c r="F58" i="42" s="1"/>
  <c r="F59" i="42" s="1"/>
  <c r="F60" i="42" s="1"/>
  <c r="F61" i="42" s="1"/>
  <c r="F62" i="42" s="1"/>
  <c r="F63" i="42" s="1"/>
  <c r="F64" i="42" s="1"/>
  <c r="F65" i="42" s="1"/>
  <c r="F66" i="42" s="1"/>
  <c r="F67" i="42" s="1"/>
  <c r="F68" i="42" s="1"/>
  <c r="F69" i="42" s="1"/>
  <c r="F70" i="42" s="1"/>
  <c r="F71" i="42" s="1"/>
  <c r="F72" i="42" s="1"/>
  <c r="F73" i="42" s="1"/>
  <c r="F74" i="42" s="1"/>
  <c r="F75" i="42" s="1"/>
  <c r="F76" i="42" s="1"/>
  <c r="F77" i="42" s="1"/>
  <c r="F78" i="42" s="1"/>
  <c r="F79" i="42" s="1"/>
  <c r="F80" i="42" s="1"/>
  <c r="F81" i="42" s="1"/>
  <c r="F82" i="42" s="1"/>
  <c r="F83" i="42" s="1"/>
  <c r="F84" i="42" s="1"/>
  <c r="F85" i="42" s="1"/>
  <c r="F86" i="42" s="1"/>
  <c r="F87" i="42" s="1"/>
  <c r="I14" i="43"/>
  <c r="C16" i="49"/>
  <c r="C30" i="49" s="1"/>
  <c r="C32" i="51"/>
  <c r="J16" i="61"/>
  <c r="J17" i="61"/>
  <c r="D29" i="61"/>
  <c r="E30" i="61"/>
  <c r="J31" i="61"/>
  <c r="J32" i="61"/>
  <c r="C34" i="61"/>
  <c r="D35" i="61"/>
  <c r="E36" i="61"/>
  <c r="F37" i="61"/>
  <c r="E13" i="29"/>
  <c r="M15" i="39"/>
  <c r="K14" i="39"/>
  <c r="K19" i="38" s="1"/>
  <c r="I123" i="44"/>
  <c r="D32" i="51"/>
  <c r="F104" i="37"/>
  <c r="D53" i="29"/>
  <c r="F78" i="29"/>
  <c r="C12" i="30"/>
  <c r="G12" i="31"/>
  <c r="H56" i="31"/>
  <c r="J13" i="32"/>
  <c r="D12" i="32"/>
  <c r="L31" i="33"/>
  <c r="H56" i="33"/>
  <c r="H82" i="33"/>
  <c r="L97" i="33"/>
  <c r="L106" i="33"/>
  <c r="L111" i="33"/>
  <c r="L118" i="33"/>
  <c r="H141" i="33"/>
  <c r="L145" i="33"/>
  <c r="H164" i="33"/>
  <c r="L166" i="33"/>
  <c r="E14" i="39"/>
  <c r="E19" i="38" s="1"/>
  <c r="G15" i="39"/>
  <c r="G19" i="40"/>
  <c r="G18" i="40" s="1"/>
  <c r="G28" i="40" s="1"/>
  <c r="G30" i="40"/>
  <c r="G56" i="40" s="1"/>
  <c r="I11" i="43"/>
  <c r="F90" i="47" s="1"/>
  <c r="L14" i="44"/>
  <c r="I39" i="29"/>
  <c r="F47" i="29"/>
  <c r="C53" i="29"/>
  <c r="J28" i="30"/>
  <c r="C12" i="31"/>
  <c r="I32" i="31"/>
  <c r="F38" i="31"/>
  <c r="L14" i="33"/>
  <c r="H16" i="33"/>
  <c r="H20" i="33"/>
  <c r="L22" i="33"/>
  <c r="H25" i="33"/>
  <c r="H43" i="33"/>
  <c r="H50" i="33"/>
  <c r="H61" i="33"/>
  <c r="H68" i="33"/>
  <c r="L70" i="33"/>
  <c r="H74" i="33"/>
  <c r="L76" i="33"/>
  <c r="H94" i="33"/>
  <c r="H105" i="33"/>
  <c r="H117" i="33"/>
  <c r="L124" i="33"/>
  <c r="L125" i="33"/>
  <c r="H142" i="33"/>
  <c r="H158" i="33"/>
  <c r="H165" i="33"/>
  <c r="L170" i="33"/>
  <c r="H172" i="33"/>
  <c r="H176" i="33"/>
  <c r="L178" i="33"/>
  <c r="H182" i="33"/>
  <c r="L184" i="33"/>
  <c r="N26" i="35"/>
  <c r="N13" i="35"/>
  <c r="B220" i="40"/>
  <c r="G13" i="29"/>
  <c r="F12" i="30"/>
  <c r="G17" i="32"/>
  <c r="H21" i="33"/>
  <c r="H51" i="33"/>
  <c r="L55" i="33"/>
  <c r="H69" i="33"/>
  <c r="L72" i="33"/>
  <c r="H75" i="33"/>
  <c r="L79" i="33"/>
  <c r="H85" i="33"/>
  <c r="H100" i="33"/>
  <c r="H106" i="33"/>
  <c r="H118" i="33"/>
  <c r="H123" i="33"/>
  <c r="L136" i="33"/>
  <c r="L139" i="33"/>
  <c r="L151" i="33"/>
  <c r="L154" i="33"/>
  <c r="H159" i="33"/>
  <c r="L163" i="33"/>
  <c r="H166" i="33"/>
  <c r="H177" i="33"/>
  <c r="H183" i="33"/>
  <c r="L187" i="33"/>
  <c r="L193" i="33"/>
  <c r="H204" i="33"/>
  <c r="F84" i="36"/>
  <c r="F86" i="36" s="1"/>
  <c r="I38" i="37"/>
  <c r="I51" i="37" s="1"/>
  <c r="M17" i="38"/>
  <c r="E137" i="40"/>
  <c r="I120" i="44"/>
  <c r="H119" i="44"/>
  <c r="I81" i="29"/>
  <c r="L105" i="33"/>
  <c r="L117" i="33"/>
  <c r="G39" i="40"/>
  <c r="G38" i="40" s="1"/>
  <c r="C7" i="22"/>
  <c r="F57" i="29"/>
  <c r="H62" i="29"/>
  <c r="F81" i="29"/>
  <c r="G28" i="30"/>
  <c r="F17" i="31"/>
  <c r="H22" i="31"/>
  <c r="H46" i="31"/>
  <c r="H12" i="32"/>
  <c r="H22" i="30" s="1"/>
  <c r="H13" i="33"/>
  <c r="H32" i="33"/>
  <c r="L43" i="33"/>
  <c r="H91" i="33"/>
  <c r="H136" i="33"/>
  <c r="H146" i="33"/>
  <c r="H154" i="33"/>
  <c r="H169" i="33"/>
  <c r="L196" i="33"/>
  <c r="H197" i="33"/>
  <c r="D66" i="37"/>
  <c r="H140" i="40"/>
  <c r="H110" i="44"/>
  <c r="I111" i="44"/>
  <c r="D91" i="40"/>
  <c r="D137" i="40"/>
  <c r="I24" i="44"/>
  <c r="L18" i="44"/>
  <c r="K94" i="44"/>
  <c r="I99" i="44"/>
  <c r="I105" i="44" s="1"/>
  <c r="J110" i="44"/>
  <c r="I112" i="44"/>
  <c r="G115" i="44"/>
  <c r="G117" i="44"/>
  <c r="J119" i="44"/>
  <c r="I124" i="44"/>
  <c r="E16" i="50"/>
  <c r="E30" i="50" s="1"/>
  <c r="K23" i="61"/>
  <c r="H93" i="40"/>
  <c r="E91" i="40"/>
  <c r="L16" i="44"/>
  <c r="L22" i="44"/>
  <c r="E35" i="44"/>
  <c r="D38" i="44"/>
  <c r="K118" i="44"/>
  <c r="K19" i="54"/>
  <c r="D23" i="54"/>
  <c r="D23" i="61" s="1"/>
  <c r="C25" i="61"/>
  <c r="D26" i="61"/>
  <c r="F38" i="54"/>
  <c r="F38" i="61" s="1"/>
  <c r="N25" i="57"/>
  <c r="I21" i="58"/>
  <c r="L21" i="58" s="1"/>
  <c r="G80" i="36"/>
  <c r="G84" i="36" s="1"/>
  <c r="C126" i="37"/>
  <c r="G17" i="38"/>
  <c r="F91" i="40"/>
  <c r="E189" i="40"/>
  <c r="J24" i="44"/>
  <c r="K17" i="44"/>
  <c r="L17" i="44" s="1"/>
  <c r="E38" i="44"/>
  <c r="D41" i="44"/>
  <c r="D140" i="44" s="1"/>
  <c r="G118" i="44"/>
  <c r="I127" i="44"/>
  <c r="E27" i="61"/>
  <c r="I40" i="54"/>
  <c r="L40" i="54" s="1"/>
  <c r="L40" i="61" s="1"/>
  <c r="D19" i="58"/>
  <c r="D42" i="58" s="1"/>
  <c r="F19" i="58"/>
  <c r="F42" i="58" s="1"/>
  <c r="P12" i="35"/>
  <c r="P40" i="35" s="1"/>
  <c r="P42" i="35" s="1"/>
  <c r="P46" i="35" s="1"/>
  <c r="F110" i="36"/>
  <c r="G108" i="36"/>
  <c r="H156" i="40"/>
  <c r="H157" i="40"/>
  <c r="I12" i="43"/>
  <c r="H21" i="43"/>
  <c r="E41" i="44"/>
  <c r="D44" i="44"/>
  <c r="D110" i="44"/>
  <c r="G111" i="44"/>
  <c r="H113" i="44"/>
  <c r="J113" i="44"/>
  <c r="I117" i="44"/>
  <c r="I118" i="44"/>
  <c r="G121" i="44"/>
  <c r="G123" i="44"/>
  <c r="H125" i="44"/>
  <c r="D30" i="53"/>
  <c r="C38" i="53" s="1"/>
  <c r="C30" i="55" s="1"/>
  <c r="E20" i="54"/>
  <c r="E20" i="61" s="1"/>
  <c r="F23" i="54"/>
  <c r="F23" i="61" s="1"/>
  <c r="J28" i="61"/>
  <c r="J29" i="61"/>
  <c r="D31" i="54"/>
  <c r="D31" i="61" s="1"/>
  <c r="I37" i="54"/>
  <c r="H38" i="61"/>
  <c r="I18" i="58"/>
  <c r="L18" i="58" s="1"/>
  <c r="I26" i="58"/>
  <c r="L26" i="58" s="1"/>
  <c r="I29" i="58"/>
  <c r="L29" i="58" s="1"/>
  <c r="E48" i="36"/>
  <c r="F37" i="47" s="1"/>
  <c r="E84" i="36"/>
  <c r="E86" i="36" s="1"/>
  <c r="H38" i="37"/>
  <c r="H51" i="37" s="1"/>
  <c r="C60" i="47"/>
  <c r="I26" i="43"/>
  <c r="F25" i="49"/>
  <c r="C40" i="51"/>
  <c r="C44" i="51" s="1"/>
  <c r="I31" i="58"/>
  <c r="L31" i="58" s="1"/>
  <c r="E22" i="52"/>
  <c r="C30" i="53"/>
  <c r="G19" i="54"/>
  <c r="G42" i="54" s="1"/>
  <c r="F21" i="61"/>
  <c r="J22" i="61"/>
  <c r="I24" i="54"/>
  <c r="L24" i="54" s="1"/>
  <c r="D28" i="54"/>
  <c r="D28" i="61" s="1"/>
  <c r="I36" i="58"/>
  <c r="L36" i="58" s="1"/>
  <c r="I38" i="58"/>
  <c r="L38" i="58" s="1"/>
  <c r="L161" i="33"/>
  <c r="H71" i="33"/>
  <c r="H114" i="40"/>
  <c r="G113" i="40"/>
  <c r="G25" i="30"/>
  <c r="D24" i="30"/>
  <c r="H83" i="33"/>
  <c r="L83" i="33"/>
  <c r="H90" i="33"/>
  <c r="L90" i="33"/>
  <c r="H102" i="33"/>
  <c r="L102" i="33"/>
  <c r="H120" i="33"/>
  <c r="L133" i="33"/>
  <c r="H138" i="33"/>
  <c r="L138" i="33"/>
  <c r="H185" i="33"/>
  <c r="L185" i="33"/>
  <c r="H24" i="33"/>
  <c r="L24" i="33"/>
  <c r="H42" i="33"/>
  <c r="L42" i="33"/>
  <c r="H54" i="33"/>
  <c r="L54" i="33"/>
  <c r="H95" i="33"/>
  <c r="L95" i="33"/>
  <c r="L199" i="33"/>
  <c r="H199" i="33"/>
  <c r="G13" i="30"/>
  <c r="D12" i="30"/>
  <c r="I38" i="31"/>
  <c r="H38" i="31"/>
  <c r="F12" i="32"/>
  <c r="F22" i="30" s="1"/>
  <c r="H14" i="33"/>
  <c r="H29" i="33"/>
  <c r="L29" i="33"/>
  <c r="H30" i="33"/>
  <c r="L30" i="33"/>
  <c r="H59" i="33"/>
  <c r="L59" i="33"/>
  <c r="H60" i="33"/>
  <c r="L60" i="33"/>
  <c r="H113" i="33"/>
  <c r="L113" i="33"/>
  <c r="H114" i="33"/>
  <c r="L114" i="33"/>
  <c r="H122" i="33"/>
  <c r="L147" i="33"/>
  <c r="H167" i="33"/>
  <c r="L167" i="33"/>
  <c r="H170" i="33"/>
  <c r="L180" i="33"/>
  <c r="H194" i="33"/>
  <c r="H66" i="33"/>
  <c r="L66" i="33"/>
  <c r="H84" i="33"/>
  <c r="L84" i="33"/>
  <c r="H89" i="33"/>
  <c r="L89" i="33"/>
  <c r="H101" i="33"/>
  <c r="L101" i="33"/>
  <c r="H137" i="33"/>
  <c r="L137" i="33"/>
  <c r="H186" i="33"/>
  <c r="L186" i="33"/>
  <c r="F39" i="29"/>
  <c r="J13" i="30"/>
  <c r="H119" i="33"/>
  <c r="L119" i="33"/>
  <c r="I22" i="31"/>
  <c r="I46" i="31"/>
  <c r="I69" i="31"/>
  <c r="G61" i="31"/>
  <c r="G52" i="31" s="1"/>
  <c r="H35" i="33"/>
  <c r="L35" i="33"/>
  <c r="H36" i="33"/>
  <c r="L36" i="33"/>
  <c r="L71" i="33"/>
  <c r="H107" i="33"/>
  <c r="L107" i="33"/>
  <c r="H108" i="33"/>
  <c r="L108" i="33"/>
  <c r="H133" i="33"/>
  <c r="H131" i="33"/>
  <c r="L131" i="33"/>
  <c r="H132" i="33"/>
  <c r="L132" i="33"/>
  <c r="H179" i="33"/>
  <c r="L179" i="33"/>
  <c r="H196" i="33"/>
  <c r="H17" i="31"/>
  <c r="L47" i="33"/>
  <c r="H96" i="33"/>
  <c r="L96" i="33"/>
  <c r="H162" i="33"/>
  <c r="L162" i="33"/>
  <c r="I14" i="29"/>
  <c r="H23" i="29"/>
  <c r="F33" i="29"/>
  <c r="G53" i="29"/>
  <c r="I57" i="29"/>
  <c r="I78" i="29"/>
  <c r="D77" i="29"/>
  <c r="H78" i="29"/>
  <c r="H81" i="29"/>
  <c r="F13" i="31"/>
  <c r="I53" i="31"/>
  <c r="H69" i="31"/>
  <c r="H37" i="33"/>
  <c r="H48" i="33"/>
  <c r="L48" i="33"/>
  <c r="H155" i="33"/>
  <c r="L155" i="33"/>
  <c r="H156" i="33"/>
  <c r="L156" i="33"/>
  <c r="H200" i="33"/>
  <c r="E39" i="51"/>
  <c r="E24" i="52"/>
  <c r="C13" i="29"/>
  <c r="H33" i="29"/>
  <c r="H47" i="29"/>
  <c r="H57" i="29"/>
  <c r="J25" i="30"/>
  <c r="H49" i="33"/>
  <c r="H73" i="33"/>
  <c r="H77" i="33"/>
  <c r="L77" i="33"/>
  <c r="H78" i="33"/>
  <c r="L78" i="33"/>
  <c r="H103" i="33"/>
  <c r="H143" i="33"/>
  <c r="L143" i="33"/>
  <c r="H144" i="33"/>
  <c r="L144" i="33"/>
  <c r="H149" i="33"/>
  <c r="L149" i="33"/>
  <c r="H150" i="33"/>
  <c r="L150" i="33"/>
  <c r="H157" i="33"/>
  <c r="H191" i="33"/>
  <c r="L191" i="33"/>
  <c r="H192" i="33"/>
  <c r="L192" i="33"/>
  <c r="E53" i="29"/>
  <c r="G77" i="29"/>
  <c r="F15" i="47"/>
  <c r="F15" i="46"/>
  <c r="J17" i="30"/>
  <c r="D52" i="31"/>
  <c r="D23" i="52"/>
  <c r="D38" i="51"/>
  <c r="G46" i="44"/>
  <c r="G40" i="44"/>
  <c r="G34" i="44"/>
  <c r="I43" i="44"/>
  <c r="C7" i="28"/>
  <c r="D7" i="28" s="1"/>
  <c r="B149" i="44" s="1"/>
  <c r="K46" i="44"/>
  <c r="K43" i="44"/>
  <c r="I40" i="44"/>
  <c r="I34" i="44"/>
  <c r="G43" i="44"/>
  <c r="G37" i="44"/>
  <c r="I46" i="44"/>
  <c r="K40" i="44"/>
  <c r="K37" i="44"/>
  <c r="K34" i="44"/>
  <c r="I37" i="44"/>
  <c r="B45" i="60"/>
  <c r="B50" i="48"/>
  <c r="D13" i="29"/>
  <c r="H13" i="31"/>
  <c r="E52" i="31"/>
  <c r="H47" i="33"/>
  <c r="H127" i="33"/>
  <c r="H161" i="33"/>
  <c r="L201" i="33"/>
  <c r="D22" i="43"/>
  <c r="D21" i="43" s="1"/>
  <c r="E91" i="47" s="1"/>
  <c r="G23" i="43"/>
  <c r="G22" i="43" s="1"/>
  <c r="G21" i="43" s="1"/>
  <c r="D39" i="51"/>
  <c r="D24" i="52"/>
  <c r="B103" i="47"/>
  <c r="B41" i="46"/>
  <c r="D12" i="31"/>
  <c r="J17" i="32"/>
  <c r="L100" i="33"/>
  <c r="L190" i="33"/>
  <c r="C5" i="22"/>
  <c r="E38" i="51"/>
  <c r="E23" i="52"/>
  <c r="L13" i="33"/>
  <c r="G14" i="36"/>
  <c r="G36" i="36" s="1"/>
  <c r="E58" i="47"/>
  <c r="G16" i="38"/>
  <c r="E61" i="47"/>
  <c r="M16" i="38"/>
  <c r="E66" i="37"/>
  <c r="H19" i="40"/>
  <c r="H18" i="40" s="1"/>
  <c r="H28" i="40" s="1"/>
  <c r="H32" i="40"/>
  <c r="F150" i="40" s="1"/>
  <c r="H30" i="40"/>
  <c r="H141" i="40" s="1"/>
  <c r="E72" i="47"/>
  <c r="E11" i="41"/>
  <c r="F72" i="47" s="1"/>
  <c r="F48" i="36"/>
  <c r="F38" i="47" s="1"/>
  <c r="M17" i="39"/>
  <c r="I16" i="39"/>
  <c r="E135" i="40"/>
  <c r="F137" i="40"/>
  <c r="F14" i="36"/>
  <c r="F36" i="36" s="1"/>
  <c r="E60" i="47"/>
  <c r="M15" i="38"/>
  <c r="K14" i="38"/>
  <c r="G17" i="39"/>
  <c r="C16" i="39"/>
  <c r="N35" i="35"/>
  <c r="E57" i="47"/>
  <c r="G15" i="38"/>
  <c r="D60" i="47"/>
  <c r="D59" i="47" s="1"/>
  <c r="L14" i="38"/>
  <c r="G135" i="40"/>
  <c r="G136" i="40" s="1"/>
  <c r="H155" i="40"/>
  <c r="D154" i="40"/>
  <c r="D57" i="47"/>
  <c r="D56" i="47" s="1"/>
  <c r="F14" i="38"/>
  <c r="H204" i="34"/>
  <c r="L204" i="34"/>
  <c r="I23" i="43"/>
  <c r="G32" i="40"/>
  <c r="E102" i="40"/>
  <c r="E103" i="40"/>
  <c r="F135" i="40"/>
  <c r="F136" i="40" s="1"/>
  <c r="H94" i="40"/>
  <c r="H95" i="40"/>
  <c r="C21" i="41"/>
  <c r="E15" i="41"/>
  <c r="K12" i="44"/>
  <c r="L13" i="44"/>
  <c r="L19" i="44"/>
  <c r="E73" i="47"/>
  <c r="D23" i="41"/>
  <c r="D110" i="36"/>
  <c r="H38" i="40"/>
  <c r="G137" i="40"/>
  <c r="E16" i="41"/>
  <c r="D69" i="37"/>
  <c r="D77" i="37" s="1"/>
  <c r="I15" i="43"/>
  <c r="C91" i="40"/>
  <c r="C57" i="47"/>
  <c r="C58" i="47"/>
  <c r="L104" i="44"/>
  <c r="C22" i="43"/>
  <c r="L92" i="44"/>
  <c r="K114" i="44"/>
  <c r="K120" i="44"/>
  <c r="K126" i="44"/>
  <c r="N27" i="60"/>
  <c r="D14" i="51"/>
  <c r="D12" i="51" s="1"/>
  <c r="J99" i="44"/>
  <c r="J105" i="44" s="1"/>
  <c r="L100" i="44"/>
  <c r="G114" i="44"/>
  <c r="G120" i="44"/>
  <c r="G126" i="44"/>
  <c r="D19" i="62"/>
  <c r="D19" i="56"/>
  <c r="D19" i="55"/>
  <c r="F18" i="49"/>
  <c r="F20" i="49"/>
  <c r="E16" i="61"/>
  <c r="K99" i="44"/>
  <c r="K111" i="44"/>
  <c r="K115" i="44"/>
  <c r="K117" i="44"/>
  <c r="K121" i="44"/>
  <c r="K123" i="44"/>
  <c r="P17" i="60"/>
  <c r="P16" i="48"/>
  <c r="C32" i="61"/>
  <c r="C31" i="54"/>
  <c r="I32" i="54"/>
  <c r="I24" i="58"/>
  <c r="L24" i="58" s="1"/>
  <c r="C23" i="58"/>
  <c r="I23" i="58" s="1"/>
  <c r="L23" i="58" s="1"/>
  <c r="I28" i="58"/>
  <c r="L28" i="58" s="1"/>
  <c r="E14" i="51"/>
  <c r="E12" i="51" s="1"/>
  <c r="C29" i="61"/>
  <c r="C28" i="54"/>
  <c r="I29" i="54"/>
  <c r="K16" i="61"/>
  <c r="C20" i="54"/>
  <c r="I21" i="54"/>
  <c r="I25" i="54"/>
  <c r="D25" i="61"/>
  <c r="D27" i="61"/>
  <c r="I33" i="58"/>
  <c r="L33" i="58" s="1"/>
  <c r="G16" i="61"/>
  <c r="E34" i="61"/>
  <c r="I34" i="54"/>
  <c r="I32" i="58"/>
  <c r="L32" i="58" s="1"/>
  <c r="E17" i="61"/>
  <c r="D18" i="62"/>
  <c r="D18" i="55"/>
  <c r="D18" i="56"/>
  <c r="F18" i="50"/>
  <c r="C36" i="61"/>
  <c r="I36" i="54"/>
  <c r="J39" i="61"/>
  <c r="J38" i="54"/>
  <c r="J38" i="61" s="1"/>
  <c r="I17" i="58"/>
  <c r="L17" i="58" s="1"/>
  <c r="G19" i="58"/>
  <c r="G42" i="58" s="1"/>
  <c r="E19" i="58"/>
  <c r="E42" i="58" s="1"/>
  <c r="I17" i="54"/>
  <c r="D22" i="61"/>
  <c r="I22" i="54"/>
  <c r="C24" i="61"/>
  <c r="F16" i="54"/>
  <c r="I18" i="54"/>
  <c r="H20" i="61"/>
  <c r="I27" i="54"/>
  <c r="F28" i="54"/>
  <c r="F28" i="61" s="1"/>
  <c r="I30" i="54"/>
  <c r="F31" i="54"/>
  <c r="F31" i="61" s="1"/>
  <c r="I33" i="54"/>
  <c r="G38" i="61"/>
  <c r="I41" i="54"/>
  <c r="I25" i="58"/>
  <c r="L25" i="58" s="1"/>
  <c r="I27" i="58"/>
  <c r="L27" i="58" s="1"/>
  <c r="C16" i="58"/>
  <c r="C20" i="58"/>
  <c r="J19" i="58"/>
  <c r="J42" i="58" s="1"/>
  <c r="H16" i="61"/>
  <c r="D20" i="61"/>
  <c r="J20" i="54"/>
  <c r="J23" i="54"/>
  <c r="J23" i="61" s="1"/>
  <c r="I35" i="54"/>
  <c r="I30" i="58"/>
  <c r="L30" i="58" s="1"/>
  <c r="E32" i="61"/>
  <c r="D38" i="54"/>
  <c r="D38" i="61" s="1"/>
  <c r="N20" i="57"/>
  <c r="D34" i="61"/>
  <c r="I39" i="54"/>
  <c r="I22" i="58"/>
  <c r="L22" i="58" s="1"/>
  <c r="I34" i="58"/>
  <c r="L34" i="58" s="1"/>
  <c r="I35" i="58"/>
  <c r="L35" i="58" s="1"/>
  <c r="C59" i="47" l="1"/>
  <c r="E56" i="47"/>
  <c r="E59" i="47"/>
  <c r="C119" i="37"/>
  <c r="C101" i="37"/>
  <c r="H154" i="40"/>
  <c r="G122" i="44"/>
  <c r="E137" i="44"/>
  <c r="K113" i="44"/>
  <c r="I113" i="44"/>
  <c r="D137" i="44"/>
  <c r="G113" i="44"/>
  <c r="G125" i="44"/>
  <c r="G110" i="44"/>
  <c r="K122" i="44"/>
  <c r="E140" i="44"/>
  <c r="K116" i="44"/>
  <c r="I122" i="44"/>
  <c r="L12" i="34"/>
  <c r="H12" i="34"/>
  <c r="K119" i="44"/>
  <c r="E138" i="44"/>
  <c r="I119" i="44"/>
  <c r="E139" i="44"/>
  <c r="I116" i="44"/>
  <c r="G116" i="44"/>
  <c r="C82" i="37"/>
  <c r="G119" i="44"/>
  <c r="D139" i="44"/>
  <c r="K125" i="44"/>
  <c r="K110" i="44"/>
  <c r="D141" i="44"/>
  <c r="I110" i="44"/>
  <c r="E136" i="44"/>
  <c r="I125" i="44"/>
  <c r="C12" i="29"/>
  <c r="D33" i="46"/>
  <c r="C43" i="51"/>
  <c r="D47" i="44"/>
  <c r="D50" i="44" s="1"/>
  <c r="I16" i="54"/>
  <c r="L16" i="54" s="1"/>
  <c r="H173" i="33"/>
  <c r="L174" i="33"/>
  <c r="E141" i="44"/>
  <c r="I23" i="30"/>
  <c r="F20" i="47" s="1"/>
  <c r="H54" i="37"/>
  <c r="L18" i="33"/>
  <c r="E23" i="30"/>
  <c r="E31" i="30" s="1"/>
  <c r="E33" i="30" s="1"/>
  <c r="D128" i="44"/>
  <c r="D131" i="44" s="1"/>
  <c r="M35" i="35"/>
  <c r="M20" i="35"/>
  <c r="N23" i="60"/>
  <c r="L134" i="33"/>
  <c r="H20" i="38"/>
  <c r="I37" i="61"/>
  <c r="D136" i="44"/>
  <c r="I23" i="54"/>
  <c r="I23" i="61" s="1"/>
  <c r="E25" i="52"/>
  <c r="E27" i="52" s="1"/>
  <c r="E28" i="52" s="1"/>
  <c r="G129" i="44"/>
  <c r="F17" i="49"/>
  <c r="F17" i="50"/>
  <c r="D67" i="47"/>
  <c r="K23" i="30"/>
  <c r="F21" i="46" s="1"/>
  <c r="F61" i="47"/>
  <c r="E47" i="44"/>
  <c r="E50" i="44" s="1"/>
  <c r="C50" i="36"/>
  <c r="H31" i="43"/>
  <c r="I31" i="43" s="1"/>
  <c r="I40" i="61"/>
  <c r="F20" i="38"/>
  <c r="H104" i="33"/>
  <c r="I55" i="37"/>
  <c r="J20" i="38"/>
  <c r="F53" i="29"/>
  <c r="N15" i="39"/>
  <c r="H140" i="33"/>
  <c r="L109" i="33"/>
  <c r="H102" i="40"/>
  <c r="F68" i="47" s="1"/>
  <c r="F13" i="29"/>
  <c r="L140" i="33"/>
  <c r="D20" i="38"/>
  <c r="H116" i="33"/>
  <c r="C26" i="55"/>
  <c r="H17" i="33"/>
  <c r="H23" i="30"/>
  <c r="H31" i="30" s="1"/>
  <c r="H33" i="30" s="1"/>
  <c r="C23" i="30"/>
  <c r="N22" i="60"/>
  <c r="L126" i="33"/>
  <c r="G12" i="32"/>
  <c r="M26" i="35"/>
  <c r="H103" i="40"/>
  <c r="F33" i="46" s="1"/>
  <c r="L121" i="33"/>
  <c r="F52" i="31"/>
  <c r="L20" i="38"/>
  <c r="M13" i="35"/>
  <c r="K19" i="61"/>
  <c r="C26" i="52"/>
  <c r="E19" i="54"/>
  <c r="E19" i="61" s="1"/>
  <c r="H115" i="33"/>
  <c r="I130" i="44"/>
  <c r="E40" i="51"/>
  <c r="E43" i="51" s="1"/>
  <c r="E28" i="61"/>
  <c r="K42" i="54"/>
  <c r="K42" i="61" s="1"/>
  <c r="D22" i="30"/>
  <c r="J22" i="30" s="1"/>
  <c r="G12" i="29"/>
  <c r="H19" i="61"/>
  <c r="K130" i="44"/>
  <c r="L26" i="61"/>
  <c r="G82" i="37"/>
  <c r="H55" i="37"/>
  <c r="G11" i="31"/>
  <c r="G75" i="29" s="1"/>
  <c r="E128" i="44"/>
  <c r="E131" i="44" s="1"/>
  <c r="L115" i="33"/>
  <c r="N28" i="60"/>
  <c r="N16" i="57"/>
  <c r="N30" i="57" s="1"/>
  <c r="G130" i="44"/>
  <c r="H101" i="40"/>
  <c r="F67" i="47" s="1"/>
  <c r="C11" i="31"/>
  <c r="C75" i="29" s="1"/>
  <c r="H203" i="40"/>
  <c r="H206" i="40" s="1"/>
  <c r="L24" i="61"/>
  <c r="I81" i="37"/>
  <c r="I82" i="37"/>
  <c r="D68" i="47"/>
  <c r="J128" i="44"/>
  <c r="J131" i="44" s="1"/>
  <c r="H125" i="33"/>
  <c r="F23" i="30"/>
  <c r="F19" i="47" s="1"/>
  <c r="G42" i="61"/>
  <c r="I24" i="61"/>
  <c r="C26" i="62"/>
  <c r="C41" i="51"/>
  <c r="H77" i="29"/>
  <c r="J12" i="32"/>
  <c r="E20" i="38"/>
  <c r="C30" i="56"/>
  <c r="L80" i="33"/>
  <c r="H91" i="40"/>
  <c r="E107" i="40" s="1"/>
  <c r="F107" i="40" s="1"/>
  <c r="F12" i="31"/>
  <c r="H42" i="61"/>
  <c r="D19" i="54"/>
  <c r="D19" i="61" s="1"/>
  <c r="I52" i="31"/>
  <c r="H72" i="33"/>
  <c r="C31" i="51"/>
  <c r="C103" i="37"/>
  <c r="I26" i="61"/>
  <c r="I54" i="37"/>
  <c r="H56" i="40"/>
  <c r="K129" i="44"/>
  <c r="H126" i="33"/>
  <c r="D31" i="51"/>
  <c r="F102" i="37" s="1"/>
  <c r="F103" i="37"/>
  <c r="C23" i="61"/>
  <c r="N24" i="60"/>
  <c r="C30" i="62"/>
  <c r="N17" i="39"/>
  <c r="N17" i="38"/>
  <c r="N15" i="38"/>
  <c r="F82" i="37"/>
  <c r="G114" i="40"/>
  <c r="G112" i="40" s="1"/>
  <c r="F81" i="37"/>
  <c r="G14" i="38"/>
  <c r="L37" i="54"/>
  <c r="L37" i="61" s="1"/>
  <c r="F19" i="54"/>
  <c r="F19" i="61" s="1"/>
  <c r="F112" i="40"/>
  <c r="C205" i="34"/>
  <c r="C205" i="33" s="1"/>
  <c r="F205" i="34"/>
  <c r="C12" i="33"/>
  <c r="E11" i="31"/>
  <c r="E75" i="29" s="1"/>
  <c r="F68" i="40"/>
  <c r="I32" i="61"/>
  <c r="L32" i="54"/>
  <c r="L32" i="61" s="1"/>
  <c r="E37" i="51"/>
  <c r="I27" i="61"/>
  <c r="L27" i="54"/>
  <c r="L27" i="61" s="1"/>
  <c r="L189" i="33"/>
  <c r="H189" i="33"/>
  <c r="L87" i="33"/>
  <c r="H87" i="33"/>
  <c r="G30" i="44"/>
  <c r="F29" i="44"/>
  <c r="L46" i="33"/>
  <c r="H46" i="33"/>
  <c r="N26" i="60"/>
  <c r="N25" i="60"/>
  <c r="J35" i="44"/>
  <c r="K36" i="44"/>
  <c r="I33" i="61"/>
  <c r="L33" i="54"/>
  <c r="L33" i="61" s="1"/>
  <c r="I22" i="61"/>
  <c r="L22" i="54"/>
  <c r="L22" i="61" s="1"/>
  <c r="I25" i="61"/>
  <c r="L25" i="54"/>
  <c r="L25" i="61" s="1"/>
  <c r="F101" i="37"/>
  <c r="D30" i="50"/>
  <c r="F30" i="50" s="1"/>
  <c r="F16" i="50"/>
  <c r="K20" i="38"/>
  <c r="M14" i="38"/>
  <c r="D82" i="37"/>
  <c r="G81" i="37"/>
  <c r="I12" i="31"/>
  <c r="D11" i="31"/>
  <c r="H29" i="44"/>
  <c r="I30" i="44"/>
  <c r="I36" i="44"/>
  <c r="H35" i="44"/>
  <c r="I39" i="44"/>
  <c r="H38" i="44"/>
  <c r="J38" i="44"/>
  <c r="K39" i="44"/>
  <c r="L148" i="33"/>
  <c r="H148" i="33"/>
  <c r="L52" i="33"/>
  <c r="H52" i="33"/>
  <c r="I77" i="29"/>
  <c r="H18" i="33"/>
  <c r="L58" i="33"/>
  <c r="H58" i="33"/>
  <c r="J12" i="30"/>
  <c r="G12" i="30"/>
  <c r="I41" i="61"/>
  <c r="L41" i="54"/>
  <c r="L41" i="61" s="1"/>
  <c r="G68" i="40"/>
  <c r="G202" i="40" s="1"/>
  <c r="C14" i="39"/>
  <c r="G16" i="39"/>
  <c r="I49" i="44"/>
  <c r="I31" i="44"/>
  <c r="P16" i="60"/>
  <c r="P33" i="48"/>
  <c r="P30" i="60" s="1"/>
  <c r="I14" i="39"/>
  <c r="M16" i="39"/>
  <c r="I33" i="44"/>
  <c r="H32" i="44"/>
  <c r="I35" i="61"/>
  <c r="L35" i="54"/>
  <c r="L35" i="61" s="1"/>
  <c r="I21" i="61"/>
  <c r="L21" i="54"/>
  <c r="L21" i="61" s="1"/>
  <c r="D30" i="49"/>
  <c r="F30" i="49" s="1"/>
  <c r="F16" i="49"/>
  <c r="C23" i="41"/>
  <c r="E21" i="41"/>
  <c r="F134" i="40"/>
  <c r="F133" i="40" s="1"/>
  <c r="G134" i="40"/>
  <c r="G133" i="40" s="1"/>
  <c r="H81" i="37"/>
  <c r="F35" i="47"/>
  <c r="F39" i="47" s="1"/>
  <c r="E50" i="36"/>
  <c r="D50" i="36"/>
  <c r="F50" i="36"/>
  <c r="L181" i="33"/>
  <c r="H188" i="33"/>
  <c r="L188" i="33"/>
  <c r="L153" i="33"/>
  <c r="H153" i="33"/>
  <c r="L81" i="33"/>
  <c r="H81" i="33"/>
  <c r="G31" i="44"/>
  <c r="G49" i="44"/>
  <c r="J29" i="44"/>
  <c r="K30" i="44"/>
  <c r="I42" i="44"/>
  <c r="H41" i="44"/>
  <c r="I45" i="44"/>
  <c r="H44" i="44"/>
  <c r="D40" i="51"/>
  <c r="D41" i="51" s="1"/>
  <c r="H22" i="33"/>
  <c r="H52" i="31"/>
  <c r="I61" i="31"/>
  <c r="H61" i="31"/>
  <c r="L64" i="33"/>
  <c r="H64" i="33"/>
  <c r="F12" i="33"/>
  <c r="H168" i="33"/>
  <c r="L168" i="33"/>
  <c r="F77" i="29"/>
  <c r="I39" i="61"/>
  <c r="L39" i="54"/>
  <c r="L39" i="61" s="1"/>
  <c r="I36" i="61"/>
  <c r="L36" i="54"/>
  <c r="L36" i="61" s="1"/>
  <c r="N18" i="60"/>
  <c r="N17" i="48"/>
  <c r="N21" i="60"/>
  <c r="N20" i="48"/>
  <c r="N20" i="60" s="1"/>
  <c r="H98" i="33"/>
  <c r="L98" i="33"/>
  <c r="I31" i="54"/>
  <c r="C31" i="61"/>
  <c r="N29" i="60"/>
  <c r="F60" i="47"/>
  <c r="L12" i="44"/>
  <c r="K24" i="44"/>
  <c r="D135" i="40"/>
  <c r="D136" i="40" s="1"/>
  <c r="G42" i="44"/>
  <c r="F41" i="44"/>
  <c r="L160" i="33"/>
  <c r="H160" i="33"/>
  <c r="L203" i="33"/>
  <c r="H203" i="33"/>
  <c r="H174" i="33"/>
  <c r="H53" i="33"/>
  <c r="L53" i="33"/>
  <c r="L57" i="33"/>
  <c r="H57" i="33"/>
  <c r="I18" i="61"/>
  <c r="L18" i="54"/>
  <c r="L18" i="61" s="1"/>
  <c r="G19" i="61"/>
  <c r="L99" i="44"/>
  <c r="K105" i="44"/>
  <c r="L105" i="44" s="1"/>
  <c r="I34" i="61"/>
  <c r="L34" i="54"/>
  <c r="L34" i="61" s="1"/>
  <c r="C20" i="61"/>
  <c r="I20" i="54"/>
  <c r="C19" i="54"/>
  <c r="H128" i="44"/>
  <c r="H131" i="44" s="1"/>
  <c r="I129" i="44"/>
  <c r="F128" i="44"/>
  <c r="F131" i="44" s="1"/>
  <c r="F58" i="47"/>
  <c r="G201" i="40"/>
  <c r="H63" i="40"/>
  <c r="E101" i="40"/>
  <c r="D107" i="40"/>
  <c r="D62" i="47"/>
  <c r="H82" i="37"/>
  <c r="N12" i="35"/>
  <c r="N40" i="35" s="1"/>
  <c r="N42" i="35" s="1"/>
  <c r="N46" i="35" s="1"/>
  <c r="D81" i="37"/>
  <c r="F38" i="44"/>
  <c r="G39" i="44"/>
  <c r="J44" i="44"/>
  <c r="K45" i="44"/>
  <c r="K49" i="44"/>
  <c r="K31" i="44"/>
  <c r="J41" i="44"/>
  <c r="K42" i="44"/>
  <c r="D25" i="52"/>
  <c r="H152" i="33"/>
  <c r="L152" i="33"/>
  <c r="L88" i="33"/>
  <c r="H88" i="33"/>
  <c r="H12" i="31"/>
  <c r="H180" i="33"/>
  <c r="L28" i="33"/>
  <c r="H28" i="33"/>
  <c r="H23" i="33"/>
  <c r="L23" i="33"/>
  <c r="D12" i="33"/>
  <c r="H113" i="40"/>
  <c r="E112" i="40"/>
  <c r="I22" i="43"/>
  <c r="C21" i="43"/>
  <c r="I21" i="43" s="1"/>
  <c r="F91" i="47" s="1"/>
  <c r="I20" i="58"/>
  <c r="L20" i="58" s="1"/>
  <c r="C19" i="58"/>
  <c r="I19" i="58" s="1"/>
  <c r="L19" i="58" s="1"/>
  <c r="I30" i="61"/>
  <c r="L30" i="54"/>
  <c r="L30" i="61" s="1"/>
  <c r="F16" i="61"/>
  <c r="I17" i="61"/>
  <c r="L17" i="54"/>
  <c r="L17" i="61" s="1"/>
  <c r="I29" i="61"/>
  <c r="L29" i="54"/>
  <c r="L29" i="61" s="1"/>
  <c r="J20" i="61"/>
  <c r="J19" i="54"/>
  <c r="I16" i="58"/>
  <c r="L16" i="58" s="1"/>
  <c r="M25" i="57"/>
  <c r="M17" i="57"/>
  <c r="M20" i="57"/>
  <c r="I38" i="54"/>
  <c r="C16" i="61"/>
  <c r="C28" i="61"/>
  <c r="I28" i="54"/>
  <c r="N19" i="60"/>
  <c r="F57" i="47"/>
  <c r="C56" i="47"/>
  <c r="E136" i="40"/>
  <c r="E134" i="40" s="1"/>
  <c r="E133" i="40" s="1"/>
  <c r="E82" i="37"/>
  <c r="N16" i="38"/>
  <c r="J12" i="33"/>
  <c r="L99" i="33"/>
  <c r="H99" i="33"/>
  <c r="I13" i="29"/>
  <c r="D12" i="29"/>
  <c r="F32" i="44"/>
  <c r="G33" i="44"/>
  <c r="F44" i="44"/>
  <c r="G45" i="44"/>
  <c r="J32" i="44"/>
  <c r="K33" i="44"/>
  <c r="G36" i="44"/>
  <c r="F35" i="44"/>
  <c r="L169" i="33"/>
  <c r="H53" i="29"/>
  <c r="I53" i="29"/>
  <c r="H65" i="33"/>
  <c r="L65" i="33"/>
  <c r="H195" i="33"/>
  <c r="L195" i="33"/>
  <c r="E12" i="29"/>
  <c r="H41" i="33"/>
  <c r="L41" i="33"/>
  <c r="L40" i="33"/>
  <c r="H40" i="33"/>
  <c r="H13" i="29"/>
  <c r="L27" i="33"/>
  <c r="H27" i="33"/>
  <c r="G24" i="30"/>
  <c r="J24" i="30"/>
  <c r="F59" i="47" l="1"/>
  <c r="E62" i="47"/>
  <c r="G204" i="34"/>
  <c r="G205" i="34"/>
  <c r="G12" i="34"/>
  <c r="I31" i="30"/>
  <c r="C76" i="29"/>
  <c r="F11" i="47" s="1"/>
  <c r="E26" i="52"/>
  <c r="F20" i="46"/>
  <c r="D142" i="44"/>
  <c r="D143" i="44" s="1"/>
  <c r="K31" i="30"/>
  <c r="F32" i="46"/>
  <c r="F21" i="47"/>
  <c r="L26" i="35"/>
  <c r="E44" i="51"/>
  <c r="L13" i="35"/>
  <c r="L23" i="54"/>
  <c r="L23" i="61" s="1"/>
  <c r="F69" i="47"/>
  <c r="K128" i="44"/>
  <c r="G76" i="29"/>
  <c r="F13" i="46" s="1"/>
  <c r="E42" i="54"/>
  <c r="E42" i="61" s="1"/>
  <c r="G22" i="30"/>
  <c r="D23" i="30"/>
  <c r="F18" i="46" s="1"/>
  <c r="F19" i="46"/>
  <c r="C81" i="37"/>
  <c r="K131" i="44"/>
  <c r="F31" i="30"/>
  <c r="F33" i="30" s="1"/>
  <c r="E142" i="44"/>
  <c r="E143" i="44" s="1"/>
  <c r="M12" i="35"/>
  <c r="M40" i="35" s="1"/>
  <c r="M42" i="35" s="1"/>
  <c r="M46" i="35" s="1"/>
  <c r="L35" i="35"/>
  <c r="K35" i="35"/>
  <c r="D37" i="51"/>
  <c r="F108" i="37" s="1"/>
  <c r="F17" i="46"/>
  <c r="F17" i="47"/>
  <c r="C31" i="30"/>
  <c r="C33" i="30" s="1"/>
  <c r="F31" i="46"/>
  <c r="E41" i="51"/>
  <c r="C42" i="58"/>
  <c r="I42" i="58" s="1"/>
  <c r="L42" i="58" s="1"/>
  <c r="D20" i="59" s="1"/>
  <c r="L20" i="35"/>
  <c r="E42" i="51"/>
  <c r="C84" i="37"/>
  <c r="I12" i="33"/>
  <c r="I205" i="34"/>
  <c r="I205" i="33" s="1"/>
  <c r="D42" i="54"/>
  <c r="D42" i="61" s="1"/>
  <c r="E12" i="33"/>
  <c r="N14" i="38"/>
  <c r="C206" i="33"/>
  <c r="C85" i="37"/>
  <c r="C95" i="37" s="1"/>
  <c r="E205" i="34"/>
  <c r="E205" i="33" s="1"/>
  <c r="C102" i="37"/>
  <c r="C37" i="51"/>
  <c r="F42" i="54"/>
  <c r="F42" i="61" s="1"/>
  <c r="G203" i="40"/>
  <c r="G206" i="40" s="1"/>
  <c r="M27" i="60"/>
  <c r="M24" i="60"/>
  <c r="H136" i="44"/>
  <c r="I29" i="44"/>
  <c r="D75" i="29"/>
  <c r="I75" i="29" s="1"/>
  <c r="I11" i="31"/>
  <c r="F205" i="33"/>
  <c r="F206" i="33" s="1"/>
  <c r="F137" i="44"/>
  <c r="G137" i="44" s="1"/>
  <c r="G32" i="44"/>
  <c r="H205" i="34"/>
  <c r="M19" i="60"/>
  <c r="M23" i="60"/>
  <c r="H140" i="44"/>
  <c r="I140" i="44" s="1"/>
  <c r="I41" i="44"/>
  <c r="N16" i="39"/>
  <c r="F47" i="44"/>
  <c r="G48" i="44"/>
  <c r="D27" i="52"/>
  <c r="D26" i="52"/>
  <c r="M18" i="60"/>
  <c r="M17" i="48"/>
  <c r="H139" i="44"/>
  <c r="I139" i="44" s="1"/>
  <c r="I38" i="44"/>
  <c r="D22" i="62"/>
  <c r="D22" i="56"/>
  <c r="D22" i="55"/>
  <c r="I38" i="61"/>
  <c r="L38" i="54"/>
  <c r="L38" i="61" s="1"/>
  <c r="I12" i="29"/>
  <c r="D205" i="34"/>
  <c r="H112" i="40"/>
  <c r="H143" i="40"/>
  <c r="H12" i="33"/>
  <c r="L12" i="33"/>
  <c r="J140" i="44"/>
  <c r="K140" i="44" s="1"/>
  <c r="K41" i="44"/>
  <c r="F139" i="44"/>
  <c r="G139" i="44" s="1"/>
  <c r="G38" i="44"/>
  <c r="E68" i="40"/>
  <c r="M26" i="60"/>
  <c r="M25" i="60"/>
  <c r="M28" i="60"/>
  <c r="F140" i="44"/>
  <c r="G140" i="44" s="1"/>
  <c r="G41" i="44"/>
  <c r="I19" i="38"/>
  <c r="M14" i="39"/>
  <c r="C19" i="38"/>
  <c r="G14" i="39"/>
  <c r="H138" i="44"/>
  <c r="I138" i="44" s="1"/>
  <c r="I35" i="44"/>
  <c r="J60" i="44"/>
  <c r="J59" i="44"/>
  <c r="L24" i="44"/>
  <c r="J137" i="44"/>
  <c r="K137" i="44" s="1"/>
  <c r="K32" i="44"/>
  <c r="L25" i="57"/>
  <c r="L17" i="57"/>
  <c r="L20" i="57"/>
  <c r="M16" i="57"/>
  <c r="M30" i="57" s="1"/>
  <c r="J19" i="61"/>
  <c r="J42" i="54"/>
  <c r="I128" i="44"/>
  <c r="I131" i="44"/>
  <c r="M29" i="60"/>
  <c r="L16" i="61"/>
  <c r="D68" i="40"/>
  <c r="N17" i="60"/>
  <c r="N16" i="48"/>
  <c r="F73" i="47"/>
  <c r="E23" i="41"/>
  <c r="F138" i="44"/>
  <c r="G138" i="44" s="1"/>
  <c r="G35" i="44"/>
  <c r="L28" i="54"/>
  <c r="L28" i="61" s="1"/>
  <c r="I28" i="61"/>
  <c r="H107" i="40"/>
  <c r="G107" i="40"/>
  <c r="H142" i="40" s="1"/>
  <c r="G128" i="44"/>
  <c r="G131" i="44"/>
  <c r="M22" i="60"/>
  <c r="C19" i="61"/>
  <c r="I19" i="54"/>
  <c r="C42" i="54"/>
  <c r="I16" i="61"/>
  <c r="F11" i="31"/>
  <c r="D134" i="40"/>
  <c r="D133" i="40" s="1"/>
  <c r="D44" i="51"/>
  <c r="D43" i="51"/>
  <c r="J136" i="44"/>
  <c r="K29" i="44"/>
  <c r="H137" i="44"/>
  <c r="I137" i="44" s="1"/>
  <c r="I32" i="44"/>
  <c r="H12" i="29"/>
  <c r="H11" i="31"/>
  <c r="J141" i="44"/>
  <c r="K141" i="44" s="1"/>
  <c r="K44" i="44"/>
  <c r="E76" i="29"/>
  <c r="F12" i="29"/>
  <c r="F141" i="44"/>
  <c r="G141" i="44" s="1"/>
  <c r="G44" i="44"/>
  <c r="E81" i="37"/>
  <c r="C62" i="47"/>
  <c r="F56" i="47"/>
  <c r="M21" i="60"/>
  <c r="M20" i="48"/>
  <c r="M20" i="60" s="1"/>
  <c r="I20" i="61"/>
  <c r="L20" i="54"/>
  <c r="L20" i="61" s="1"/>
  <c r="I31" i="61"/>
  <c r="L31" i="54"/>
  <c r="L31" i="61" s="1"/>
  <c r="H141" i="44"/>
  <c r="I141" i="44" s="1"/>
  <c r="I44" i="44"/>
  <c r="K48" i="44"/>
  <c r="J47" i="44"/>
  <c r="J50" i="44" s="1"/>
  <c r="J139" i="44"/>
  <c r="K139" i="44" s="1"/>
  <c r="K38" i="44"/>
  <c r="H47" i="44"/>
  <c r="I48" i="44"/>
  <c r="J138" i="44"/>
  <c r="K138" i="44" s="1"/>
  <c r="K35" i="44"/>
  <c r="F136" i="44"/>
  <c r="G29" i="44"/>
  <c r="J205" i="34"/>
  <c r="F62" i="47" l="1"/>
  <c r="C77" i="44"/>
  <c r="K205" i="34"/>
  <c r="K204" i="34"/>
  <c r="K12" i="34"/>
  <c r="C22" i="62"/>
  <c r="E51" i="47"/>
  <c r="F51" i="47" s="1"/>
  <c r="C84" i="29"/>
  <c r="C86" i="29" s="1"/>
  <c r="F11" i="46"/>
  <c r="C22" i="55"/>
  <c r="C22" i="56"/>
  <c r="G23" i="30"/>
  <c r="F13" i="47"/>
  <c r="D31" i="30"/>
  <c r="D33" i="30" s="1"/>
  <c r="J23" i="30"/>
  <c r="D42" i="51"/>
  <c r="L27" i="60"/>
  <c r="G84" i="29"/>
  <c r="K32" i="30" s="1"/>
  <c r="K33" i="30" s="1"/>
  <c r="K20" i="35"/>
  <c r="K13" i="35"/>
  <c r="F18" i="47"/>
  <c r="K26" i="35"/>
  <c r="J35" i="35"/>
  <c r="L12" i="35"/>
  <c r="L40" i="35" s="1"/>
  <c r="L42" i="35" s="1"/>
  <c r="L46" i="35" s="1"/>
  <c r="I206" i="33"/>
  <c r="L23" i="60"/>
  <c r="E206" i="33"/>
  <c r="C42" i="51"/>
  <c r="C108" i="37"/>
  <c r="C109" i="37" s="1"/>
  <c r="E52" i="47" s="1"/>
  <c r="F52" i="47" s="1"/>
  <c r="L24" i="60"/>
  <c r="L22" i="60"/>
  <c r="H146" i="40"/>
  <c r="G150" i="40" s="1"/>
  <c r="H150" i="40" s="1"/>
  <c r="L29" i="60"/>
  <c r="K50" i="44"/>
  <c r="L54" i="44"/>
  <c r="L58" i="44" s="1"/>
  <c r="L61" i="44" s="1"/>
  <c r="F25" i="46"/>
  <c r="F25" i="47"/>
  <c r="G206" i="33"/>
  <c r="G191" i="33"/>
  <c r="G185" i="33"/>
  <c r="G179" i="33"/>
  <c r="G167" i="33"/>
  <c r="G155" i="33"/>
  <c r="G149" i="33"/>
  <c r="G143" i="33"/>
  <c r="G137" i="33"/>
  <c r="G131" i="33"/>
  <c r="G119" i="33"/>
  <c r="G113" i="33"/>
  <c r="G107" i="33"/>
  <c r="G101" i="33"/>
  <c r="G95" i="33"/>
  <c r="G89" i="33"/>
  <c r="G83" i="33"/>
  <c r="G77" i="33"/>
  <c r="G59" i="33"/>
  <c r="G35" i="33"/>
  <c r="G29" i="33"/>
  <c r="G199" i="33"/>
  <c r="G183" i="33"/>
  <c r="G135" i="33"/>
  <c r="G116" i="33"/>
  <c r="G92" i="33"/>
  <c r="G86" i="33"/>
  <c r="G68" i="33"/>
  <c r="G171" i="33"/>
  <c r="G159" i="33"/>
  <c r="G141" i="33"/>
  <c r="G123" i="33"/>
  <c r="G75" i="33"/>
  <c r="G51" i="33"/>
  <c r="G15" i="33"/>
  <c r="G45" i="33"/>
  <c r="G56" i="33"/>
  <c r="G170" i="33"/>
  <c r="G158" i="33"/>
  <c r="G140" i="33"/>
  <c r="G122" i="33"/>
  <c r="G74" i="33"/>
  <c r="G50" i="33"/>
  <c r="G39" i="33"/>
  <c r="G14" i="33"/>
  <c r="G93" i="33"/>
  <c r="G44" i="33"/>
  <c r="G177" i="33"/>
  <c r="G129" i="33"/>
  <c r="G105" i="33"/>
  <c r="G63" i="33"/>
  <c r="G33" i="33"/>
  <c r="G21" i="33"/>
  <c r="G165" i="33"/>
  <c r="G111" i="33"/>
  <c r="G164" i="33"/>
  <c r="G117" i="33"/>
  <c r="G110" i="33"/>
  <c r="G69" i="33"/>
  <c r="G26" i="33"/>
  <c r="G133" i="33"/>
  <c r="G198" i="33"/>
  <c r="G102" i="33"/>
  <c r="G186" i="33"/>
  <c r="G28" i="33"/>
  <c r="G58" i="33"/>
  <c r="G91" i="33"/>
  <c r="G106" i="33"/>
  <c r="G130" i="33"/>
  <c r="G178" i="33"/>
  <c r="G36" i="33"/>
  <c r="G109" i="33"/>
  <c r="G127" i="33"/>
  <c r="G142" i="33"/>
  <c r="G42" i="33"/>
  <c r="G66" i="33"/>
  <c r="G60" i="33"/>
  <c r="G132" i="33"/>
  <c r="G80" i="33"/>
  <c r="G128" i="33"/>
  <c r="G139" i="33"/>
  <c r="G148" i="33"/>
  <c r="G104" i="33"/>
  <c r="G62" i="33"/>
  <c r="G25" i="33"/>
  <c r="G172" i="33"/>
  <c r="G203" i="33"/>
  <c r="G57" i="33"/>
  <c r="G157" i="33"/>
  <c r="G13" i="33"/>
  <c r="G64" i="33"/>
  <c r="G79" i="33"/>
  <c r="G90" i="33"/>
  <c r="G187" i="33"/>
  <c r="G70" i="33"/>
  <c r="G150" i="33"/>
  <c r="G30" i="33"/>
  <c r="G43" i="33"/>
  <c r="G146" i="33"/>
  <c r="G202" i="33"/>
  <c r="G138" i="33"/>
  <c r="G166" i="33"/>
  <c r="G118" i="33"/>
  <c r="G115" i="33"/>
  <c r="G24" i="33"/>
  <c r="G54" i="33"/>
  <c r="G87" i="33"/>
  <c r="G88" i="33"/>
  <c r="G197" i="33"/>
  <c r="G38" i="33"/>
  <c r="G193" i="33"/>
  <c r="G184" i="33"/>
  <c r="G204" i="33"/>
  <c r="G152" i="33"/>
  <c r="G100" i="33"/>
  <c r="G49" i="33"/>
  <c r="G144" i="33"/>
  <c r="G192" i="33"/>
  <c r="G71" i="33"/>
  <c r="G120" i="33"/>
  <c r="G151" i="33"/>
  <c r="G169" i="33"/>
  <c r="G156" i="33"/>
  <c r="G34" i="33"/>
  <c r="G40" i="33"/>
  <c r="G85" i="33"/>
  <c r="G162" i="33"/>
  <c r="G200" i="33"/>
  <c r="G37" i="33"/>
  <c r="G73" i="33"/>
  <c r="G103" i="33"/>
  <c r="G55" i="33"/>
  <c r="G97" i="33"/>
  <c r="G154" i="33"/>
  <c r="G190" i="33"/>
  <c r="G48" i="33"/>
  <c r="G196" i="33"/>
  <c r="G82" i="33"/>
  <c r="G176" i="33"/>
  <c r="G194" i="33"/>
  <c r="G94" i="33"/>
  <c r="G181" i="33"/>
  <c r="G98" i="33"/>
  <c r="G27" i="33"/>
  <c r="G32" i="33"/>
  <c r="G112" i="33"/>
  <c r="G121" i="33"/>
  <c r="G145" i="33"/>
  <c r="G52" i="33"/>
  <c r="G46" i="33"/>
  <c r="G67" i="33"/>
  <c r="G96" i="33"/>
  <c r="G201" i="33"/>
  <c r="G20" i="33"/>
  <c r="G114" i="33"/>
  <c r="G163" i="33"/>
  <c r="G182" i="33"/>
  <c r="G19" i="33"/>
  <c r="G31" i="33"/>
  <c r="G76" i="33"/>
  <c r="G124" i="33"/>
  <c r="G175" i="33"/>
  <c r="G136" i="33"/>
  <c r="G84" i="33"/>
  <c r="G78" i="33"/>
  <c r="G134" i="33"/>
  <c r="G16" i="33"/>
  <c r="G147" i="33"/>
  <c r="G61" i="33"/>
  <c r="G108" i="33"/>
  <c r="G22" i="33"/>
  <c r="G160" i="33"/>
  <c r="G126" i="33"/>
  <c r="G65" i="33"/>
  <c r="G72" i="33"/>
  <c r="G173" i="33"/>
  <c r="G188" i="33"/>
  <c r="G153" i="33"/>
  <c r="G47" i="33"/>
  <c r="G174" i="33"/>
  <c r="G41" i="33"/>
  <c r="G125" i="33"/>
  <c r="G189" i="33"/>
  <c r="G53" i="33"/>
  <c r="G180" i="33"/>
  <c r="G195" i="33"/>
  <c r="G18" i="33"/>
  <c r="G99" i="33"/>
  <c r="G23" i="33"/>
  <c r="G17" i="33"/>
  <c r="G81" i="33"/>
  <c r="G168" i="33"/>
  <c r="G161" i="33"/>
  <c r="D205" i="33"/>
  <c r="L205" i="34"/>
  <c r="F142" i="44"/>
  <c r="G142" i="44" s="1"/>
  <c r="G47" i="44"/>
  <c r="I20" i="38"/>
  <c r="M19" i="38"/>
  <c r="M20" i="38" s="1"/>
  <c r="M17" i="60"/>
  <c r="M16" i="48"/>
  <c r="H142" i="44"/>
  <c r="I142" i="44" s="1"/>
  <c r="I47" i="44"/>
  <c r="L26" i="60"/>
  <c r="L25" i="60"/>
  <c r="H75" i="29"/>
  <c r="F75" i="29"/>
  <c r="D76" i="29"/>
  <c r="F76" i="29" s="1"/>
  <c r="H50" i="44"/>
  <c r="F50" i="44"/>
  <c r="K136" i="44"/>
  <c r="C42" i="61"/>
  <c r="I42" i="54"/>
  <c r="L19" i="60"/>
  <c r="L16" i="57"/>
  <c r="L30" i="57" s="1"/>
  <c r="D26" i="62"/>
  <c r="D26" i="56"/>
  <c r="D26" i="55"/>
  <c r="K25" i="57"/>
  <c r="K17" i="57"/>
  <c r="K20" i="57"/>
  <c r="J205" i="33"/>
  <c r="L28" i="60"/>
  <c r="J42" i="61"/>
  <c r="C36" i="62" s="1"/>
  <c r="C36" i="56"/>
  <c r="L81" i="44"/>
  <c r="G136" i="44"/>
  <c r="C23" i="62"/>
  <c r="C23" i="55"/>
  <c r="C23" i="56"/>
  <c r="I19" i="61"/>
  <c r="L19" i="54"/>
  <c r="L19" i="61" s="1"/>
  <c r="L21" i="60"/>
  <c r="L20" i="48"/>
  <c r="L20" i="60" s="1"/>
  <c r="N16" i="60"/>
  <c r="N33" i="48"/>
  <c r="N30" i="60" s="1"/>
  <c r="N14" i="39"/>
  <c r="C27" i="62"/>
  <c r="C27" i="56"/>
  <c r="C27" i="55"/>
  <c r="D28" i="52"/>
  <c r="G205" i="33"/>
  <c r="I136" i="44"/>
  <c r="E84" i="29"/>
  <c r="J142" i="44"/>
  <c r="K142" i="44" s="1"/>
  <c r="K47" i="44"/>
  <c r="L18" i="60"/>
  <c r="L17" i="48"/>
  <c r="G19" i="38"/>
  <c r="C20" i="38"/>
  <c r="G12" i="33"/>
  <c r="I32" i="30" l="1"/>
  <c r="I33" i="30" s="1"/>
  <c r="J31" i="30"/>
  <c r="J33" i="30" s="1"/>
  <c r="G31" i="30"/>
  <c r="G33" i="30" s="1"/>
  <c r="G85" i="29"/>
  <c r="G86" i="29" s="1"/>
  <c r="J20" i="35"/>
  <c r="J26" i="35"/>
  <c r="J13" i="35"/>
  <c r="K12" i="35"/>
  <c r="K40" i="35" s="1"/>
  <c r="K42" i="35" s="1"/>
  <c r="K46" i="35" s="1"/>
  <c r="F143" i="44"/>
  <c r="G143" i="44" s="1"/>
  <c r="D30" i="46"/>
  <c r="C121" i="37"/>
  <c r="C123" i="37" s="1"/>
  <c r="H143" i="44"/>
  <c r="I143" i="44" s="1"/>
  <c r="D66" i="47"/>
  <c r="K24" i="60"/>
  <c r="J143" i="44"/>
  <c r="K143" i="44" s="1"/>
  <c r="K27" i="60"/>
  <c r="K29" i="60"/>
  <c r="L205" i="33"/>
  <c r="L206" i="33" s="1"/>
  <c r="H205" i="33"/>
  <c r="H206" i="33" s="1"/>
  <c r="D206" i="33"/>
  <c r="J25" i="57"/>
  <c r="J17" i="57"/>
  <c r="J20" i="57"/>
  <c r="G50" i="44"/>
  <c r="J54" i="44"/>
  <c r="F66" i="47"/>
  <c r="F30" i="46"/>
  <c r="K28" i="60"/>
  <c r="K21" i="60"/>
  <c r="K20" i="48"/>
  <c r="K20" i="60" s="1"/>
  <c r="M16" i="60"/>
  <c r="M33" i="48"/>
  <c r="M30" i="60" s="1"/>
  <c r="K18" i="60"/>
  <c r="K17" i="48"/>
  <c r="I50" i="44"/>
  <c r="K54" i="44"/>
  <c r="K58" i="44" s="1"/>
  <c r="K22" i="60"/>
  <c r="K26" i="60"/>
  <c r="K25" i="60"/>
  <c r="N19" i="38"/>
  <c r="N20" i="38" s="1"/>
  <c r="G20" i="38"/>
  <c r="J206" i="33"/>
  <c r="I42" i="61"/>
  <c r="L42" i="54"/>
  <c r="L17" i="60"/>
  <c r="L16" i="48"/>
  <c r="E86" i="29"/>
  <c r="J81" i="44"/>
  <c r="L80" i="44"/>
  <c r="K16" i="57"/>
  <c r="K30" i="57" s="1"/>
  <c r="F12" i="46"/>
  <c r="F12" i="47"/>
  <c r="I76" i="29"/>
  <c r="D84" i="29"/>
  <c r="H76" i="29"/>
  <c r="K23" i="60"/>
  <c r="K19" i="60"/>
  <c r="F22" i="46" l="1"/>
  <c r="F22" i="47"/>
  <c r="I26" i="35"/>
  <c r="I13" i="35"/>
  <c r="I35" i="35"/>
  <c r="H85" i="29"/>
  <c r="F14" i="47"/>
  <c r="F14" i="46"/>
  <c r="I20" i="35"/>
  <c r="J12" i="35"/>
  <c r="J40" i="35" s="1"/>
  <c r="J42" i="35" s="1"/>
  <c r="J46" i="35" s="1"/>
  <c r="J23" i="60"/>
  <c r="J24" i="60"/>
  <c r="J29" i="60"/>
  <c r="J22" i="60"/>
  <c r="J19" i="60"/>
  <c r="J26" i="60"/>
  <c r="J25" i="60"/>
  <c r="L16" i="60"/>
  <c r="L33" i="48"/>
  <c r="L30" i="60" s="1"/>
  <c r="J28" i="60"/>
  <c r="J27" i="60"/>
  <c r="J58" i="44"/>
  <c r="F77" i="44"/>
  <c r="J16" i="57"/>
  <c r="J30" i="57" s="1"/>
  <c r="J80" i="44"/>
  <c r="L79" i="44"/>
  <c r="J21" i="60"/>
  <c r="J20" i="48"/>
  <c r="J20" i="60" s="1"/>
  <c r="D36" i="56"/>
  <c r="L42" i="61"/>
  <c r="D36" i="62" s="1"/>
  <c r="D37" i="46"/>
  <c r="K61" i="44"/>
  <c r="J62" i="44" s="1"/>
  <c r="L69" i="44" s="1"/>
  <c r="K63" i="44"/>
  <c r="D95" i="47"/>
  <c r="D77" i="44"/>
  <c r="E77" i="44" s="1"/>
  <c r="L77" i="44" s="1"/>
  <c r="I20" i="57"/>
  <c r="I25" i="57"/>
  <c r="I17" i="57"/>
  <c r="J18" i="60"/>
  <c r="J17" i="48"/>
  <c r="F26" i="46"/>
  <c r="F26" i="47"/>
  <c r="K197" i="33"/>
  <c r="K200" i="33"/>
  <c r="K183" i="33"/>
  <c r="K177" i="33"/>
  <c r="K171" i="33"/>
  <c r="K165" i="33"/>
  <c r="K159" i="33"/>
  <c r="K141" i="33"/>
  <c r="K135" i="33"/>
  <c r="K129" i="33"/>
  <c r="K123" i="33"/>
  <c r="K117" i="33"/>
  <c r="K111" i="33"/>
  <c r="K105" i="33"/>
  <c r="K93" i="33"/>
  <c r="K75" i="33"/>
  <c r="K69" i="33"/>
  <c r="K63" i="33"/>
  <c r="K51" i="33"/>
  <c r="K45" i="33"/>
  <c r="K39" i="33"/>
  <c r="K33" i="33"/>
  <c r="K21" i="33"/>
  <c r="K15" i="33"/>
  <c r="K199" i="33"/>
  <c r="K187" i="33"/>
  <c r="K180" i="33"/>
  <c r="K162" i="33"/>
  <c r="K96" i="33"/>
  <c r="K91" i="33"/>
  <c r="K85" i="33"/>
  <c r="K67" i="33"/>
  <c r="K54" i="33"/>
  <c r="K42" i="33"/>
  <c r="K24" i="33"/>
  <c r="K193" i="33"/>
  <c r="K151" i="33"/>
  <c r="K145" i="33"/>
  <c r="K139" i="33"/>
  <c r="K79" i="33"/>
  <c r="K127" i="33"/>
  <c r="K31" i="33"/>
  <c r="K114" i="33"/>
  <c r="K60" i="33"/>
  <c r="K192" i="33"/>
  <c r="K157" i="33"/>
  <c r="K150" i="33"/>
  <c r="K144" i="33"/>
  <c r="K78" i="33"/>
  <c r="K73" i="33"/>
  <c r="K49" i="33"/>
  <c r="K61" i="33"/>
  <c r="K19" i="33"/>
  <c r="K202" i="33"/>
  <c r="K163" i="33"/>
  <c r="K126" i="33"/>
  <c r="K97" i="33"/>
  <c r="K55" i="33"/>
  <c r="K25" i="33"/>
  <c r="K37" i="33"/>
  <c r="K206" i="33"/>
  <c r="K196" i="33"/>
  <c r="K175" i="33"/>
  <c r="K109" i="33"/>
  <c r="K174" i="33"/>
  <c r="K115" i="33"/>
  <c r="K43" i="33"/>
  <c r="K30" i="33"/>
  <c r="K18" i="33"/>
  <c r="K133" i="33"/>
  <c r="K84" i="33"/>
  <c r="K90" i="33"/>
  <c r="K186" i="33"/>
  <c r="K56" i="33"/>
  <c r="K155" i="33"/>
  <c r="K20" i="33"/>
  <c r="K62" i="33"/>
  <c r="K77" i="33"/>
  <c r="K124" i="33"/>
  <c r="K149" i="33"/>
  <c r="K176" i="33"/>
  <c r="K68" i="33"/>
  <c r="K116" i="33"/>
  <c r="K87" i="33"/>
  <c r="K136" i="33"/>
  <c r="K185" i="33"/>
  <c r="K14" i="33"/>
  <c r="K46" i="33"/>
  <c r="K53" i="33"/>
  <c r="K94" i="33"/>
  <c r="K119" i="33"/>
  <c r="K140" i="33"/>
  <c r="K76" i="33"/>
  <c r="K172" i="33"/>
  <c r="K101" i="33"/>
  <c r="K50" i="33"/>
  <c r="K118" i="33"/>
  <c r="K146" i="33"/>
  <c r="K132" i="33"/>
  <c r="K102" i="33"/>
  <c r="K138" i="33"/>
  <c r="K34" i="33"/>
  <c r="K147" i="33"/>
  <c r="K44" i="33"/>
  <c r="K103" i="33"/>
  <c r="K128" i="33"/>
  <c r="K142" i="33"/>
  <c r="K52" i="33"/>
  <c r="K38" i="33"/>
  <c r="K83" i="33"/>
  <c r="K137" i="33"/>
  <c r="K57" i="33"/>
  <c r="K70" i="33"/>
  <c r="K95" i="33"/>
  <c r="K158" i="33"/>
  <c r="K170" i="33"/>
  <c r="K29" i="33"/>
  <c r="K112" i="33"/>
  <c r="K182" i="33"/>
  <c r="K201" i="33"/>
  <c r="K198" i="33"/>
  <c r="K190" i="33"/>
  <c r="K36" i="33"/>
  <c r="K89" i="33"/>
  <c r="K82" i="33"/>
  <c r="K16" i="33"/>
  <c r="K92" i="33"/>
  <c r="K164" i="33"/>
  <c r="K41" i="33"/>
  <c r="K108" i="33"/>
  <c r="K156" i="33"/>
  <c r="K35" i="33"/>
  <c r="K130" i="33"/>
  <c r="K26" i="33"/>
  <c r="K104" i="33"/>
  <c r="K143" i="33"/>
  <c r="K131" i="33"/>
  <c r="K65" i="33"/>
  <c r="K154" i="33"/>
  <c r="K74" i="33"/>
  <c r="K122" i="33"/>
  <c r="K161" i="33"/>
  <c r="K204" i="33"/>
  <c r="K113" i="33"/>
  <c r="K100" i="33"/>
  <c r="K66" i="33"/>
  <c r="K125" i="33"/>
  <c r="K32" i="33"/>
  <c r="K106" i="33"/>
  <c r="K107" i="33"/>
  <c r="K168" i="33"/>
  <c r="K120" i="33"/>
  <c r="K195" i="33"/>
  <c r="K173" i="33"/>
  <c r="K48" i="33"/>
  <c r="K194" i="33"/>
  <c r="K86" i="33"/>
  <c r="K110" i="33"/>
  <c r="K23" i="33"/>
  <c r="K80" i="33"/>
  <c r="K59" i="33"/>
  <c r="K166" i="33"/>
  <c r="K203" i="33"/>
  <c r="K17" i="33"/>
  <c r="K191" i="33"/>
  <c r="K167" i="33"/>
  <c r="K72" i="33"/>
  <c r="K178" i="33"/>
  <c r="K184" i="33"/>
  <c r="K179" i="33"/>
  <c r="K27" i="33"/>
  <c r="K22" i="33"/>
  <c r="K134" i="33"/>
  <c r="K181" i="33"/>
  <c r="K153" i="33"/>
  <c r="K99" i="33"/>
  <c r="K160" i="33"/>
  <c r="K81" i="33"/>
  <c r="K88" i="33"/>
  <c r="K47" i="33"/>
  <c r="K169" i="33"/>
  <c r="K40" i="33"/>
  <c r="K188" i="33"/>
  <c r="K71" i="33"/>
  <c r="K13" i="33"/>
  <c r="K28" i="33"/>
  <c r="K189" i="33"/>
  <c r="K152" i="33"/>
  <c r="K98" i="33"/>
  <c r="K64" i="33"/>
  <c r="K148" i="33"/>
  <c r="K121" i="33"/>
  <c r="K58" i="33"/>
  <c r="K12" i="33"/>
  <c r="K17" i="60"/>
  <c r="K16" i="48"/>
  <c r="D86" i="29"/>
  <c r="I84" i="29"/>
  <c r="H84" i="29"/>
  <c r="K205" i="33"/>
  <c r="F84" i="29"/>
  <c r="I23" i="60" l="1"/>
  <c r="I29" i="60"/>
  <c r="H13" i="35"/>
  <c r="H26" i="35"/>
  <c r="H35" i="35"/>
  <c r="H20" i="35"/>
  <c r="I12" i="35"/>
  <c r="I40" i="35" s="1"/>
  <c r="I42" i="35" s="1"/>
  <c r="I46" i="35" s="1"/>
  <c r="I22" i="60"/>
  <c r="I19" i="60"/>
  <c r="I27" i="60"/>
  <c r="I28" i="60"/>
  <c r="H20" i="57"/>
  <c r="H25" i="57"/>
  <c r="H17" i="57"/>
  <c r="L78" i="44"/>
  <c r="L83" i="44" s="1"/>
  <c r="L85" i="44" s="1"/>
  <c r="H91" i="44" s="1"/>
  <c r="J79" i="44"/>
  <c r="I24" i="60"/>
  <c r="J17" i="60"/>
  <c r="J16" i="48"/>
  <c r="I21" i="60"/>
  <c r="I20" i="48"/>
  <c r="I20" i="60" s="1"/>
  <c r="I26" i="60"/>
  <c r="I25" i="60"/>
  <c r="H77" i="44"/>
  <c r="J77" i="44"/>
  <c r="I86" i="29"/>
  <c r="H86" i="29"/>
  <c r="I18" i="60"/>
  <c r="I17" i="48"/>
  <c r="I16" i="57"/>
  <c r="I30" i="57" s="1"/>
  <c r="F95" i="47"/>
  <c r="F37" i="46"/>
  <c r="J61" i="44"/>
  <c r="J63" i="44"/>
  <c r="K16" i="60"/>
  <c r="K33" i="48"/>
  <c r="K30" i="60" s="1"/>
  <c r="F86" i="29"/>
  <c r="G26" i="35" l="1"/>
  <c r="G35" i="35"/>
  <c r="G20" i="35"/>
  <c r="G13" i="35"/>
  <c r="H12" i="35"/>
  <c r="H40" i="35" s="1"/>
  <c r="H42" i="35" s="1"/>
  <c r="H46" i="35" s="1"/>
  <c r="H29" i="60"/>
  <c r="H28" i="60"/>
  <c r="H23" i="60"/>
  <c r="J78" i="44"/>
  <c r="H27" i="60"/>
  <c r="H19" i="60"/>
  <c r="H22" i="60"/>
  <c r="J16" i="60"/>
  <c r="J33" i="48"/>
  <c r="J30" i="60" s="1"/>
  <c r="H21" i="60"/>
  <c r="H20" i="48"/>
  <c r="H20" i="60" s="1"/>
  <c r="H24" i="60"/>
  <c r="H26" i="60"/>
  <c r="H25" i="60"/>
  <c r="H16" i="57"/>
  <c r="H30" i="57" s="1"/>
  <c r="H94" i="44"/>
  <c r="L94" i="44" s="1"/>
  <c r="L91" i="44"/>
  <c r="H18" i="60"/>
  <c r="H17" i="48"/>
  <c r="G17" i="57"/>
  <c r="G20" i="57"/>
  <c r="G25" i="57"/>
  <c r="I17" i="60"/>
  <c r="I16" i="48"/>
  <c r="G19" i="60" l="1"/>
  <c r="G12" i="35"/>
  <c r="G40" i="35" s="1"/>
  <c r="G42" i="35" s="1"/>
  <c r="G46" i="35" s="1"/>
  <c r="F26" i="35"/>
  <c r="F35" i="35"/>
  <c r="F13" i="35"/>
  <c r="F20" i="35"/>
  <c r="G27" i="60"/>
  <c r="G22" i="60"/>
  <c r="G24" i="60"/>
  <c r="G16" i="57"/>
  <c r="G30" i="57" s="1"/>
  <c r="G29" i="60"/>
  <c r="G28" i="60"/>
  <c r="G25" i="60"/>
  <c r="G26" i="60"/>
  <c r="G18" i="60"/>
  <c r="G17" i="48"/>
  <c r="G23" i="60"/>
  <c r="I16" i="60"/>
  <c r="I33" i="48"/>
  <c r="I30" i="60" s="1"/>
  <c r="G21" i="60"/>
  <c r="G20" i="48"/>
  <c r="G20" i="60" s="1"/>
  <c r="H17" i="60"/>
  <c r="H16" i="48"/>
  <c r="F25" i="57"/>
  <c r="F17" i="57"/>
  <c r="F20" i="57"/>
  <c r="D35" i="35" l="1"/>
  <c r="E26" i="35"/>
  <c r="F12" i="35"/>
  <c r="F40" i="35" s="1"/>
  <c r="F42" i="35" s="1"/>
  <c r="F46" i="35" s="1"/>
  <c r="E35" i="35"/>
  <c r="E13" i="35"/>
  <c r="E20" i="35"/>
  <c r="F27" i="60"/>
  <c r="F29" i="60"/>
  <c r="F21" i="60"/>
  <c r="F20" i="48"/>
  <c r="F20" i="60" s="1"/>
  <c r="F19" i="60"/>
  <c r="F22" i="60"/>
  <c r="F18" i="60"/>
  <c r="F17" i="48"/>
  <c r="E25" i="57"/>
  <c r="E17" i="57"/>
  <c r="E20" i="57"/>
  <c r="F23" i="60"/>
  <c r="G17" i="60"/>
  <c r="G16" i="48"/>
  <c r="F28" i="60"/>
  <c r="F26" i="60"/>
  <c r="F25" i="60"/>
  <c r="F16" i="57"/>
  <c r="F30" i="57" s="1"/>
  <c r="H16" i="60"/>
  <c r="H33" i="48"/>
  <c r="H30" i="60" s="1"/>
  <c r="F24" i="60"/>
  <c r="O28" i="35" l="1"/>
  <c r="D26" i="35"/>
  <c r="D13" i="35"/>
  <c r="D20" i="35"/>
  <c r="E12" i="35"/>
  <c r="E40" i="35" s="1"/>
  <c r="E42" i="35" s="1"/>
  <c r="E46" i="35" s="1"/>
  <c r="E29" i="60"/>
  <c r="E23" i="60"/>
  <c r="G16" i="60"/>
  <c r="G33" i="48"/>
  <c r="G30" i="60" s="1"/>
  <c r="E18" i="60"/>
  <c r="E17" i="48"/>
  <c r="F17" i="60"/>
  <c r="F16" i="48"/>
  <c r="E27" i="60"/>
  <c r="E19" i="60"/>
  <c r="E16" i="57"/>
  <c r="E30" i="57" s="1"/>
  <c r="E26" i="60"/>
  <c r="E25" i="60"/>
  <c r="D25" i="57"/>
  <c r="D17" i="57"/>
  <c r="D20" i="57"/>
  <c r="E28" i="60"/>
  <c r="E24" i="60"/>
  <c r="E22" i="60"/>
  <c r="E20" i="48"/>
  <c r="E20" i="60" s="1"/>
  <c r="E21" i="60"/>
  <c r="O39" i="35" l="1"/>
  <c r="O17" i="35"/>
  <c r="O30" i="35"/>
  <c r="O22" i="35"/>
  <c r="O36" i="35"/>
  <c r="O15" i="35"/>
  <c r="O31" i="35"/>
  <c r="O33" i="35"/>
  <c r="O32" i="35"/>
  <c r="O18" i="35"/>
  <c r="O29" i="35"/>
  <c r="O43" i="35"/>
  <c r="K35" i="60" s="1"/>
  <c r="C26" i="35"/>
  <c r="O26" i="35" s="1"/>
  <c r="O16" i="35"/>
  <c r="O34" i="35"/>
  <c r="O14" i="35"/>
  <c r="O38" i="35"/>
  <c r="O19" i="35"/>
  <c r="O37" i="35"/>
  <c r="O21" i="35"/>
  <c r="O41" i="35"/>
  <c r="C35" i="53" s="1"/>
  <c r="D12" i="35"/>
  <c r="D40" i="35" s="1"/>
  <c r="D42" i="35" s="1"/>
  <c r="D46" i="35" s="1"/>
  <c r="D29" i="60"/>
  <c r="D22" i="60"/>
  <c r="D23" i="60"/>
  <c r="D27" i="60"/>
  <c r="D16" i="57"/>
  <c r="D30" i="57" s="1"/>
  <c r="D24" i="60"/>
  <c r="F16" i="60"/>
  <c r="F33" i="48"/>
  <c r="F30" i="60" s="1"/>
  <c r="D28" i="60"/>
  <c r="D18" i="60"/>
  <c r="D17" i="48"/>
  <c r="D21" i="60"/>
  <c r="D20" i="48"/>
  <c r="D20" i="60" s="1"/>
  <c r="D19" i="60"/>
  <c r="E17" i="60"/>
  <c r="E16" i="48"/>
  <c r="O27" i="57"/>
  <c r="O29" i="57"/>
  <c r="O24" i="57"/>
  <c r="O19" i="57"/>
  <c r="O23" i="57"/>
  <c r="O22" i="57"/>
  <c r="O28" i="57"/>
  <c r="D26" i="60"/>
  <c r="D25" i="60"/>
  <c r="C13" i="35" l="1"/>
  <c r="O13" i="35" s="1"/>
  <c r="C35" i="35"/>
  <c r="O35" i="35" s="1"/>
  <c r="O27" i="35"/>
  <c r="K38" i="48"/>
  <c r="K35" i="57"/>
  <c r="K34" i="57"/>
  <c r="C20" i="35"/>
  <c r="O20" i="35" s="1"/>
  <c r="K34" i="60"/>
  <c r="K37" i="48"/>
  <c r="C22" i="60"/>
  <c r="O22" i="48"/>
  <c r="O22" i="60" s="1"/>
  <c r="E16" i="60"/>
  <c r="E33" i="48"/>
  <c r="E30" i="60" s="1"/>
  <c r="C23" i="60"/>
  <c r="O23" i="48"/>
  <c r="O23" i="60" s="1"/>
  <c r="C18" i="60"/>
  <c r="O18" i="48"/>
  <c r="C17" i="48"/>
  <c r="C24" i="60"/>
  <c r="O24" i="48"/>
  <c r="O24" i="60" s="1"/>
  <c r="C19" i="60"/>
  <c r="O19" i="48"/>
  <c r="O19" i="60" s="1"/>
  <c r="C28" i="60"/>
  <c r="O28" i="48"/>
  <c r="O28" i="60" s="1"/>
  <c r="C25" i="57"/>
  <c r="O25" i="57" s="1"/>
  <c r="O26" i="57"/>
  <c r="C27" i="60"/>
  <c r="O27" i="48"/>
  <c r="O27" i="60" s="1"/>
  <c r="O21" i="57"/>
  <c r="C20" i="57"/>
  <c r="O20" i="57" s="1"/>
  <c r="D17" i="60"/>
  <c r="D16" i="48"/>
  <c r="C21" i="60"/>
  <c r="O21" i="48"/>
  <c r="C20" i="48"/>
  <c r="C17" i="57"/>
  <c r="O18" i="57"/>
  <c r="C29" i="60"/>
  <c r="O29" i="48"/>
  <c r="O29" i="60" s="1"/>
  <c r="C26" i="60"/>
  <c r="O26" i="48"/>
  <c r="C12" i="35" l="1"/>
  <c r="C40" i="35" s="1"/>
  <c r="O21" i="60"/>
  <c r="O18" i="60"/>
  <c r="O26" i="60"/>
  <c r="C17" i="60"/>
  <c r="O17" i="48"/>
  <c r="C16" i="48"/>
  <c r="C25" i="60"/>
  <c r="O25" i="48"/>
  <c r="O25" i="60" s="1"/>
  <c r="O17" i="57"/>
  <c r="C16" i="57"/>
  <c r="C20" i="60"/>
  <c r="O20" i="48"/>
  <c r="O20" i="60" s="1"/>
  <c r="D16" i="60"/>
  <c r="D33" i="48"/>
  <c r="D30" i="60" s="1"/>
  <c r="O12" i="35" l="1"/>
  <c r="C16" i="60"/>
  <c r="O16" i="48"/>
  <c r="C33" i="48"/>
  <c r="C30" i="57"/>
  <c r="O30" i="57" s="1"/>
  <c r="K39" i="57" s="1"/>
  <c r="O16" i="57"/>
  <c r="O40" i="35"/>
  <c r="C42" i="35"/>
  <c r="C46" i="35" s="1"/>
  <c r="O17" i="60"/>
  <c r="O16" i="60" l="1"/>
  <c r="C14" i="59"/>
  <c r="C30" i="60"/>
  <c r="O33" i="48"/>
  <c r="O46" i="35"/>
  <c r="O42" i="35"/>
  <c r="K33" i="60"/>
  <c r="K36" i="60" s="1"/>
  <c r="D11" i="62"/>
  <c r="D11" i="56"/>
  <c r="K33" i="57"/>
  <c r="K38" i="57" s="1"/>
  <c r="D11" i="55"/>
  <c r="C34" i="53"/>
  <c r="C36" i="53" s="1"/>
  <c r="K36" i="48"/>
  <c r="K41" i="48" s="1"/>
  <c r="F29" i="47"/>
  <c r="K41" i="57" l="1"/>
  <c r="C16" i="59" s="1"/>
  <c r="K42" i="57"/>
  <c r="C17" i="59" s="1"/>
  <c r="K40" i="57"/>
  <c r="C15" i="59" s="1"/>
  <c r="O30" i="60"/>
  <c r="K37" i="60" s="1"/>
  <c r="K42" i="48"/>
  <c r="O39" i="57"/>
  <c r="D14" i="59" s="1"/>
  <c r="K43" i="48"/>
  <c r="K44" i="48"/>
  <c r="K45" i="48"/>
  <c r="K39" i="60"/>
  <c r="C18" i="62" s="1"/>
  <c r="K40" i="60"/>
  <c r="C19" i="62" s="1"/>
  <c r="K38" i="60"/>
  <c r="C17" i="62" s="1"/>
  <c r="D41" i="53"/>
  <c r="C39" i="53"/>
  <c r="C42" i="53"/>
  <c r="D37" i="53"/>
  <c r="D38" i="53"/>
  <c r="D12" i="62"/>
  <c r="C33" i="62" s="1"/>
  <c r="D12" i="55"/>
  <c r="C33" i="55" s="1"/>
  <c r="D12" i="56"/>
  <c r="C33" i="56" s="1"/>
  <c r="F30" i="47"/>
  <c r="D13" i="62"/>
  <c r="D11" i="59"/>
  <c r="D13" i="55"/>
  <c r="D13" i="56"/>
  <c r="F31" i="47"/>
  <c r="C32" i="62" l="1"/>
  <c r="C32" i="56"/>
  <c r="C32" i="55"/>
  <c r="C31" i="62"/>
  <c r="C31" i="55"/>
  <c r="C31" i="56"/>
  <c r="D39" i="53"/>
  <c r="C40" i="53"/>
  <c r="D40" i="53" s="1"/>
  <c r="C18" i="55"/>
  <c r="C18" i="56"/>
  <c r="C17" i="56"/>
  <c r="C17" i="55"/>
  <c r="D30" i="62"/>
  <c r="D30" i="55"/>
  <c r="D30" i="56"/>
  <c r="C16" i="56"/>
  <c r="C16" i="55"/>
  <c r="O42" i="48"/>
  <c r="C16" i="62"/>
  <c r="O37" i="60"/>
  <c r="C19" i="56"/>
  <c r="C19" i="55"/>
  <c r="D31" i="62" l="1"/>
  <c r="D31" i="56"/>
  <c r="D31" i="55"/>
  <c r="D16" i="62"/>
  <c r="D16" i="56"/>
  <c r="D16" i="55"/>
</calcChain>
</file>

<file path=xl/sharedStrings.xml><?xml version="1.0" encoding="utf-8"?>
<sst xmlns="http://schemas.openxmlformats.org/spreadsheetml/2006/main" count="3178" uniqueCount="1325">
  <si>
    <t>Parâmetro</t>
  </si>
  <si>
    <t>Valor calculado</t>
  </si>
  <si>
    <t>Bimestre</t>
  </si>
  <si>
    <t>Bimestre: mês de início</t>
  </si>
  <si>
    <t>Bimestre: mês de fim</t>
  </si>
  <si>
    <t>Bimestre: data de início</t>
  </si>
  <si>
    <t>Bimestre: data de fim</t>
  </si>
  <si>
    <t>1º Quadrimestre: início</t>
  </si>
  <si>
    <t>1º Quadrimestre: fim</t>
  </si>
  <si>
    <t>RCL 1º semestre</t>
  </si>
  <si>
    <t>Transferências obrigatórias da União relativas às emendas individuais (art. 166-A, § 1º, da CF) - 1º semestre</t>
  </si>
  <si>
    <t>RCL 2º semestre</t>
  </si>
  <si>
    <t>Transferências obrigatórias da União relativas às emendas individuais (art. 166-A, § 1º, da CF) - 2º semestre</t>
  </si>
  <si>
    <t>Valor</t>
  </si>
  <si>
    <t>Ente</t>
  </si>
  <si>
    <t>Município de Independência - RS</t>
  </si>
  <si>
    <t>Data-base</t>
  </si>
  <si>
    <t>Fonte</t>
  </si>
  <si>
    <t>Sistema MS Excel + SIAPC/PAD, Unidade Responsável: Secretaria da Fazenda / Setor de Contabilidade</t>
  </si>
  <si>
    <t>Nome Prefeito</t>
  </si>
  <si>
    <t>JOÃO EDÉCIO GRAEF</t>
  </si>
  <si>
    <t>Cargo Prefeito</t>
  </si>
  <si>
    <t>Prefeito Municipal</t>
  </si>
  <si>
    <t>Nome Secretário</t>
  </si>
  <si>
    <t>ANA PAULA RODRIGUES SCHNEIDER SCHMIDT</t>
  </si>
  <si>
    <t>Cargo Secretário</t>
  </si>
  <si>
    <t>Secretária da Fazenda</t>
  </si>
  <si>
    <t>Nome Controle Interno</t>
  </si>
  <si>
    <t>JEAN LENON CORO MONTEIRO</t>
  </si>
  <si>
    <t>Cargo Controle Interno</t>
  </si>
  <si>
    <t>Controlador Interno</t>
  </si>
  <si>
    <t>Nome Contador</t>
  </si>
  <si>
    <t>EVERTON DA ROSA</t>
  </si>
  <si>
    <t>Cargo Contador</t>
  </si>
  <si>
    <t>Contador</t>
  </si>
  <si>
    <t>CRC Contador</t>
  </si>
  <si>
    <t>076595/O-3</t>
  </si>
  <si>
    <t>Nome Presidente da Câmara</t>
  </si>
  <si>
    <t>HENRIQUE LUIZ GRESELE SZARESKI</t>
  </si>
  <si>
    <t>Cargo Presidente da Câmara</t>
  </si>
  <si>
    <t>Presidente da Câmara de Vereadores</t>
  </si>
  <si>
    <t>Mínimo de MDE</t>
  </si>
  <si>
    <t>Mínimo de ASPS</t>
  </si>
  <si>
    <t>Mínimo do FUNDEB aplicável em remuneração</t>
  </si>
  <si>
    <t>Máximo de superávit do FUNDEB</t>
  </si>
  <si>
    <t>Ação orçamentária dos inativos e pensionistas do Legislativo (ano corrente)</t>
  </si>
  <si>
    <t>Ação orçamentária dos inativos e pensionistas do Legislativo (ano anterior)</t>
  </si>
  <si>
    <t>Limite de garantias definido pelo senado federal</t>
  </si>
  <si>
    <t>Limite das operações de crédito definido pelo senado federal</t>
  </si>
  <si>
    <t>Anexo</t>
  </si>
  <si>
    <t>Especificação</t>
  </si>
  <si>
    <t>RREO A8</t>
  </si>
  <si>
    <t>FUNDEB superávit ano anterior superávit permitido: impostos</t>
  </si>
  <si>
    <t>FUNDEB superávit ano anterior superávit permitido: VAAF+VAAT+VAAR</t>
  </si>
  <si>
    <t>FUNDEB superávit anterior não aplicado: impostos</t>
  </si>
  <si>
    <t>FUNDEB superávit anterior não aplicado: VAAF+VAAT+VAAR</t>
  </si>
  <si>
    <t>MDE Rateio Creche</t>
  </si>
  <si>
    <t>RREO A12</t>
  </si>
  <si>
    <t>Restos a Pagar Não Processados Inscritos Indevidamente no Exercício sem Disponibilidade Financeira - ASPS: empenhado</t>
  </si>
  <si>
    <t>Restos a Pagar Não Processados Inscritos Indevidamente no Exercício sem Disponibilidade Financeira - ASPS: liquidado</t>
  </si>
  <si>
    <t>Restos a Pagar Não Processados Inscritos Indevidamente no Exercício sem Disponibilidade Financeira - ASPS: pago</t>
  </si>
  <si>
    <t>Diferença de limite não cumprido em 2022 (saldo inicial igual ao saldo final do demonstrativo do exercício anterior): XIXd do ano anterior</t>
  </si>
  <si>
    <t>RGF A2</t>
  </si>
  <si>
    <t>RCL ano anterior</t>
  </si>
  <si>
    <t>Transferências obrigatórias da União relativas às emendas individuais (art. 166-A, § 1º, da CF) - ano anterior</t>
  </si>
  <si>
    <t>RREO A6</t>
  </si>
  <si>
    <t>Meta fixada no Anexo de Metas Fiscais da LDO para o exercício de referência¹</t>
  </si>
  <si>
    <t>RREO A10</t>
  </si>
  <si>
    <t>Data da Avaliação Atuarial</t>
  </si>
  <si>
    <t>Hipóteses da Avaliação Atuarial</t>
  </si>
  <si>
    <t>RREO A11</t>
  </si>
  <si>
    <t>Saldo financeiro do exercício anterior - alienação de ativos</t>
  </si>
  <si>
    <t>Receita de Rendimentos de Aplicações Financeiras - previsão atualizada</t>
  </si>
  <si>
    <t>Receita de Rendimentos de Aplicações Financeiras - receita realizada</t>
  </si>
  <si>
    <t>Consórcio</t>
  </si>
  <si>
    <t>Função</t>
  </si>
  <si>
    <t>Subfunção</t>
  </si>
  <si>
    <t>NDO</t>
  </si>
  <si>
    <t>Empenhado</t>
  </si>
  <si>
    <t>Liquidado</t>
  </si>
  <si>
    <t>Pago</t>
  </si>
  <si>
    <t>Rubrica</t>
  </si>
  <si>
    <t>Ano</t>
  </si>
  <si>
    <t>Mês</t>
  </si>
  <si>
    <t>NDO textual</t>
  </si>
  <si>
    <t>COFRON</t>
  </si>
  <si>
    <t>EXERCÍCIO DO EMPENHO²</t>
  </si>
  <si>
    <t xml:space="preserve"> Valor Mínimo para aplicação em ASPS</t>
  </si>
  <si>
    <t xml:space="preserve"> Valor aplicado em ASPS no exercício</t>
  </si>
  <si>
    <t>Total inscrito em RP no exercício</t>
  </si>
  <si>
    <t>RPNP Inscritos Indevidamente no Exercício sem Disponibilidade Financeira</t>
  </si>
  <si>
    <t>(m)</t>
  </si>
  <si>
    <t>(n)</t>
  </si>
  <si>
    <t>(p)</t>
  </si>
  <si>
    <t>q = (XIIId)</t>
  </si>
  <si>
    <t>TOTAL DOS RESTOS A PAGAR CANCELADOS OU PRESCRITOS ATÉ O FINAL DO EXERCÍCIO ANTERIOR QUE AFETARAM O CUMPRIMENTO DO LIMITE (XXII) (valor informado no demonstrativo do exercício anterior) = XXI do exercício anterior</t>
  </si>
  <si>
    <t>CONTROLE DE RESTOS A PAGAR CANCELADOS OU PRESCRITOS CONSIDERADOS PARA FINS DE APLICAÇÃO DA DISPONIBILIDADE DE CAIXA CONFORME ARTIGO 24§ 1º e 2º DA LC 141/2012</t>
  </si>
  <si>
    <t>RESTOS A PAGAR CANCELADOS OU PRESCRITOS</t>
  </si>
  <si>
    <t>Saldo Inicial</t>
  </si>
  <si>
    <t>Despesas Custeadas no Exercício de Referência</t>
  </si>
  <si>
    <t>Saldo Final</t>
  </si>
  <si>
    <t>Empenhadas</t>
  </si>
  <si>
    <t>Liquidadas</t>
  </si>
  <si>
    <t>Pagas</t>
  </si>
  <si>
    <t>(não aplicado)¹</t>
  </si>
  <si>
    <t>(w)</t>
  </si>
  <si>
    <t>(x)</t>
  </si>
  <si>
    <t>(y)</t>
  </si>
  <si>
    <t>(z)</t>
  </si>
  <si>
    <t>(aa) = (w - (x ou y))</t>
  </si>
  <si>
    <t>Restos a pagar cancelados ou prescritos em exercícios anteriores a serem compensados (XXVI) (saldo inicial igual ao saldo final do demonstrativo do exercício anterior)</t>
  </si>
  <si>
    <t>Empenho</t>
  </si>
  <si>
    <t>Ano Empenho</t>
  </si>
  <si>
    <t>Demonstrativo</t>
  </si>
  <si>
    <t>Nota</t>
  </si>
  <si>
    <t>Nota Com Separador</t>
  </si>
  <si>
    <t>RREO A1</t>
  </si>
  <si>
    <t>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t>
  </si>
  <si>
    <t>RREO A13</t>
  </si>
  <si>
    <t>O Município não possui contratos de PPP vigentes.</t>
  </si>
  <si>
    <t>As linhas 10.2 apresentam na coluna Dotação Atualizada o mesmo valor da coluna Empenhado porque não há condições de separar a dotação de acordo com o código de acompanhamento orçamentário.</t>
  </si>
  <si>
    <t>RGF A1 Exec</t>
  </si>
  <si>
    <t>Incluídos R$ 623.358,33 referente a despesas liquidadas referentes a contratos que integram a despesa com pessoal porém registrados na despesa 3390 39 em vez da despesa 3390 34.</t>
  </si>
  <si>
    <t>RREO A14 Resumido</t>
  </si>
  <si>
    <t>Republicação em virtude de diversas inconsistências identificadas posteriormente à publicação inicial.</t>
  </si>
  <si>
    <t>RELATÓRIO RESUMIDO DA EXECUÇÃO ORÇAMENTÁRIA</t>
  </si>
  <si>
    <t>BALANÇO ORÇAMENTÁRIO</t>
  </si>
  <si>
    <t>ORÇAMENTOS FISCAL E DA SEGURIDADE SOCIAL</t>
  </si>
  <si>
    <t>RREO - Anexo 1 (LRF, art. 52, inciso I, alíneas "a" e "b" do inciso II e § 1º)</t>
  </si>
  <si>
    <t>Em Reais</t>
  </si>
  <si>
    <t>RECEITAS</t>
  </si>
  <si>
    <t>PREVISÃO INICIAL</t>
  </si>
  <si>
    <t>PREVISÃO ATUALIZADA</t>
  </si>
  <si>
    <t>RECEITAS REALIZADAS</t>
  </si>
  <si>
    <t>SALDO</t>
  </si>
  <si>
    <t>No Bimestre</t>
  </si>
  <si>
    <t>%</t>
  </si>
  <si>
    <t>Até o Bimestre</t>
  </si>
  <si>
    <t>(a)</t>
  </si>
  <si>
    <t>(b)</t>
  </si>
  <si>
    <t>(b/a)</t>
  </si>
  <si>
    <t>(c)</t>
  </si>
  <si>
    <t>(c/a)</t>
  </si>
  <si>
    <t>(a-c)</t>
  </si>
  <si>
    <t>RECEITAS (EXCETO INTRA-ORÇAMENTÁRIAS) (I)</t>
  </si>
  <si>
    <t>RECEITAS CORRENTES</t>
  </si>
  <si>
    <t>IMPOSTOS, TAXAS E CONTRIBUIÇÕES DE MELHORIA</t>
  </si>
  <si>
    <t>Impostos</t>
  </si>
  <si>
    <t>Taxas</t>
  </si>
  <si>
    <t>Contribuição de Melhoria</t>
  </si>
  <si>
    <t>CONTRIBUIÇÕES</t>
  </si>
  <si>
    <t>Contribuições Sociais</t>
  </si>
  <si>
    <t>Contribuições Econômicas</t>
  </si>
  <si>
    <t>Contribuições para Entidades Privadas de Serviço Social e de Formação Profissional</t>
  </si>
  <si>
    <t>Contribuição para o Custeio do Serviço de Iluminação Pública</t>
  </si>
  <si>
    <t>RECEITA PATRIMONIAL</t>
  </si>
  <si>
    <t>Exploração do Patrimônio Imobiliário do Estado</t>
  </si>
  <si>
    <t>Valores Mobiliários</t>
  </si>
  <si>
    <t>Delegação de Serviços Públicos Mediante Concessão, Permissão, Autorização ou Licença</t>
  </si>
  <si>
    <t>Exploração de Recursos Naturais</t>
  </si>
  <si>
    <t>Exploração do Patrimônio Intangível</t>
  </si>
  <si>
    <t>Cessão de Direitos</t>
  </si>
  <si>
    <t>Demais Receitas Patrimoniais</t>
  </si>
  <si>
    <t>RECEITA AGROPECUÁRIA</t>
  </si>
  <si>
    <t>RECEITA INDUSTRIAL</t>
  </si>
  <si>
    <t>RECEITA DE SERVIÇOS</t>
  </si>
  <si>
    <t>Serviços Administrativos e Comerciais Gerais</t>
  </si>
  <si>
    <t>Serviços e Atividades Referentes à Navegação e ao Transporte</t>
  </si>
  <si>
    <t>Serviços e Atividades referentes à Saúde</t>
  </si>
  <si>
    <t>Serviços e Atividades Financeiras</t>
  </si>
  <si>
    <t>Outros Serviços</t>
  </si>
  <si>
    <t>TRANSFERÊNCIAS CORRENTES</t>
  </si>
  <si>
    <t>Transferências da União e de suas Entidades</t>
  </si>
  <si>
    <t>Transferências dos Estados e do Distrito Federal e de suas Entidades</t>
  </si>
  <si>
    <t>Transferências dos Municípios e de suas Entidades</t>
  </si>
  <si>
    <t>Transferências de Instituições Privadas</t>
  </si>
  <si>
    <t>Transferências de Outras Instituições Públicas</t>
  </si>
  <si>
    <t>Transferências do Exterior</t>
  </si>
  <si>
    <t>Outras Tranferências</t>
  </si>
  <si>
    <t>OUTRAS RECEITAS CORRENTES</t>
  </si>
  <si>
    <t>Multas Administrativas, Contratuais e Judiciais</t>
  </si>
  <si>
    <t>Indenizações, Restituições e Ressarcimentos</t>
  </si>
  <si>
    <t>Bens, Direitos e Valores Incorporados ao Patrimônio Público</t>
  </si>
  <si>
    <t>Multas e Juros de Mora das Receitas de Capital</t>
  </si>
  <si>
    <t>Demais Receitas Correntes</t>
  </si>
  <si>
    <t>RECEITAS DE CAPITAL</t>
  </si>
  <si>
    <t>OPERAÇÕES DE CRÉDITO</t>
  </si>
  <si>
    <t>Operações de Crédito - Mercado Interno</t>
  </si>
  <si>
    <t>Operações de Crédito - Mercado Externo</t>
  </si>
  <si>
    <t>ALIENAÇÃO DE BENS</t>
  </si>
  <si>
    <t>Alienação de Bens Móveis</t>
  </si>
  <si>
    <t>Alienação de Bens Imóveis</t>
  </si>
  <si>
    <t>Alienação de Bens Intangíveis</t>
  </si>
  <si>
    <t>AMORTIZAÇÕES DE EMPRÉSTIMOS</t>
  </si>
  <si>
    <t>TRANSFERÊNCIAS DE CAPITAL</t>
  </si>
  <si>
    <t xml:space="preserve"> Transferências da União e de suas Entidades</t>
  </si>
  <si>
    <t>Demais Tranferências de Capital</t>
  </si>
  <si>
    <t>OUTRAS RECEITAS DE CAPITAL</t>
  </si>
  <si>
    <t>Integralização do Capital Social</t>
  </si>
  <si>
    <t>Remuneração das Disponibilidades do Tesouro</t>
  </si>
  <si>
    <t>Resgate de Títulos do Tesouro</t>
  </si>
  <si>
    <t xml:space="preserve">Demais Receitas de Capital </t>
  </si>
  <si>
    <t>RECEITAS (INTRA-ORÇAMENTÁRIAS) (II)</t>
  </si>
  <si>
    <t>SUBTOTAL DAS RECEITAS (III) = (I + II)</t>
  </si>
  <si>
    <t>OPERAÇÕES DE CRÉDITO / REFINANCIAMENTO(IV)</t>
  </si>
  <si>
    <t>Mobiliária</t>
  </si>
  <si>
    <t>Contratual</t>
  </si>
  <si>
    <t>TOTAL DAS RECEITAS (V) = (III + IV)</t>
  </si>
  <si>
    <t>DÉFICIT (VI)</t>
  </si>
  <si>
    <t>TOTAL COM DÉFICIT (VII) = (V + VI)</t>
  </si>
  <si>
    <t>SALDOS DE EXERCÍCIOS ANTERIORES</t>
  </si>
  <si>
    <t>Recursos Arrecadados em Exercícios Anteriores - RPPS</t>
  </si>
  <si>
    <t>Superávit Financeiro Utilizado para Créditos Adicionais</t>
  </si>
  <si>
    <t>(continua)</t>
  </si>
  <si>
    <t>(continuação)</t>
  </si>
  <si>
    <t>DESPESAS</t>
  </si>
  <si>
    <t>DOTAÇÃO INICIAL</t>
  </si>
  <si>
    <t>DOTAÇÃO ATUALIZADA</t>
  </si>
  <si>
    <t>DESPESAS EMPENHADAS</t>
  </si>
  <si>
    <t>DESPESAS LIQUIDADAS</t>
  </si>
  <si>
    <t>DESPESAS PAGAS</t>
  </si>
  <si>
    <t>INSCRITAS EM RESTOS A PAGAR</t>
  </si>
  <si>
    <t>ATÉ O BIMESTRE</t>
  </si>
  <si>
    <t>NÃO PROCESSADOS</t>
  </si>
  <si>
    <t>(d)</t>
  </si>
  <si>
    <t>(e)</t>
  </si>
  <si>
    <t>(f)</t>
  </si>
  <si>
    <t>(g) = (e-f)</t>
  </si>
  <si>
    <t>(h)</t>
  </si>
  <si>
    <t>(i)=(e-h)</t>
  </si>
  <si>
    <t>(j)</t>
  </si>
  <si>
    <t>(k)</t>
  </si>
  <si>
    <t>DESPESAS (EXCETO INTRA-ORÇAMENTÁRIAS) (VIII)</t>
  </si>
  <si>
    <t>DESPESAS CORRENTES</t>
  </si>
  <si>
    <t>PESSOAL E ENCARGOS SOCIAIS</t>
  </si>
  <si>
    <t>JUROS E ENCARGOS DA DÍVIDA</t>
  </si>
  <si>
    <t>OUTRAS DESPESAS CORRENTES</t>
  </si>
  <si>
    <t>DESPESAS DE CAPITAL</t>
  </si>
  <si>
    <t>INVESTIMENTOS</t>
  </si>
  <si>
    <t>INVERSÕES FINANCEIRAS</t>
  </si>
  <si>
    <t>AMORTIZAÇÃO DA DÍVIDA</t>
  </si>
  <si>
    <t>RESERVA DE CONTINGÊNCIA</t>
  </si>
  <si>
    <t>DESPESAS (INTRA-ORÇAMENTÁRIAS) (IX)</t>
  </si>
  <si>
    <t>SUBTOTAL DAS DESPESAS (X) = (VIII + IX)</t>
  </si>
  <si>
    <t>AMORTIZAÇÃO DA DÍV. / REFINANCIAMENTO (XI)</t>
  </si>
  <si>
    <t>Amortização da Dívida Interna</t>
  </si>
  <si>
    <t>Dívida Mobiliária</t>
  </si>
  <si>
    <t>Dívida Contratual</t>
  </si>
  <si>
    <t>Amortização da Dívida Externa</t>
  </si>
  <si>
    <t>TOTAL DAS DESPESAS (XII) = (X + XI)</t>
  </si>
  <si>
    <t>SUPERÁVIT (XIII)</t>
  </si>
  <si>
    <t>TOTAL COM SUPERAVIT (XIV) = (XII + XIII)</t>
  </si>
  <si>
    <t>RESERVA DO RPPS</t>
  </si>
  <si>
    <t>Notas:</t>
  </si>
  <si>
    <t>RECEITAS INTRA-ORÇAMENTÁRIAS</t>
  </si>
  <si>
    <t>DESPESAS INTRA-ORÇAMENTÁRIAS</t>
  </si>
  <si>
    <t>DEMONSTRATIVO DA EXECUÇÃO DAS DESPESAS POR FUNÇÃO/SUBFUNÇÃO</t>
  </si>
  <si>
    <t>RREO - Anexo 2 (LRF, art. 52, inciso II, alínea "c")</t>
  </si>
  <si>
    <t>FUNÇÃO/SUBFUNÇÃO</t>
  </si>
  <si>
    <t>DOTAÇÃO</t>
  </si>
  <si>
    <t>RESTOS A PAGAR</t>
  </si>
  <si>
    <t>INICIAL</t>
  </si>
  <si>
    <t>ATUALIZADA</t>
  </si>
  <si>
    <t>(b/total b)</t>
  </si>
  <si>
    <t>(c)=(a-b)</t>
  </si>
  <si>
    <t>(d/total d)</t>
  </si>
  <si>
    <t>(e)=(a-d)</t>
  </si>
  <si>
    <t>DESPESAS (EXCETO INTRA-ORÇAMENTÁRIAS) (I)</t>
  </si>
  <si>
    <t>LEGISLATIVA</t>
  </si>
  <si>
    <t>Ação Legislativa</t>
  </si>
  <si>
    <t>Controle Externo</t>
  </si>
  <si>
    <t>Administração Geral</t>
  </si>
  <si>
    <t>Demais Subfunções</t>
  </si>
  <si>
    <t>JUDICIÁRIA</t>
  </si>
  <si>
    <t>Ação Judiciária</t>
  </si>
  <si>
    <t>Defesa do Interesse Público no Processo Judiciário</t>
  </si>
  <si>
    <t>ESSENCIAL A JUSTIÇA</t>
  </si>
  <si>
    <t>Defesa da Ordem Jurídica</t>
  </si>
  <si>
    <t>Representação Judicial e Extrajudicial</t>
  </si>
  <si>
    <t>ADMINISTRAÇÃO</t>
  </si>
  <si>
    <t>Planejamento e Orçamento</t>
  </si>
  <si>
    <t>Administração Financeira</t>
  </si>
  <si>
    <t>Controle Interno</t>
  </si>
  <si>
    <t>Normatização e Fiscalização</t>
  </si>
  <si>
    <t>Tecnologia da Informação</t>
  </si>
  <si>
    <t>Ordenamento Territorial</t>
  </si>
  <si>
    <t>Formação de Recursos Humanos</t>
  </si>
  <si>
    <t>Administração de Receitas</t>
  </si>
  <si>
    <t>Administração de Concessões</t>
  </si>
  <si>
    <t>Comunicação Social</t>
  </si>
  <si>
    <t>DEFESA NACIONAL</t>
  </si>
  <si>
    <t>Defesa Aérea</t>
  </si>
  <si>
    <t>Defesa Naval</t>
  </si>
  <si>
    <t>Defesa Terrestre</t>
  </si>
  <si>
    <t>SEGURANÇA PÚBLICA</t>
  </si>
  <si>
    <t>Policiamento</t>
  </si>
  <si>
    <t>Defesa Civil</t>
  </si>
  <si>
    <t>Informação e Inteligência</t>
  </si>
  <si>
    <t>RELAÇÕES EXTERIORES</t>
  </si>
  <si>
    <t>Relações Diplomáticas</t>
  </si>
  <si>
    <t>Cooperação Internacional</t>
  </si>
  <si>
    <t>ASSISTÊNCIA SOCIAL</t>
  </si>
  <si>
    <t>Assistência ao Idoso</t>
  </si>
  <si>
    <t>Assistência ao Portador de Deficiência</t>
  </si>
  <si>
    <t>Assistência à Criança e ao Adolescente</t>
  </si>
  <si>
    <t>Assistência Comunitária</t>
  </si>
  <si>
    <t>PREVIDÊNCIA SOCIAL</t>
  </si>
  <si>
    <t>Previdência Básica</t>
  </si>
  <si>
    <t>Previdência do Regime Estatutário</t>
  </si>
  <si>
    <t>Previdência Complementar</t>
  </si>
  <si>
    <t>Previdência Especial</t>
  </si>
  <si>
    <t>SAÚDE</t>
  </si>
  <si>
    <t>Atenção Básica</t>
  </si>
  <si>
    <t>Assistência Hospitalar e Ambulatorial</t>
  </si>
  <si>
    <t>Suporte Profilático e Terapêutico</t>
  </si>
  <si>
    <t>Vigilância Sanitária</t>
  </si>
  <si>
    <t>Vigilância Epidemiológica</t>
  </si>
  <si>
    <t>Alimentação e Nutrição</t>
  </si>
  <si>
    <t>TRABALHO</t>
  </si>
  <si>
    <t>Proteção e Benefícios ao Trabalhador</t>
  </si>
  <si>
    <t>Relações de Trabalho</t>
  </si>
  <si>
    <t>Empregabilidade</t>
  </si>
  <si>
    <t>Fomento ao Trabalho</t>
  </si>
  <si>
    <t>EDUCAÇÃO</t>
  </si>
  <si>
    <t>Ensino Fundamental</t>
  </si>
  <si>
    <t>Ensino Médio</t>
  </si>
  <si>
    <t>Ensino Profissional</t>
  </si>
  <si>
    <t>Ensino Superior</t>
  </si>
  <si>
    <t>Educação Infantil</t>
  </si>
  <si>
    <t>Educação de Jovens e Adultos</t>
  </si>
  <si>
    <t>Educação Especial</t>
  </si>
  <si>
    <t xml:space="preserve">Educação Básica </t>
  </si>
  <si>
    <t>CULTURA</t>
  </si>
  <si>
    <t>Patrimônio Histórico, Artístico e Arqueológico</t>
  </si>
  <si>
    <t>Difusão Cultural</t>
  </si>
  <si>
    <t>DIREITOS DA CIDADANIA</t>
  </si>
  <si>
    <t>Custódia e Reintegração Social</t>
  </si>
  <si>
    <t>Direitos Individuais, Coletivos e Difusos</t>
  </si>
  <si>
    <t>Assistência aos Povos Indígenas</t>
  </si>
  <si>
    <t>URBANISMO</t>
  </si>
  <si>
    <t>Infra-Estrutura Urbana</t>
  </si>
  <si>
    <t>Serviços Urbanos</t>
  </si>
  <si>
    <t>Transportes Coletivos Urbanos</t>
  </si>
  <si>
    <t>HABITAÇÃO</t>
  </si>
  <si>
    <t>Habitação Rural</t>
  </si>
  <si>
    <t>Habitação Urbana</t>
  </si>
  <si>
    <t>SANEAMENTO</t>
  </si>
  <si>
    <t>Saneamento Básico Rural</t>
  </si>
  <si>
    <t>Saneamento Básico Urbano</t>
  </si>
  <si>
    <t>GESTÃO AMBIENTAL</t>
  </si>
  <si>
    <t>Preservação e Conservação Ambiental</t>
  </si>
  <si>
    <t>Controle Ambiental</t>
  </si>
  <si>
    <t>Recuperação de Áreas Degradadas</t>
  </si>
  <si>
    <t>Recursos Hídricos</t>
  </si>
  <si>
    <t>Meteorologia</t>
  </si>
  <si>
    <t>CIÊNCIA E TECNOLOGIA</t>
  </si>
  <si>
    <t>Desenvolvimento Científico</t>
  </si>
  <si>
    <t>Desenvolvimento Tecnológico e Engenharia</t>
  </si>
  <si>
    <t>Difusão do Conhecimento Científico e Tecnológico</t>
  </si>
  <si>
    <t>AGRICULTURA</t>
  </si>
  <si>
    <t>Abastecimento</t>
  </si>
  <si>
    <t>Extensão Rural</t>
  </si>
  <si>
    <t>Irrigação</t>
  </si>
  <si>
    <t xml:space="preserve">Promoção da Produção Agropecuária </t>
  </si>
  <si>
    <t xml:space="preserve">Defesa Agropecuária </t>
  </si>
  <si>
    <t>ORGANIZAÇÃO AGRÁRIA</t>
  </si>
  <si>
    <t>Reforma Agrária</t>
  </si>
  <si>
    <t>Colonização</t>
  </si>
  <si>
    <t>INDÚSTRIA</t>
  </si>
  <si>
    <t>Promoção Industrial</t>
  </si>
  <si>
    <t>Produção Industrial</t>
  </si>
  <si>
    <t>Mineração</t>
  </si>
  <si>
    <t>Propriedade Industrial</t>
  </si>
  <si>
    <t>Normalização e Qualidade</t>
  </si>
  <si>
    <t>COMÉRCIO E SERVIÇOS</t>
  </si>
  <si>
    <t>Promoção Comercial</t>
  </si>
  <si>
    <t>Comercialização</t>
  </si>
  <si>
    <t>Comércio Exterior</t>
  </si>
  <si>
    <t>Serviços Financeiros</t>
  </si>
  <si>
    <t>Turismo</t>
  </si>
  <si>
    <t>COMUNICAÇÕES</t>
  </si>
  <si>
    <t>Comunicações Postais</t>
  </si>
  <si>
    <t>Telecomunicações</t>
  </si>
  <si>
    <t>ENERGIA</t>
  </si>
  <si>
    <t>Conservação de Energia</t>
  </si>
  <si>
    <t>Energia Elétrica</t>
  </si>
  <si>
    <t xml:space="preserve">Combustíveis Minerais </t>
  </si>
  <si>
    <t xml:space="preserve">Biocombustíveis </t>
  </si>
  <si>
    <t>TRANSPORTE</t>
  </si>
  <si>
    <t>Transporte Áereo</t>
  </si>
  <si>
    <t>Transporte Rodoviário</t>
  </si>
  <si>
    <t>Transporte Ferroviário</t>
  </si>
  <si>
    <t>Transporte Hidroviário</t>
  </si>
  <si>
    <t>Transportes Especiais</t>
  </si>
  <si>
    <t>DESPORTO E LAZER</t>
  </si>
  <si>
    <t>Desporto de Rendimento</t>
  </si>
  <si>
    <t>Desporto Comunitário</t>
  </si>
  <si>
    <t>Lazer</t>
  </si>
  <si>
    <t>ENCARGOS ESPECIAIS</t>
  </si>
  <si>
    <t>Refinanciamento da Dívida Interna</t>
  </si>
  <si>
    <t>Refinanciamento da Dívida Externa</t>
  </si>
  <si>
    <t>Serviço da Dívida Interna</t>
  </si>
  <si>
    <t>Serviço da Dívida Externa</t>
  </si>
  <si>
    <t>Transferências</t>
  </si>
  <si>
    <t>Outros Encargos Especiais</t>
  </si>
  <si>
    <t>Transferências para a Educação Básica</t>
  </si>
  <si>
    <t>DESPESAS (INTRA-ORÇAMENTÁRIAS) (II)</t>
  </si>
  <si>
    <t>TOTAL (III) = (I + II)</t>
  </si>
  <si>
    <t>FUNÇÃO/SUBFUNÇÃO INTRA-ORÇAMENTÁRIAS</t>
  </si>
  <si>
    <t>(b/III b)</t>
  </si>
  <si>
    <t>(d/III d)</t>
  </si>
  <si>
    <t>DEMONSTRATIVO DA RECEITA CORRENTE LÍQUIDA</t>
  </si>
  <si>
    <t>RREO - Anexo 3 (LRF, art. 53, inciso I)</t>
  </si>
  <si>
    <t>ESPECIFICAÇÃO</t>
  </si>
  <si>
    <t>EVOLUÇÃO DA RECEITA REALIZADA NOS ÚLTIMOS 12 MESES</t>
  </si>
  <si>
    <t>TOTAL</t>
  </si>
  <si>
    <t>PREVISÃO</t>
  </si>
  <si>
    <t>(ÚLTIMOS</t>
  </si>
  <si>
    <t>12 MESES)</t>
  </si>
  <si>
    <t>RECEITAS CORRENTES (I)</t>
  </si>
  <si>
    <t>Impostos, Taxas e Contribuições de Melhoria</t>
  </si>
  <si>
    <t>IPTU</t>
  </si>
  <si>
    <t>ISS</t>
  </si>
  <si>
    <t>ITBI</t>
  </si>
  <si>
    <t>IRRF</t>
  </si>
  <si>
    <t>Outros Impostos, Taxas e Contribuições de Melhoria</t>
  </si>
  <si>
    <t>Contribuições</t>
  </si>
  <si>
    <t>Receita Patrimonial</t>
  </si>
  <si>
    <t>Rendimentos de Aplicação Financeira</t>
  </si>
  <si>
    <t>Outras Receitas Patrimoniais</t>
  </si>
  <si>
    <t>Receita Agropecuária</t>
  </si>
  <si>
    <t>Receita Industrial</t>
  </si>
  <si>
    <t>Receita de Serviços</t>
  </si>
  <si>
    <t>Transferências Correntes</t>
  </si>
  <si>
    <t>Cota-Parte FPM</t>
  </si>
  <si>
    <t>Cota-Parte ICMS</t>
  </si>
  <si>
    <t>Cota-Parte IPVA</t>
  </si>
  <si>
    <t>Cota-Parte ITR</t>
  </si>
  <si>
    <t>Transferências da LC 61/1989</t>
  </si>
  <si>
    <t>Transferências do FUNDEB</t>
  </si>
  <si>
    <t>Outras Transferências Correntes</t>
  </si>
  <si>
    <t>Outras Receitas Correntes</t>
  </si>
  <si>
    <t>DEDUÇÕES (II)</t>
  </si>
  <si>
    <t>Contrib. Do Servidor para o Plano de Previdência</t>
  </si>
  <si>
    <t>Compensação Financ. Entre Regimes de Previdência</t>
  </si>
  <si>
    <t>Rendimentos de Aplicações de Recursos Previdenciários</t>
  </si>
  <si>
    <t>Dedução de Receita para Formação do FUNDEB</t>
  </si>
  <si>
    <t>RECEITA CORRENTE LÍQUIDA (III)=(I-II)</t>
  </si>
  <si>
    <t>(-) Transferências obrigatórias da União relativas às emendas individuais (art. 166-A, § 1º, da CF) (IV)</t>
  </si>
  <si>
    <t>RECEITA CORRENTE LÍQUIDA AJUSTADA PARA CÁLCULO DOS LIMITES DE ENDIVIDAMENTO (V)=(III-IV)</t>
  </si>
  <si>
    <t>(-) Transferências obrigatórias da União relativas às emendas de bancada (art. 166, § 16, da CF) e ao vencimento dos agentes comunitários de saúde e de combate às endemias (CF, art. 198, § 11) (VI)</t>
  </si>
  <si>
    <t>RECEITA CORRENTE LÍQUIDA AJUSTADA PARA CÁLCULO DOS LIMITES DA DESPESA COM PESSOAL (VII)=(V-VI)</t>
  </si>
  <si>
    <t>DEMONSTRATIVO DAS RECEITAS E DESPESAS PREVIDENCIÁRIAS</t>
  </si>
  <si>
    <t>RREO - Anexo 4 (LRF, art. 53, inciso II)</t>
  </si>
  <si>
    <t>REGIME PRÓPRIO DE PREVIDÊNCIA DOS SERVIDORES - RPPS</t>
  </si>
  <si>
    <t>FUNDO EM CAPITALIZAÇÃO (PLANO PREVIDENCIÁRIO)</t>
  </si>
  <si>
    <t>RECEITAS PREVIDENCIÁRIAS - RPPS (FUNDO EM CAPITALIZAÇÃO)</t>
  </si>
  <si>
    <t>Receita de Contribuições dos Segurados</t>
  </si>
  <si>
    <t>Ativo</t>
  </si>
  <si>
    <t>Inativo</t>
  </si>
  <si>
    <t>Pensionista</t>
  </si>
  <si>
    <t>Receita de Contribuições Patronais</t>
  </si>
  <si>
    <t>Receitas Imobiliárias</t>
  </si>
  <si>
    <t>Receitas de Valores Mobiliários</t>
  </si>
  <si>
    <t>Compensação Financeira entre os regimes</t>
  </si>
  <si>
    <t>Receita de Aportes Periódicos para Amortização de Déficit Atuarial do RPPS (II)¹</t>
  </si>
  <si>
    <t>RECEITAS DE CAPITAL (III)</t>
  </si>
  <si>
    <t>Alienação de Bens, Direitos e Ativos</t>
  </si>
  <si>
    <t>Amortização de Empréstimos</t>
  </si>
  <si>
    <t>Outras Receitas de Capital</t>
  </si>
  <si>
    <t>TOTAL DAS RECEITAS DO FUNDO EM CAPITALIZAÇÃO (IV)=(I+III-II)</t>
  </si>
  <si>
    <t>DESPESAS PREVIDENCIÁRIAS - RPPS (FUNDO EM CAPITALIZAÇÃO)</t>
  </si>
  <si>
    <t>INSCRITAS EM RESTOS A</t>
  </si>
  <si>
    <t>EMPENHADAS</t>
  </si>
  <si>
    <t>LIQUIDADAS</t>
  </si>
  <si>
    <t>PAGAS</t>
  </si>
  <si>
    <t>PAGAR NÃO PROCESSADOS</t>
  </si>
  <si>
    <t>No Exercício</t>
  </si>
  <si>
    <t>(g)</t>
  </si>
  <si>
    <t>Benefícios</t>
  </si>
  <si>
    <t>Aposentadorias</t>
  </si>
  <si>
    <t>Pensões por Morte</t>
  </si>
  <si>
    <t>Outras Despesas Previdenciárias</t>
  </si>
  <si>
    <t>Demais Despesas Previdenciárias</t>
  </si>
  <si>
    <t>TOTAL DAS DESPESAS DO FUNDO EM CAPITALIZAÇÃO (V)</t>
  </si>
  <si>
    <t>RESULTADO PREVIDENCIÁRIO - FUNDO EM CAPITALIZAÇÃO (VI)=(IV-V)²</t>
  </si>
  <si>
    <t>RECURSOS RPPS ARRECADADOS EM EXERCÍCIOS ANTERIORES</t>
  </si>
  <si>
    <t>PREVISÃO ORÇAMENTÁRIA</t>
  </si>
  <si>
    <t>VALOR</t>
  </si>
  <si>
    <t>RESERVA ORÇAMENTÁRIA DO RPPS</t>
  </si>
  <si>
    <t>APORTES DE RECURSOS PARA O FUNDO EM CAPITALIZAÇÃO DO RPPS</t>
  </si>
  <si>
    <t>APORTES REALIZADOS</t>
  </si>
  <si>
    <t>Plano de Amortização - Contribuição Patronal Suplementar</t>
  </si>
  <si>
    <t>Plano de Amortização - Aporte Periódico de Valores Predefinidos</t>
  </si>
  <si>
    <t>Outros Aportes para o RPPS</t>
  </si>
  <si>
    <t>Recursos para Cobertura de Déficit Financeiro</t>
  </si>
  <si>
    <t>BENS E DIREITOS DO RPPS (FUNDO EM CAPITALIZAÇÃO)</t>
  </si>
  <si>
    <t>SALDO ATUAL</t>
  </si>
  <si>
    <t>Caixa e Equivalentes de Caixa</t>
  </si>
  <si>
    <t>Investimentos e Aplicações</t>
  </si>
  <si>
    <t>Outros Bens e Direitos</t>
  </si>
  <si>
    <t>ADMINISTRAÇÃO DO REGIME PRÓPRIO DE PREVIDÊNCIA DOS SERVIDORES - RPPS</t>
  </si>
  <si>
    <t>RECEITAS DA ADMINISTRAÇÃO - RPPS</t>
  </si>
  <si>
    <t>Receitas Correntes</t>
  </si>
  <si>
    <t>TOTAL DAS RECEITAS DA ADMINISTRAÇÃO RPPS (XII)</t>
  </si>
  <si>
    <t>DESPESAS DA ADMINISTRAÇÃO - RPPS</t>
  </si>
  <si>
    <t>Despesas Correntes (XIII)</t>
  </si>
  <si>
    <t>Pessoal e Encargos Sociais</t>
  </si>
  <si>
    <t>Demais Despesas Correntes</t>
  </si>
  <si>
    <t>Despesas de Capital (XIV)</t>
  </si>
  <si>
    <t>TOTAL DAS DESPESAS DA ADMINISTRAÇÃO RPPS (XV)=(XIII+XIV)</t>
  </si>
  <si>
    <t>RESULTADO DA ADMINISTRAÇÃO RPPS (XVI)=(XII-XV)²</t>
  </si>
  <si>
    <t>BENS E DIREITOS - ADMINISTRAÇÃO DO RPPS</t>
  </si>
  <si>
    <t>BENEFÍCIOS PREVIDENCIÁRIOS MANTIDOS PELO TESOURO</t>
  </si>
  <si>
    <t>RECEITAS PREVIDENCIÁRIAS - RPPS (BENEFÍCIOS MANTIDOS PELO TESOURO)</t>
  </si>
  <si>
    <t>Contribuições dos Servidores</t>
  </si>
  <si>
    <t>Demais Receitas Previdenciárias</t>
  </si>
  <si>
    <t>TOTAL DAS RECEITAS (BENEFÍCIOS MANTIDOS PELO TESOURO) (XVII)</t>
  </si>
  <si>
    <t>DESPESAS PREVIDENCIÁRIAS - RPPS (BENEFÍCIOS MANTIDOS PELO TESOURO)</t>
  </si>
  <si>
    <t>TOTAL DAS DESPESAS (BENEFÍCIOS MANTIDOS PELO TESOURO) (XVIII)</t>
  </si>
  <si>
    <t>RESULTADO DOS BENEFÍCIOS MANTIDOS PELO TESOURO (XIX)=(XVII-XVIII)²</t>
  </si>
  <si>
    <t>¹ Como a Portaria MPS 746/2011 determina que os recursos provenientes desses aportes devem permanecer aplicados, no mínimo, por 5 anos, essa receita não deverá compor o total das receitas previdenciárias do período de apuração.</t>
  </si>
  <si>
    <t>² O resultado previdenciário apresentado por meio da diferença entre previsão da receita e a dotação da despesa e entre a receita realizada e a despesa liquidada (do 1º ao 5º bimestre) e a despesa empenhada (no 6º bimestre).</t>
  </si>
  <si>
    <t>DEMONSTRATIVO DOS RESULTADOS PRIMÁRIO E NOMINAL</t>
  </si>
  <si>
    <t>RREO - Anexo 6 (LRF, art. 53, inciso III)</t>
  </si>
  <si>
    <t>ACIMA DA LINHA</t>
  </si>
  <si>
    <t>RECEITAS PRIMÁRIAS</t>
  </si>
  <si>
    <t>RECEITAS CORRENTES (EXCETO FONTES RPPS) (I)</t>
  </si>
  <si>
    <t>Aplicações Financeiras (II)</t>
  </si>
  <si>
    <t>Cota-Parte do FPM</t>
  </si>
  <si>
    <t>Cota-Parte do ICMS</t>
  </si>
  <si>
    <t>Cota-Parte do IPVA</t>
  </si>
  <si>
    <t>Cota-Parte do ITR</t>
  </si>
  <si>
    <t>Transferências da LC61/1989</t>
  </si>
  <si>
    <t>Outras Receitas Financeiras (III)</t>
  </si>
  <si>
    <t>Receitas Correntes Restantes</t>
  </si>
  <si>
    <t>RECEITAS PRIMÁRIAS CORRENTES (EXCETO FONTES RPPS) (IV)=[I-(II+III)]</t>
  </si>
  <si>
    <t>RECEITAS PRIMÁRIAS CORRENTES (COM FONTES RPPS) (V)</t>
  </si>
  <si>
    <t>RECEITAS NÃO PRIMÁRIAS CORRENTES (COM FONTES RPPS) (VI)</t>
  </si>
  <si>
    <t>RECEITAS DE CAPITAL (EXCETO FONTES RPPS) (VII)</t>
  </si>
  <si>
    <t>Operações de Crédito (VIII)</t>
  </si>
  <si>
    <t>Amortização de Empréstimos (IX)</t>
  </si>
  <si>
    <t>Alienação de Bens</t>
  </si>
  <si>
    <t>Receitas de Alienação de Investimentos Temporários (X)</t>
  </si>
  <si>
    <t>Receitas de Alienação de Investimentos Permanentes (XI)</t>
  </si>
  <si>
    <t>Outras Alienações de Bens</t>
  </si>
  <si>
    <t>Transferências de Capital</t>
  </si>
  <si>
    <t>Convênios</t>
  </si>
  <si>
    <t>Outras Transferências de Capital</t>
  </si>
  <si>
    <t>Outras Receitas de Capital Não Primárias (XII)</t>
  </si>
  <si>
    <t>Outras Receitas de Capital Primárias</t>
  </si>
  <si>
    <t>RECEITAS PRIMÁRIAS DE CAPITAL (EXCETO FONTES RPPS) (XIII)=[VII-(VIII+IX+X+XI+XII)]</t>
  </si>
  <si>
    <t>RECEITAS PRIMÁRIAS DE CAPITAL (COM FONTES RPPS) (XIV)</t>
  </si>
  <si>
    <t>RECEITAS NÃO PRIMÁRIAS DE CAPITAL (COM FONTES RPPS) (XV)</t>
  </si>
  <si>
    <t>RECEITA PRIMÁRIA TOTAL (XVI)=(IV+V+XIII+XIV)</t>
  </si>
  <si>
    <t>RECEITA PRIMÁRIA TOTAL (EXCETO FONTES RPPS) (XVII)=(IV+XIII)</t>
  </si>
  <si>
    <t>DESPESAS PRIMÁRIAS</t>
  </si>
  <si>
    <t>PROCESSADOS PAGOS</t>
  </si>
  <si>
    <t>LIQUIDADOS</t>
  </si>
  <si>
    <t>PAGOS</t>
  </si>
  <si>
    <t>DESPESAS CORRENTES (EXCETO FONTES RPPS) (XVIII)</t>
  </si>
  <si>
    <t>Juros e Encargos da Dívida (XIX)</t>
  </si>
  <si>
    <t>Outras Despesas Correntes</t>
  </si>
  <si>
    <t>DESPESAS PRIMÁRIAS CORRENTES (EXCETO FONTES RPPS) (XX) = (XVIII-XIX)</t>
  </si>
  <si>
    <t>DESPESAS PRIMÁRIAS CORRENTES (COM FONTES RPPS) (XXI)</t>
  </si>
  <si>
    <t>DESPESAS NÃO PRIMÁRIAS CORRENTES (COM FONTES RPPS) (XXII)</t>
  </si>
  <si>
    <t>DESPESAS DE CAPITAL (EXCETO FONTES RPPS) (XXIII)</t>
  </si>
  <si>
    <t>Investimentos</t>
  </si>
  <si>
    <t>Inversões Financeiras</t>
  </si>
  <si>
    <t>Concessão de Empréstimos e Financiamentos (XXIV)</t>
  </si>
  <si>
    <t>Aquisição de Títulos de Capital já Integralizados (XXV)</t>
  </si>
  <si>
    <t>Aquisição de Títulos de Crédito (XXVI)</t>
  </si>
  <si>
    <t>Demais Inversões Financeiras</t>
  </si>
  <si>
    <t>Amortização da Dívida (XXVII)</t>
  </si>
  <si>
    <t>DESPESAS PRIMÁRIAS DE CAPITAL (EXCETO FONTES RPPS) (XXVIII)=[XXIII-(XXIV+XXV+XXVI+XXVII)]</t>
  </si>
  <si>
    <t>RESERVA DE CONTINGÊNCIA (XXIX)</t>
  </si>
  <si>
    <t>DESPESAS PRIMÁRIAS DE CAPITAL (COM FONTES RPPS) (XXX)</t>
  </si>
  <si>
    <t>DESPESAS NÃO PRIMÁRIAS DE CAPITAL (COM FONTES RPPS) (XXXI)</t>
  </si>
  <si>
    <t>DESPESA PRIMÁRIA TOTAL (XXXII)=(XX+XXI+XXVIII+XXIX+XXX)</t>
  </si>
  <si>
    <t>DESPESA PRIMÁRIA TOTAL (EXCETO FONTES RPPS) (XXXIII)=(XX+XXVIII+XXIX)</t>
  </si>
  <si>
    <t>RESULTADO PRIMÁRIO (COM RPPS) - Acima da Linha (XXXIV)=[XVIa-(XXXIIa+XXXIIb+XXXIIc)]</t>
  </si>
  <si>
    <t>RESULTADO PRIMÁRIO (SEM RPPS) - Acima da Linha (XXXV)=[XVIIa-(XXXIIIa+XXXIIIb+XXXIIIc)]</t>
  </si>
  <si>
    <t>META FISCAL PARA O RESULTADO PRIMÁRIO</t>
  </si>
  <si>
    <t>VALOR CORRENTE</t>
  </si>
  <si>
    <t>JUROS NOMINAIS</t>
  </si>
  <si>
    <t>VALOR INCORRIDO</t>
  </si>
  <si>
    <t>Juros, Encargos e Variaçções Monetárias Ativos (Exceto RPPS) (XXXVI)</t>
  </si>
  <si>
    <t>Juros, Encargos e Variaçções Monetárias Passivos (Exceto RPPS) (XXXVII)</t>
  </si>
  <si>
    <t>RESULTADO NOMINAL (SEM RPPS) - Acima da Linha (XXXVIII)=[XXXV+(XXXVI-XXXVII)]</t>
  </si>
  <si>
    <t>ABAIXO DA LINHA</t>
  </si>
  <si>
    <t>CÁLCULO DO RESULTADO NOMINAL</t>
  </si>
  <si>
    <t>DÍVIDA CONSOLIDADA (XXXIX)</t>
  </si>
  <si>
    <t>DEDUÇÕES (XL)</t>
  </si>
  <si>
    <t>Disponibilidade de Caixa</t>
  </si>
  <si>
    <t>Disponibilidade de Caixa Bruta</t>
  </si>
  <si>
    <t>(-) Restos a Pagar Processados (XLI)</t>
  </si>
  <si>
    <t>(-) Depósitos Restituíveis e Valores Vinculados</t>
  </si>
  <si>
    <t>Demais Haveres Financeiros</t>
  </si>
  <si>
    <t>DÍVIDA CONSOLIDADA LÍQUIDA (XLII)=(XXXIX-XL)</t>
  </si>
  <si>
    <t>RESULTADO NOMINAL (SEM RPPS) - Abaixo da Linha (XLIII)=(XLIIa-XLIIb)</t>
  </si>
  <si>
    <t>META FISCAL PARA O RESULTADO NOMINAL</t>
  </si>
  <si>
    <t>AJUSTE METODOLÓGICO</t>
  </si>
  <si>
    <t>VARIAÇÃO DO SALDO DE RPP (XLIV)=(XLIa-XLIb)</t>
  </si>
  <si>
    <t>RECEITA DE ALIENAÇÃO DE INVESTIMENTOS PERMANENTES (XLV)=(XI)</t>
  </si>
  <si>
    <t>VARIAÇÃO CAMBIAL (XLVI)</t>
  </si>
  <si>
    <t>VARIAÇÃO DO SALDO DE PRECATÓRIOS INTEGRANTES DA DC (XLVII)</t>
  </si>
  <si>
    <t>VARIAÇÃO DO SALDO DAS DEMAIS OBRIGAÇÕES INTEGRANTES DA DC (XLVIII)</t>
  </si>
  <si>
    <t>OUTROS AJUSTES (XLXIX)</t>
  </si>
  <si>
    <t>RESULTADO NOMINAL (SEM RPPS) AJUSTADO - Abaixo da Linha (L)=[XLIII+(XLIV-XLV+XLVI+XLVII+XLVIII)+(XLXIX)]</t>
  </si>
  <si>
    <t>RESULTADO PRIMÁRIO (SEM RPPS)  Abaixo da Linha (LI)=[L-(XXXVI-XXXVII)]</t>
  </si>
  <si>
    <t>INFORMAÇÕES ADICIONAIS</t>
  </si>
  <si>
    <t>SALDO DE EXERCÍCIOS ANTERIORES</t>
  </si>
  <si>
    <t>Superávit Financeiro Utilizado para Abertura e Reabertura de Créditos Adicionais</t>
  </si>
  <si>
    <t>¹ Valor atualizado pela LOA do exercício de referência.</t>
  </si>
  <si>
    <t>DEMONSTRATIVO DOS RESTOS A PAGAR POR PODER E ÓRGÃO</t>
  </si>
  <si>
    <t>RREO - Anexo 7 (LRF, art. 53, inciso V)</t>
  </si>
  <si>
    <t>PODER/ÓRGÃO</t>
  </si>
  <si>
    <t>RESTOS A PAGAR PROCESSADOS</t>
  </si>
  <si>
    <t>RESTOS A PAGAR NÃO PROCESSADOS</t>
  </si>
  <si>
    <t>Saldo Total</t>
  </si>
  <si>
    <t>Inscritos</t>
  </si>
  <si>
    <t>Pagos</t>
  </si>
  <si>
    <t>Cancelados</t>
  </si>
  <si>
    <t>Saldo</t>
  </si>
  <si>
    <t>Liquidados</t>
  </si>
  <si>
    <t>Em Exercícios</t>
  </si>
  <si>
    <t>Em 31 de dezembro</t>
  </si>
  <si>
    <t>Anteriores</t>
  </si>
  <si>
    <t>(e)=(a+b)-(c+d)</t>
  </si>
  <si>
    <t>(i)</t>
  </si>
  <si>
    <t>(k)=(f+g)-(i+j)</t>
  </si>
  <si>
    <t>(l)=(e+k)</t>
  </si>
  <si>
    <t>RESTOS A PAGAR (EXCETO INTRA-ORÇAMENTÁRIOS) (I)</t>
  </si>
  <si>
    <t>PODER EXECUTIVO</t>
  </si>
  <si>
    <t>PODER LEGISLATIVO</t>
  </si>
  <si>
    <t>Câmara Municipal</t>
  </si>
  <si>
    <t>Tribunal de Contas do Município</t>
  </si>
  <si>
    <t>RESTOS A PAGAR (INTRA-ORÇAMENTÁRIOS) (II)</t>
  </si>
  <si>
    <t>TOTAL (III)=(I+II)</t>
  </si>
  <si>
    <t>RESTOS A PAGAR (INTRA-ORÇAMENTÁRIOS) (I)</t>
  </si>
  <si>
    <t>DEMONSTRATIVO DAS RECEITAS E DESPESAS COM MANUTENÇÃO E DESENVOLVIMENTO DO ENSINO - MDE</t>
  </si>
  <si>
    <t>RREO - Anexo 8 (LDB, art. 72)</t>
  </si>
  <si>
    <t>RECEITA RESULTANTE DE IMPOSTOS (Arts. 212 e 212-A da Constituição Federal</t>
  </si>
  <si>
    <t>RECEITA RESULTANTE DE IMPOSTOS</t>
  </si>
  <si>
    <t>1 - RECEITA DE IMPOSTOS</t>
  </si>
  <si>
    <t>1.1 - Receita Resultante do Imposto sobre a Propriedade Predial e Territorial Urbana – IPTU</t>
  </si>
  <si>
    <t>1.2 - Receita Resultante do Imposto sobre Transmissão Inter Vivos – ITBI</t>
  </si>
  <si>
    <t>1.3 - Receita Resultante do Imposto sobre Serviços de Qualquer Natureza – ISS</t>
  </si>
  <si>
    <t>1.4 - Receita Resultante do Imposto de Renda Retido na Fonte – IRRF</t>
  </si>
  <si>
    <t xml:space="preserve">2 - RECEITA DE TRANSFERÊNCIAS CONSTITUCIONAIS E LEGAIS </t>
  </si>
  <si>
    <t xml:space="preserve">2.1 - Cota-Parte FPM </t>
  </si>
  <si>
    <t>2.1.1 - Parcela referente à CF, art. 159, I, alínea b</t>
  </si>
  <si>
    <t>2.1.2 - Parcela referente à CF, art. 159, I, alíneas d e e</t>
  </si>
  <si>
    <t xml:space="preserve">2.2 - Cota-Parte ICMS </t>
  </si>
  <si>
    <t xml:space="preserve">2.3 - Cota-Parte IPI-Exportação </t>
  </si>
  <si>
    <t xml:space="preserve">2.4 - Cota-Parte ITR </t>
  </si>
  <si>
    <t xml:space="preserve">2.5 - Cota-Parte IPVA </t>
  </si>
  <si>
    <t xml:space="preserve">2.6 - Cota-Parte IOF-Ouro </t>
  </si>
  <si>
    <t>2.7 - Outras Transferências ou Compensações Financeiras Provenientes de Impostos e Transferências Constitucionais</t>
  </si>
  <si>
    <t>3 - TOTAL DA RECEITA RESULTANTE DE IMPOSTOS (1 + 2)</t>
  </si>
  <si>
    <t>4 - TOTAL DESTINADO AO FUNDEB - equivalente a 20% DE ((2.1.1) + (2.2) + (2.3) + (2.4) + (2.5))¹</t>
  </si>
  <si>
    <t>5 - VALOR MÍNIMO A SER APLICADO ALÉM DO VALOR DESTINADO AO FUNDEB - 5% DE ((2.1.1) + (2.2) + (2.3) + (2.4) + (2.5)) + 25% DE ((1.1) + (1.2) + (1.3) + (1.4) + (2.1.2) + (2.6)+ (2.7))</t>
  </si>
  <si>
    <t>FUNDEB</t>
  </si>
  <si>
    <t>RECEITAS DO FUNDEB RECEBIDAS NO EXERCÍCIO</t>
  </si>
  <si>
    <t>6 - TOTAL DAS RECEITAS DO FUNDEB RECEBIDAS</t>
  </si>
  <si>
    <t>6.1 - FUNDEB  - Impostos e Transferências de Impostos</t>
  </si>
  <si>
    <t>6.1.1 - Principal</t>
  </si>
  <si>
    <t>6.1.2 - Rendimentos de Aplicação Financeira</t>
  </si>
  <si>
    <t>6.1.3 - Ressarcimento de recursos do Fundeb</t>
  </si>
  <si>
    <t>6.2 - FUNDEB  - Complementação da União  - VAAF</t>
  </si>
  <si>
    <t>6.2.1 - Principal</t>
  </si>
  <si>
    <t>6.2.2 - Rendimentos de Aplicação Financeira</t>
  </si>
  <si>
    <t>6.2.3 - Ressarcimento de recursos do Fundeb</t>
  </si>
  <si>
    <t>6.3 - FUNDEB  - Complementação da União  - VAAT</t>
  </si>
  <si>
    <t>6.3.1 - Principal</t>
  </si>
  <si>
    <t>6.3.2 - Rendimentos de Aplicação Financeira</t>
  </si>
  <si>
    <t>6.3.3 - Ressarcimento de recursos do Fundeb</t>
  </si>
  <si>
    <t>6.4 - FUNDEB  - Complementação da União  - VAAR</t>
  </si>
  <si>
    <t>6.4.1 - Principal</t>
  </si>
  <si>
    <t>6.4.2 - Rendimentos de Aplicação Financeira</t>
  </si>
  <si>
    <t>6.4.3 - Ressarcimento de recursos do Fundeb</t>
  </si>
  <si>
    <t>7 - RESULTADO LÍQUIDO DAS TRANSFERÊNCIAS DO FUNDEB (6.1.1 – 4)</t>
  </si>
  <si>
    <t>RECURSOS RECEBIDOS EM EXERCÍCIOS ANTERIORES E NÃO UTILIZADOS (SUPERÁVIT)</t>
  </si>
  <si>
    <t>8 - TOTAL DOS RECURSOS DE SUPERÁVIT</t>
  </si>
  <si>
    <t>8.1 - SUPERÁVIT DO EXERCÍCIO IMEDIATAMENTE ANTERIOR</t>
  </si>
  <si>
    <t>8.2 - SUPERÁVIT RESIDUAL DE OUTROS EXERCÍCIOS</t>
  </si>
  <si>
    <t>9 - TOTAL DOS RECURSOS DO FUNDEB DISPONÍVEIS PARA UTILIZAÇÃO (6 + 8)</t>
  </si>
  <si>
    <t>DESPESAS COM RECURSOS DO FUNDEB</t>
  </si>
  <si>
    <t>INSCRITAS EM RESTOS</t>
  </si>
  <si>
    <t>A PAGAR NÃO PROCESSADOS</t>
  </si>
  <si>
    <t>(Por Subfunção)</t>
  </si>
  <si>
    <t>10 - TOTAL DAS DESPESAS COM RECURSOS DO FUNDEB</t>
  </si>
  <si>
    <t>10.1 - PROFISSIONAIS DA EDUCAÇÃO BÁSICA</t>
  </si>
  <si>
    <t>10.1.1- Educação Infantil</t>
  </si>
  <si>
    <t xml:space="preserve">10.1.2 - Ensino Fundamental </t>
  </si>
  <si>
    <t>10.1.3 - Educação de Jovens e Adultos</t>
  </si>
  <si>
    <t>10.1.4 - Educação Especial</t>
  </si>
  <si>
    <t>10.1.5 - Administração Geral</t>
  </si>
  <si>
    <t>10.1.6 - Outras</t>
  </si>
  <si>
    <t>10.2 - OUTRAS DESPESAS</t>
  </si>
  <si>
    <t>10.2.1 - Educação Infantil</t>
  </si>
  <si>
    <t xml:space="preserve">10.2.2 - Ensino Fundamental </t>
  </si>
  <si>
    <t>10.2.3 - Educação de Jovens e Adultos</t>
  </si>
  <si>
    <t>10.2.4 - Educação Especial</t>
  </si>
  <si>
    <t>10.2.5 - Administração Geral</t>
  </si>
  <si>
    <t>10.2.6 - Transporte (Escolar)</t>
  </si>
  <si>
    <t>10.2.7 - Outras</t>
  </si>
  <si>
    <t>INDICADORES DO FUNDEB</t>
  </si>
  <si>
    <t>INSCRITAS EM</t>
  </si>
  <si>
    <t>DESPESAS EMPENHADAS EM</t>
  </si>
  <si>
    <t>RESTOS APAGAR</t>
  </si>
  <si>
    <t>VALOR SUPERIOR AO TOTAL</t>
  </si>
  <si>
    <t>DESPESAS CUSTEADAS COM RECEITAS DO FUNDEB RECEBIDAS NO EXERCÍCIO</t>
  </si>
  <si>
    <t>(SEM DISPONIBILIDADE</t>
  </si>
  <si>
    <t>DAS RECEITAS RECEBIDAS</t>
  </si>
  <si>
    <r>
      <t>DE CAIXA)</t>
    </r>
    <r>
      <rPr>
        <b/>
        <sz val="11"/>
        <color rgb="FF000000"/>
        <rFont val="Calibri"/>
        <family val="2"/>
      </rPr>
      <t>⁷</t>
    </r>
  </si>
  <si>
    <r>
      <t>NO EXERCÍCIO</t>
    </r>
    <r>
      <rPr>
        <b/>
        <sz val="11"/>
        <color rgb="FF000000"/>
        <rFont val="Calibri"/>
        <family val="2"/>
      </rPr>
      <t>⁹</t>
    </r>
  </si>
  <si>
    <t>11 - TOTAL DAS DESPESAS CUSTEADAS COM RECURSOS DO FUNDEB RECEBIDAS NO EXERCÍCIO</t>
  </si>
  <si>
    <t>11.1 - Total das Despesas custeadas com FUNDEB  - Impostos e Transferências de Impostos</t>
  </si>
  <si>
    <t>11.2 - Total das Despesas custeadas com FUNDEB  - Complementação da União  - VAAF</t>
  </si>
  <si>
    <t>11.3 - Total das Despesas custeadas com FUNDEB  - Complementação da União  - VAAT</t>
  </si>
  <si>
    <t>11.4 - Total das Despesas custeadas com FUNDEB  - Complementação da União  - VAAR</t>
  </si>
  <si>
    <t>12 - TOTAL DAS DESPESAS DO FUNDEB COM PROFISSIONAIS DA EDUCAÇÃO BÁSICA</t>
  </si>
  <si>
    <t>13 - TOTAL DAS DESPESAS CUSTEADAS COM FUNDEB  - COMPLEMENTAÇÃO DA UNIÃO  - VAAT APLICADAS NA EDUCAÇÃO INFANTIL</t>
  </si>
  <si>
    <t>14 - TOTAL DAS DESPESAS CUSTEADAS COM FUNDEB  - COMPLEMENTAÇÃO DA UNIÃO  - VAAT APLICADAS EM DESPESA DE CAPITAL</t>
  </si>
  <si>
    <t>INDICADORES - Art. 212-A, inciso XI e § 3º - Constituição Federal²</t>
  </si>
  <si>
    <t>VALOR EXIGIDO</t>
  </si>
  <si>
    <t>VALOR APLICADO</t>
  </si>
  <si>
    <t>VALOR CONSIDERADO APÓS DEDUÇÕES</t>
  </si>
  <si>
    <r>
      <t>% APLICADO¹</t>
    </r>
    <r>
      <rPr>
        <b/>
        <sz val="11"/>
        <color rgb="FF000000"/>
        <rFont val="Calibri"/>
        <family val="2"/>
      </rPr>
      <t>⁰</t>
    </r>
  </si>
  <si>
    <t>(l)</t>
  </si>
  <si>
    <t>15 - MÍNIMO DE 70% DO FUNDEB NA REMUNERAÇÃO DOS PROFISSIONAIS DA EDUCAÇÃO BÁSICA</t>
  </si>
  <si>
    <t>16 - PERCENTUAL DE 50% DA COMPLEMENTAÇÃO DA UNIÃO AO FUNDEB - VAAT NA EDUCAÇÃO INFANTIL</t>
  </si>
  <si>
    <t>17 - MÍNIMO DE 15% DA COMPLEMENTAÇÃO DA UNIÃO AO FUNDEB - VAAT EM DESPESAS DE CAPITAL</t>
  </si>
  <si>
    <t>INDICADOR - Art.25, § 3º - Lei nº 14.113, de 2020 - (Máximo de 10% de Superávit)³</t>
  </si>
  <si>
    <t>VALOR MÁXIMO</t>
  </si>
  <si>
    <t>VALOR NÃO APLICADO</t>
  </si>
  <si>
    <t>VALOR NÃO APLICADO EXCEDENTE</t>
  </si>
  <si>
    <t>% NÃO APLICADO</t>
  </si>
  <si>
    <t>PERMITIDO</t>
  </si>
  <si>
    <t>APÓS AJUSTE</t>
  </si>
  <si>
    <t>AO MÁXIMO PERMITIDO</t>
  </si>
  <si>
    <t>(o)</t>
  </si>
  <si>
    <t>(q)</t>
  </si>
  <si>
    <t>(r)</t>
  </si>
  <si>
    <t>18 - TOTAL DA RECEITA RECEBIDA E NÃO APLICADA NO EXERCÍCIO</t>
  </si>
  <si>
    <t>INDICADOR - Art.25, § 3º - Lei nº 14.113, de 2020 - (Aplicação do Superávit de Exercício Anterior)³</t>
  </si>
  <si>
    <t>VALOR DE SUPERÁVIT</t>
  </si>
  <si>
    <t>VALOR TOTAL DE SUPERÁVIT NÃO</t>
  </si>
  <si>
    <t>VALOR DE SUPERÁVIT PERMITIDO</t>
  </si>
  <si>
    <t>PERMITIDO NO EXERCÍCIO</t>
  </si>
  <si>
    <t>NO EXERCÍCIO ANTERIOR</t>
  </si>
  <si>
    <t>APLICADO ATÉ O</t>
  </si>
  <si>
    <t>APÓS O PRIMEIRO</t>
  </si>
  <si>
    <t>APLICADO ATÉ O FINAL DO EXERCÍCIO</t>
  </si>
  <si>
    <t xml:space="preserve"> NO EXERCÍCIO ANTERIOR NÃO</t>
  </si>
  <si>
    <t>ANTERIOR</t>
  </si>
  <si>
    <t>PRIMEIRO QUADRIMESTRE</t>
  </si>
  <si>
    <t>QUADRIMESTRE</t>
  </si>
  <si>
    <t>APLICADO NO EXERCÍCIO ATUAL</t>
  </si>
  <si>
    <t>(s)</t>
  </si>
  <si>
    <t>(t)</t>
  </si>
  <si>
    <t>(u)</t>
  </si>
  <si>
    <t>(v)</t>
  </si>
  <si>
    <t>19 - TOTAL DAS DESPESAS CUSTEADAS COM SUPERÁVIT DO FUNDEB</t>
  </si>
  <si>
    <t>19.1 - Total das Despesas custeadas com FUNDEB - Impostos e Transferências de Impostos</t>
  </si>
  <si>
    <t>19.2 - Total das Despesas custeadas com FUNDEB - Complementação da União (VAAF + VAAT + VAAR)</t>
  </si>
  <si>
    <t>DESPESAS COM MANUTENÇÃO E DESENVOLVIMENTO DO ENSINO – MDE -  CUSTEADAS COM RECEITA DE IMPOSTOS (EXCETO FUNDEB)</t>
  </si>
  <si>
    <t>DESPESAS COM AÇÕES TÍPICAS DE MDE - RECEITAS DE IMPOSTOS - EXCETO FUNDEB</t>
  </si>
  <si>
    <t xml:space="preserve">NÃO PROCESSADOS </t>
  </si>
  <si>
    <t>20-TOTAL DAS DESPESAS COM AÇÕES TÍPICAS DE MDE CUSTEADAS COM RECEITAS DE IMPOSTOS</t>
  </si>
  <si>
    <t>20.1 - Educação Infantil</t>
  </si>
  <si>
    <t>20.2 - Ensino Fundamental</t>
  </si>
  <si>
    <t>20.3 - Educação de Jovens e Adultos</t>
  </si>
  <si>
    <t>20.4 - Educação Especial</t>
  </si>
  <si>
    <t>20.5 - Administração Geral</t>
  </si>
  <si>
    <t>20.6 - Transporte (Escolar)</t>
  </si>
  <si>
    <t>20.7 - Outras</t>
  </si>
  <si>
    <t>DESPESAS COM MANUTENÇÃO E DESENVOLVIMENTO DO ENSINO – MDE -  CUSTEADAS COM RECEITA DE IMPOSTOS E COM RECURSOS DO FUNDEB</t>
  </si>
  <si>
    <t>DESPESAS COM AÇÕES TÍPICAS DE MDE - RECEITAS DE IMPOSTOS E RECURSOS DO FUNDEB</t>
  </si>
  <si>
    <r>
      <t>(Por Área de Atuação)</t>
    </r>
    <r>
      <rPr>
        <b/>
        <sz val="11"/>
        <color rgb="FF000000"/>
        <rFont val="Calibri"/>
        <family val="2"/>
      </rPr>
      <t>⁶</t>
    </r>
  </si>
  <si>
    <t>21 - TOTAL DAS DESPESAS COM AÇÕES TÍPICAS DE MDE CUSTEADAS COM RECEITAS DE IMPOSTOS E FUNDEB</t>
  </si>
  <si>
    <t>21.1 - EDUCAÇÃO INFANTIL</t>
  </si>
  <si>
    <t>21.1.1 - Creche</t>
  </si>
  <si>
    <t>21.1.2 - Pré-escola</t>
  </si>
  <si>
    <t>21.2 - ENSINO FUNDAMENTAL</t>
  </si>
  <si>
    <t>APURAÇÃO DAS DESPESAS PARA FINS DE LIMITE MÍNIMO CONSTITUCIONAL</t>
  </si>
  <si>
    <t>22 - TOTAL DAS DESPESAS DE MDE CUSTEADAS COM RECURSOS DE IMPOSTOS = L20(d ou e)</t>
  </si>
  <si>
    <t>23 - TOTAL DAS RECEITAS TRANSFERIDAS AO FUNDEB = (L4)</t>
  </si>
  <si>
    <t>24 - (-) RECEITAS DO FUNDEB NÃO UTILIZADAS NO EXERCÍCIO, EM VALOR SUPERIOR A 10% = L18(q)</t>
  </si>
  <si>
    <t>25 - (-) SUPERÁVIT PERMITIDO NO EXERCÍCIO IMEDIATAMENTE ANTERIOR NÃO APLICADO NO EXERCÍCIO ATUAL = L19.1(x)</t>
  </si>
  <si>
    <t>26 - (-) RESTOS A PAGAR NÃO PROCESSADOS INSCRITOS NO EXERCÍCIO SEM DISPONIBILIDADE FINANCEIRA DE RECURSOS DE IMPOSTOS⁴</t>
  </si>
  <si>
    <t xml:space="preserve">27 - (-) CANCELAMENTO, NO EXERCÍCIO, DE RESTOS A PAGAR INSCRITOS COM DISPONIBILIDADE FINANCEIRA DE RECURSOS DE IMPOSTOS VINCULADOS AO ENSINO = (L30.1(af) + L30.2(af)) </t>
  </si>
  <si>
    <t>28 - TOTAL DAS DESPESAS PARA FINS DE LIMITE  (22 + 23) -  (24 + 25 + 26 + 27)</t>
  </si>
  <si>
    <r>
      <t xml:space="preserve">APURAÇÃO DO LIMITE MÍNIMO CONSTITUCIONAL² </t>
    </r>
    <r>
      <rPr>
        <b/>
        <sz val="11"/>
        <color rgb="FF000000"/>
        <rFont val="Calibri"/>
        <family val="2"/>
      </rPr>
      <t>⁵</t>
    </r>
  </si>
  <si>
    <t>% APLICADO</t>
  </si>
  <si>
    <t>(aa)</t>
  </si>
  <si>
    <t>(ab)</t>
  </si>
  <si>
    <t>29 - APLICAÇÃO EM MDE SOBRE A RECEITA RESULTANTE DE IMPOSTOS</t>
  </si>
  <si>
    <r>
      <t>RESTOS A PAGAR INSCRITOS EM EXERCÍCIOS ANTERIORES DE DESPESAS CONSIDERADAS PARA CUMPRIMENTO DO LIMITE</t>
    </r>
    <r>
      <rPr>
        <b/>
        <sz val="11"/>
        <color rgb="FF000000"/>
        <rFont val="Calibri"/>
        <family val="2"/>
      </rPr>
      <t>⁸</t>
    </r>
  </si>
  <si>
    <t>SALDO INICIAL</t>
  </si>
  <si>
    <t>RP LIQUIDADOS</t>
  </si>
  <si>
    <t>RP PAGOS</t>
  </si>
  <si>
    <t>RP CANCELADOS</t>
  </si>
  <si>
    <t>SALDO FINAL</t>
  </si>
  <si>
    <t>(ac)</t>
  </si>
  <si>
    <t>(ad)</t>
  </si>
  <si>
    <t>(ae)</t>
  </si>
  <si>
    <t>(af)</t>
  </si>
  <si>
    <t>(ag) = (ac) - (ae) - (af)</t>
  </si>
  <si>
    <t>30 - RESTOS A PAGAR DE DESPESAS COM MDE</t>
  </si>
  <si>
    <t>30.1 - Executadas com Recursos de Impostos e Transferências de Impostos</t>
  </si>
  <si>
    <t>30.2 - Executadas com Recursos do FUNDEB - Impostos</t>
  </si>
  <si>
    <t>30.3 - Executadas com Recursos do FUNDEB - Complementação da União (VAAT + VAAF + VAAR)</t>
  </si>
  <si>
    <t>OUTRAS INFORMAÇÕES PARA CONTROLE</t>
  </si>
  <si>
    <t>RECEITAS ADICIONAIS PARA FINANCIAMENTO DO ENSINO</t>
  </si>
  <si>
    <t>31 - TOTAL DAS RECEITAS ADICIONAIS PARA FINANCIAMENTO DO ENSINO</t>
  </si>
  <si>
    <t>31.1 - RECEITA DE TRANSFERÊNCIAS DO FNDE (INCLUINDO RENDIMENTOS DE APLICAÇÃO FINANCEIRA)</t>
  </si>
  <si>
    <t>31.1.1 - Salário-Educação</t>
  </si>
  <si>
    <t>31.1.2 - PDDE</t>
  </si>
  <si>
    <t>31.1.3 - PNAE</t>
  </si>
  <si>
    <t>31.1.4- PNATE</t>
  </si>
  <si>
    <t>31.1.5 - Outras Transferências do FNDE</t>
  </si>
  <si>
    <t>31.2 - RECEITA DE TRANSFERÊNCIAS DE CONVÊNIOS</t>
  </si>
  <si>
    <t>31.3 - RECEITA DE ROYALTIES DESTINADOS À EDUCAÇÃO</t>
  </si>
  <si>
    <t>31.4 - RECEITA DE OPERAÇÕES DE CRÉDITO VINCULADAS À EDUCAÇÃO</t>
  </si>
  <si>
    <t>31.5 - OUTRAS RECEITAS PARA FINANCIAMENTO DO ENSINO</t>
  </si>
  <si>
    <t>OUTRAS DESPESAS COM EDUCAÇÃO</t>
  </si>
  <si>
    <r>
      <t>(Por Subfunção)</t>
    </r>
    <r>
      <rPr>
        <b/>
        <sz val="11"/>
        <color rgb="FF000000"/>
        <rFont val="Calibri"/>
        <family val="2"/>
      </rPr>
      <t>⁶</t>
    </r>
  </si>
  <si>
    <t>32 - TOTAL DAS DESPESAS COM AÇÕES TÍPICAS DE MDE CUSTEADAS COM DEMAIS RECEITAS</t>
  </si>
  <si>
    <t>32.1 - EDUCAÇÃO INFANTIL</t>
  </si>
  <si>
    <t xml:space="preserve">32.2 - ENSINO FUNDAMENTAL </t>
  </si>
  <si>
    <t xml:space="preserve">32.3 - ENSINO MÉDIO </t>
  </si>
  <si>
    <t>32.4 - ENSINO SUPERIOR</t>
  </si>
  <si>
    <t>32.5 - ENSINO PROFISSIONAL</t>
  </si>
  <si>
    <t>32.6 - EDUCAÇÃO DE JOVENS E ADULTOS</t>
  </si>
  <si>
    <t>32.7 - EDUCAÇÃO ESPECIAL</t>
  </si>
  <si>
    <t>32.8 - OUTRAS</t>
  </si>
  <si>
    <t>TOTAL GERAL DAS DESPESAS COM EDUCAÇÃO</t>
  </si>
  <si>
    <t>33 - TOTAL GERAL DAS DESPESAS COM EDUCAÇÃO (10 + 20 + 32)</t>
  </si>
  <si>
    <t>33.1 - Despesas Correntes</t>
  </si>
  <si>
    <t>33.1.1 - Pessoal Ativo</t>
  </si>
  <si>
    <t>33.1.2 - Pessoal Inativo</t>
  </si>
  <si>
    <t>33.1.3-Transferências às instituições comunitárias, confessionais ou filantrópicas sem fins lucrativos</t>
  </si>
  <si>
    <t>33.1.4 - Outras Despesas Correntes</t>
  </si>
  <si>
    <t>33.2 - Despesas de Capital</t>
  </si>
  <si>
    <t>33.2.1 - Transferências às instituições comunitárias, confessionais ou filantrópicas sem fins lucrativos</t>
  </si>
  <si>
    <t>33.2.2 - Outras Despesas de Capital</t>
  </si>
  <si>
    <t>CONTROLE DA DISPONIBILIDADE FINANCEIRA E CONCILIAÇÃO BANCÁRIA</t>
  </si>
  <si>
    <t>SALÁRIO EDUCAÇÃO</t>
  </si>
  <si>
    <t>(ah)</t>
  </si>
  <si>
    <t>(ai)</t>
  </si>
  <si>
    <t>35 - (+) INGRESSO DE RECURSOS ATÉ O BIMESTRE (orçamentário)</t>
  </si>
  <si>
    <t>36 - (-) PAGAMENTOS EFETUADOS ATÉ O BIMESTRE (orçamentário e restos a pagar)</t>
  </si>
  <si>
    <t>37 - (=) DISPONIBILIDADE FINANCEIRA ATÉ O BIMESTRE</t>
  </si>
  <si>
    <t>38 - (+) AJUSTES POSITIVOS ( RETENÇÕES E OUTROS VALORES EXTRAORÇAMENTÁRIOS)</t>
  </si>
  <si>
    <t>39 - (-) AJUSTES NEGATIVOS (OUTROS VALORES EXTRAORÇAMENTÁRIOS)</t>
  </si>
  <si>
    <t>40 - (=) SALDO FINANCEIRO CONCILIADO (Saldo Bancário)</t>
  </si>
  <si>
    <t>¹ Os valores informados devem corresponder ao efetivamente transferido. Os percentuais correspodem ao disposto na legislação.</t>
  </si>
  <si>
    <t>² Limites mínimos anuais a serem cumpridos no encerramento do exercício.</t>
  </si>
  <si>
    <t>³ Art. 25, § 3º, Lei 14.113/2020: “Até 10% (dez por cento) dos recursos recebidos à conta dos Fundos, inclusive relativos à complementação da União, nos termos do § 2º do art. 16 desta Lei, poderão ser utilizados no primeiro quadrimestre do exercício imediatamente subsequente, mediante abertura de crédito adicional.”</t>
  </si>
  <si>
    <r>
      <rPr>
        <sz val="11"/>
        <color rgb="FF000000"/>
        <rFont val="Calibri"/>
        <family val="2"/>
      </rPr>
      <t>⁴</t>
    </r>
    <r>
      <rPr>
        <sz val="11"/>
        <color rgb="FF000000"/>
        <rFont val="Calibri"/>
        <family val="2"/>
      </rPr>
      <t xml:space="preserve"> Os valores referentes à parcela dos Restos a Pagar inscritos sem disponibilidade financeira deverão ser informados somente no RREO do último bimestre do exercício.</t>
    </r>
  </si>
  <si>
    <r>
      <rPr>
        <sz val="11"/>
        <color rgb="FF000000"/>
        <rFont val="Calibri"/>
        <family val="2"/>
      </rPr>
      <t>⁵</t>
    </r>
    <r>
      <rPr>
        <sz val="11"/>
        <color rgb="FF000000"/>
        <rFont val="Calibri"/>
        <family val="2"/>
      </rPr>
      <t xml:space="preserve"> Nos cinco primeiros bimestres do exercício o acompanhamento será feito com base na despesa liquidada. No último bimestre do exercício, o valor deverá corresponder ao total da despesa empenhada. </t>
    </r>
  </si>
  <si>
    <r>
      <rPr>
        <sz val="11"/>
        <color rgb="FF000000"/>
        <rFont val="Calibri"/>
        <family val="2"/>
      </rPr>
      <t>⁶</t>
    </r>
    <r>
      <rPr>
        <sz val="11"/>
        <color rgb="FF000000"/>
        <rFont val="Calibri"/>
        <family val="2"/>
      </rPr>
      <t xml:space="preserve"> As linhas representam áreas de atuação e não correspondem exatamente às subfunções da Função Educação. As despesas classificadas nas demais subfunções típicas e nas subfunções atípicas deverão ser rateadas para essas áreas de atuação.</t>
    </r>
  </si>
  <si>
    <r>
      <rPr>
        <sz val="11"/>
        <color rgb="FF000000"/>
        <rFont val="Calibri"/>
        <family val="2"/>
      </rPr>
      <t>⁷</t>
    </r>
    <r>
      <rPr>
        <sz val="11"/>
        <color rgb="FF000000"/>
        <rFont val="Calibri"/>
        <family val="2"/>
      </rPr>
      <t xml:space="preserve"> Valor inscrito em RPNP sem disponibilidade de caixa, que não será considerado na apuração dos indicadores e limites. Para as linhas 15, 16 e 17, deverá ser comparado o total inscrito em RPNP com a disponibilidade de caixa por fonte de recursos. Para a linha 14, deverá ser verificada a diferença entre a disponibilidade nas Fontes do Fundeb e os RPNP referentes a essas despesas. Para a linha 18, deverá ser verificada a diferença entre as disponibilidades na Fonte VAAT e os RPNP dessas despesas.</t>
    </r>
  </si>
  <si>
    <r>
      <rPr>
        <sz val="11"/>
        <color rgb="FF000000"/>
        <rFont val="Calibri"/>
        <family val="2"/>
      </rPr>
      <t>⁸</t>
    </r>
    <r>
      <rPr>
        <sz val="11"/>
        <color rgb="FF000000"/>
        <rFont val="Calibri"/>
        <family val="2"/>
      </rPr>
      <t xml:space="preserve"> Controle da execução de restos a pagar considerados no cumprimento do limite mínimo dos exercícios anteriores.</t>
    </r>
  </si>
  <si>
    <r>
      <rPr>
        <sz val="11"/>
        <color rgb="FF000000"/>
        <rFont val="Calibri"/>
        <family val="2"/>
      </rPr>
      <t>⁹</t>
    </r>
    <r>
      <rPr>
        <sz val="11"/>
        <color rgb="FF000000"/>
        <rFont val="Calibri"/>
        <family val="2"/>
      </rPr>
      <t xml:space="preserve"> Nesta coluna não devem se informados valores inferiores a 0 (zero).</t>
    </r>
  </si>
  <si>
    <r>
      <t>¹</t>
    </r>
    <r>
      <rPr>
        <sz val="11"/>
        <color rgb="FF000000"/>
        <rFont val="Calibri"/>
        <family val="2"/>
      </rPr>
      <t>⁰</t>
    </r>
    <r>
      <rPr>
        <sz val="11"/>
        <color rgb="FF000000"/>
        <rFont val="Calibri"/>
        <family val="2"/>
      </rPr>
      <t xml:space="preserve"> Essa coluna não deve conter percentual superior a 100%. Caso isso ocorra, em razão de valores informados na coluna (i), os percentuais devem ser ajustados para 100%. </t>
    </r>
  </si>
  <si>
    <t>DEMONSTRATIVO DAS RECEITAS DE OPERAÇÕES DE CRÉDITO E DESPESAS DE CAPITAL (REGRA DE OURO)</t>
  </si>
  <si>
    <t>RREO - Anexo 9 (LRF, art. 53, § 1º, inciso I)</t>
  </si>
  <si>
    <t>SALDO NÃO REALIZADO</t>
  </si>
  <si>
    <t>RECEITAS DE OPERAÇÕES DE CRÉDITO¹ (I)</t>
  </si>
  <si>
    <t>SALDO NÃO EXECUTADO</t>
  </si>
  <si>
    <t>(f)=(d-e)</t>
  </si>
  <si>
    <t>Amortização da Dívida</t>
  </si>
  <si>
    <t>(-) Incentivos Fiscais a Contribuinte</t>
  </si>
  <si>
    <t>(-) Incentivos Fiscais a Contribuinte por Instituições Financeiras</t>
  </si>
  <si>
    <t>DESPESA DE CAPITAL LÍQUIDA (II)</t>
  </si>
  <si>
    <t>RESULTADO PARA APURAÇÃO DA REGRA DE OURO (II)=(II-I)</t>
  </si>
  <si>
    <t>¹ Operações de Crédito descritas na CF, art. 167, inciso III.</t>
  </si>
  <si>
    <t>DEMONSTRATIVO DA PROJEÇÃO ATUARIAL DO REGIME PRÓPRIO DE PREVIDÊNCIA DOS SERVIDORES</t>
  </si>
  <si>
    <t>ORÇAMENTO DA SEGURIDADE SOCIAL</t>
  </si>
  <si>
    <t>RREO - Anexo 10 (LRF, art. 53, § 1º, inciso II)</t>
  </si>
  <si>
    <t>EXERCÍCIO</t>
  </si>
  <si>
    <t>RESULTADO</t>
  </si>
  <si>
    <t>SALDO FINANCEIRO</t>
  </si>
  <si>
    <t>PREVIDENCIÁRIAS</t>
  </si>
  <si>
    <t>PREVIDENCIÁRIO</t>
  </si>
  <si>
    <t>DO EXERCÍCIO</t>
  </si>
  <si>
    <t>(d)=("d" exerc. Ant. + c)</t>
  </si>
  <si>
    <t>DEMONSTRATIVO DA RECEITA DE ALIENAÇÃO DE ATIVOS E APLICAÇÃO DOS RECURSOS</t>
  </si>
  <si>
    <t>RREO - Anexo 11 (LRF, art. 53, § 1º, inciso III)</t>
  </si>
  <si>
    <t>RECEITAS DE ALIENAÇÃO DE ATIVOS (I)</t>
  </si>
  <si>
    <t>Receita de Alienação de Bens Móveis</t>
  </si>
  <si>
    <t>Receita de Alienação de Bens Imóveis</t>
  </si>
  <si>
    <t>Receita de Alienação de Bens Intangíveis</t>
  </si>
  <si>
    <t>Receita de Rendimentos de Aplicações Financeiras</t>
  </si>
  <si>
    <t>DESPESAS INSCRITAS</t>
  </si>
  <si>
    <t>PAGAMENTO DE</t>
  </si>
  <si>
    <t>EM RESTOS A PAGAR</t>
  </si>
  <si>
    <t>(h)=(d-e)</t>
  </si>
  <si>
    <t>APLICAÇÃO DOS RECURSOS DA ALIENAÇÃO DE ATIVOS (II)</t>
  </si>
  <si>
    <t>Despesas de Capital</t>
  </si>
  <si>
    <t>Despesas Correntes dos Regimes de Previdência</t>
  </si>
  <si>
    <t>Regime Próprio dos Servidores Públicos</t>
  </si>
  <si>
    <t>SALDO FINANCEIRO A APLICAR</t>
  </si>
  <si>
    <t>(j)=(Ib-(IIf+IIg))</t>
  </si>
  <si>
    <t>(k)=(IIIi+IIIj)</t>
  </si>
  <si>
    <t>VALOR (III)</t>
  </si>
  <si>
    <t>DEMONSTRATIVO DAS RECEITAS E DESPESAS COM AÇÕES E SERVIÇOS PÚBLICOS DE SAÚDE - ASPS</t>
  </si>
  <si>
    <t>RREO – ANEXO XII  (LC n° 141/2012 art.35)</t>
  </si>
  <si>
    <t>RECEITAS RESULTANTES DE IMPOSTOS E TRANSFERÊNCIAS CONSTITUCIONAIS E LEGAIS</t>
  </si>
  <si>
    <t>PREVISÃO  INICIAL</t>
  </si>
  <si>
    <t>(b/a) x 100</t>
  </si>
  <si>
    <t>RECEITA DE IMPOSTOS  (I)</t>
  </si>
  <si>
    <t>Receita Resultante do Imposto Predial e Territorial Urbano - IPTU</t>
  </si>
  <si>
    <t>Receita Resultante do Imposto sobre Transmissão Inter Vivos - ITBI</t>
  </si>
  <si>
    <t>Receita Resultante do Imposto sobre Serviços de Qualquer Natureza - ISS</t>
  </si>
  <si>
    <t>Receita Resultante do Imposto sobre a Renda e Proventos de Qualquer Natureza Retido na Fonte – IRRF</t>
  </si>
  <si>
    <t>RECEITA DE TRANSFERÊNCIAS CONSTITUCIONAIS E LEGAIS (II)</t>
  </si>
  <si>
    <t xml:space="preserve">Cota-Parte IPVA </t>
  </si>
  <si>
    <t>Cota-Parte IPI-Exportação</t>
  </si>
  <si>
    <t>Outras Transferências ou Compensações Financeiras Provenientes de Impostos e Transferências Constitucionais</t>
  </si>
  <si>
    <t>TOTAL DAS RECEITAS RESULTANTES DE IMPOSTOS E TRANFERÊNCIAS CONSTITUCIONAIS E LEGAIS - (III) = (I) + (II)</t>
  </si>
  <si>
    <t>DESPESAS COM AÇÕES E SERVIÇOS PÚBLICOS DE SAÚDE (ASPS) –  POR SUBFUNÇÃO E CATEGORIA ECONÔMICA</t>
  </si>
  <si>
    <t>INSCRITOS EM RESTOS A</t>
  </si>
  <si>
    <t>(d/c) x 100</t>
  </si>
  <si>
    <t>(e/c) x 100</t>
  </si>
  <si>
    <t>(f/c) x 100</t>
  </si>
  <si>
    <t>ATENÇÃO BÁSICA  (IV)</t>
  </si>
  <si>
    <t xml:space="preserve">Despesas Correntes </t>
  </si>
  <si>
    <t>ASSISTÊNCIA HOSPITALAR E AMBULATORIAL  (V)</t>
  </si>
  <si>
    <t>SUPORTE PROFILÁTICO E TERAPÊUTICO  (VI)</t>
  </si>
  <si>
    <t>VIGILÂNCIA SANITÁRIA  (VII)</t>
  </si>
  <si>
    <t>VIGILÂNCIA EPIDEMIOLÓGICA (VIII)</t>
  </si>
  <si>
    <t>ALIMENTAÇÃO E NUTRIÇÃO (IX)</t>
  </si>
  <si>
    <t>OUTRAS SUBFUNÇÕES (X)</t>
  </si>
  <si>
    <t>TOTAL (XI) = (IV + V + VI + VII + VIII + IX + X)</t>
  </si>
  <si>
    <t>APURAÇÃO DO CUMPRIMENTO DO LIMITE MÍNIMO PARA APLICAÇÃO EM ASPS</t>
  </si>
  <si>
    <t>Total das Despesas com ASPS (XII) = (XI)</t>
  </si>
  <si>
    <t>(-) Restos a Pagar Não Processados Inscritos Indevidamente no Exercício sem Disponibilidade Financeira (XIII)</t>
  </si>
  <si>
    <t>(-) Despesas Custeadas com Recursos Vinculados à Parcela do Percentual Mínimo que não foi Aplicada em ASPS em Exercícios Anteriores (XIV)</t>
  </si>
  <si>
    <t>(-) Despesas Custeadas com Disponibilidade de Caixa Vinculada aos Restos a Pagar Cancelados (XV)</t>
  </si>
  <si>
    <t>(=) VALOR APLICADO EM ASPS (XVI) = (XII - XIII - XIV - XV)</t>
  </si>
  <si>
    <t>Despesa Mínima a ser Aplicada em ASPS (XVII) = (III) x 15% (LC 141/2012)</t>
  </si>
  <si>
    <t>Despesa Mínima a ser Aplicada em ASPS (XVII) = (III) x % (Lei Orgânica Municipal)</t>
  </si>
  <si>
    <t>Diferença entre o Valor Aplicado e a Despesa Mínima a ser Aplicada (XVIII) = (XVI (d ou e) - XVII)¹</t>
  </si>
  <si>
    <t>Limite não Cumprido (XIX) = (XVIII) (Quando valor for inferior a zero)</t>
  </si>
  <si>
    <t>PERCENTUAL DA RECEITA DE IMPOSTOS E TRANSFERÊNCIAS CONSTITUCIONAIS E LEGAIS APLICADO EM ASPS  (XVI / III)*100 (mínimo de 15% conforme LC n° 141/2012 ou % da Lei Orgânica Municipal)</t>
  </si>
  <si>
    <t>CONTROLE DO VALOR REFERENTE AO PERCENTUAL MÍNIMO NÃO CUMPRIDO EM EXERCÍCIOS ANTERIORES PARA FINS DE APLICAÇÃO DOS RECURSOS VINCULADOS CONFORME ARTIGOS 25 E 26 DA LC 141/2012</t>
  </si>
  <si>
    <t>LIMITE NÃO CUMPRIDO</t>
  </si>
  <si>
    <t>Saldo Final  (não aplicado)¹</t>
  </si>
  <si>
    <t>(no exercicio atual)</t>
  </si>
  <si>
    <t>(l) = (h - (i ou j))</t>
  </si>
  <si>
    <t>Diferença de limite não cumprido em Exercícios Anteriores (saldo inicial igual ao saldo final do demonstrativo do exercício anterior)</t>
  </si>
  <si>
    <t>TOTAL DA DIFERENÇA DE LIMITE NÃO CUMPRIDO EM EXERCÍCIOS ANTERIORES (XX)</t>
  </si>
  <si>
    <t>EXECUÇÃO DE RESTOS A PAGAR</t>
  </si>
  <si>
    <t>Valor aplicado além do limite mínimo</t>
  </si>
  <si>
    <t>Valor inscrito em RP considerado no Limite</t>
  </si>
  <si>
    <t>Total de RP pagos</t>
  </si>
  <si>
    <t>Total de RP a pagar</t>
  </si>
  <si>
    <t>Total de RP cancelados ou prescritos</t>
  </si>
  <si>
    <t>Diferença entre o valor aplicado além do limite e o total de RP cancelados</t>
  </si>
  <si>
    <t>(o) = (n - m),  se&lt;0, então (o)=0</t>
  </si>
  <si>
    <t>(r) = (p - (o + q)), se&lt;0, então (r)=(0)</t>
  </si>
  <si>
    <t>(t) = (p) - (s) - (u)</t>
  </si>
  <si>
    <t>(v) = ((o + q) - u))</t>
  </si>
  <si>
    <t>TOTAL DOS RESTOS A PAGAR CANCELADOS OU PRESCRITOS ATÉ O FINAL DO EXERCÍCIO ATUAL QUE AFETARAM O CUMPRIMENTO DO LIMITE (XXI) (soma dos saldos negativos da coluna "v")</t>
  </si>
  <si>
    <t>TOTAL DOS RESTOS A PAGAR CANCELADOS OU PRESCRITOS ATÉ O FINAL DO EXERCÍCIO ANTERIOR QUE AFETARAM O CUMPRIMENTO DO LIMITE (XXII) (valor informado no demonstrativo do exercício anterior)</t>
  </si>
  <si>
    <t>TOTAL DOS RESTOS A PAGAR CANCELADOS OU PRESCRITOS NO EXERCÍCIO ATUAL QUE AFETARAM O CUMPRIMENTO DO LIMITE (XXIII) = (XXI - XXII) (Artigo 24 § 1º e 2º da LC 141/2012)</t>
  </si>
  <si>
    <t>TOTAL DE RESTOS A PAGAR CANCELADOS OU PRESCRITOS A COMPENSAR (XXVII)</t>
  </si>
  <si>
    <t>RECEITAS ADICIONAIS PARA O FINANCIAMENTO DA SAÚDE NÃO COMPUTADAS NO CÁLCULO DO MÍNIMO</t>
  </si>
  <si>
    <t>RECEITAS DE TRANSFERÊNCIAS PARA A SAÚDE  (XXVIII)</t>
  </si>
  <si>
    <t>Proveniente da União</t>
  </si>
  <si>
    <t xml:space="preserve">Proveniente dos Estados </t>
  </si>
  <si>
    <t xml:space="preserve">Proveniente de outros Municípios </t>
  </si>
  <si>
    <t>RECEITA DE OPERAÇÕES DE CRÉDITO INTERNAS E EXTERNAS VINCULADAS A SAÚDE (XXIX)</t>
  </si>
  <si>
    <t>OUTRAS RECEITAS (XXX)</t>
  </si>
  <si>
    <t>TOTAL DE RECEITAS ADICIONAIS PARA FINANCIAMENTO DA SAÚDE (XXXI) = (XXVIII + XXIX + XXX)</t>
  </si>
  <si>
    <t>DESPESAS COM SAUDE POR SUBFUNÇÕES E CATEGORIA ECONÔMICA NÃO COMPUTADAS NO CÁLCULO DO MÍNIMO</t>
  </si>
  <si>
    <t>ATENÇÃO BÁSICA  (XXXII)</t>
  </si>
  <si>
    <t>ASSISTÊNCIA HOSPITALAR E AMBULATORIAL  (XXXIII)</t>
  </si>
  <si>
    <t>SUPORTE PROFILÁTICO E TERAPÊUTICO  (XXXIV)</t>
  </si>
  <si>
    <t>VIGILÂNCIA SANITÁRIA  (XXXV)</t>
  </si>
  <si>
    <t>VIGILÂNCIA EPIDEMIOLÓGICA (XXXVI)</t>
  </si>
  <si>
    <t>ALIMENTAÇÃO E NUTRIÇÃO (XXXVII)</t>
  </si>
  <si>
    <t>OUTRAS SUBFUNÇÕES (XXXVIII)</t>
  </si>
  <si>
    <t>TOTAL DAS DESPESAS NÃO COMPUTADAS NO CÁLCULO DO MÍNIMO  (XXXIX) = (XXXII + XXXIII + XXXIV + XXXV + XXXVI + XXXVII + XXXVIII)</t>
  </si>
  <si>
    <t>DESPESAS TOTAIS COM SAÚDE</t>
  </si>
  <si>
    <t>ATENÇÃO BÁSICA (XL) = (IV + XXXII)</t>
  </si>
  <si>
    <t>ASSISTÊNCIA HOSPITALAR E AMBULATORIAL (XLI) = (V + XXXIII)</t>
  </si>
  <si>
    <t>SUPORTE PROFILÁTICO E TERAPÊUTICO (XLII) = (VI + XXXIV)</t>
  </si>
  <si>
    <t>VIGILÂNCIA SANITÁRIA (XLIII) = (VII + XXXV)</t>
  </si>
  <si>
    <t>VIGILÂNCIA EPIDEMIOLÓGICA (XLIV) = (VIII + XXXVI)</t>
  </si>
  <si>
    <t>ALIMENTAÇÃO E NUTRIÇÃO (XLV) = (XIX + XXXVII)</t>
  </si>
  <si>
    <t>OUTRAS SUBFUNÇÕES (XLVI) = (X + XXXVIII)</t>
  </si>
  <si>
    <t>TOTAL DAS DESPESAS COM SAÚDE (XLVII) = (XI + XXXIX)</t>
  </si>
  <si>
    <t>¹ Nos cinco primeiros bimestres do exercício, o acompanhamento será feito com base na despesa liquidada. No último bimestre do exercício, o valor deverá corresponder ao total da despesa empenhada.</t>
  </si>
  <si>
    <t>² Até o exercício de 2018, o controle da execução dos restos a pagar considerava apenas os valores dos restos a pagar não processados (regra antiga). A partir do exercício de 2019, o controle da execução dos restos a pagar considera os restos a pagar processados e não processados (regra nova).</t>
  </si>
  <si>
    <t>DEMONSTRATIVO DAS PARCERIAS PÚBLICO-PRIVADAS</t>
  </si>
  <si>
    <t>RREO - Anexo 13 (Lei nº 11.079, de 30.12.2004, art. 22, 25 e 28)</t>
  </si>
  <si>
    <t>IMPACTOS DAS CONTRATAÇÕES DE PPP</t>
  </si>
  <si>
    <t>SALDO TOTAL EM</t>
  </si>
  <si>
    <t>31 DE DEZEMBRO DO</t>
  </si>
  <si>
    <t>EXERCÍCIO ANTERIOR</t>
  </si>
  <si>
    <t>(acumulado até o bimestre)</t>
  </si>
  <si>
    <t>TOTAL DE ATIVOS</t>
  </si>
  <si>
    <t>Ativos Constituídos pela SPE</t>
  </si>
  <si>
    <t>TOTAL DE PASSIVOS</t>
  </si>
  <si>
    <t>Obrigações decorrentes de Ativos Constituídos pela SPE</t>
  </si>
  <si>
    <t>Provisões de PPP</t>
  </si>
  <si>
    <t>Outros Passivos</t>
  </si>
  <si>
    <t>ATOS POTENCIAIS PASSIVOS</t>
  </si>
  <si>
    <t>Obrigações Contratuais</t>
  </si>
  <si>
    <t>Riscos não Provisionados</t>
  </si>
  <si>
    <t>Garantias Concedidas</t>
  </si>
  <si>
    <t>Outros Passivos Contingentes</t>
  </si>
  <si>
    <t>DESPESAS DE PPP</t>
  </si>
  <si>
    <t>EXERCÍCIO CORRENTE</t>
  </si>
  <si>
    <t>DO ENTE FEDERADO, EXCETO ESTATAIS NÃO DEPENDENTES (I)</t>
  </si>
  <si>
    <t>DAS ESTATAIS NÃO DEPENDENTES (II)</t>
  </si>
  <si>
    <t>TOTAL DAS DESPESAS DE PPP (III) = (I+II)</t>
  </si>
  <si>
    <t>RECEITA CORRENTE LÍQUIDA (RCL) (IV)</t>
  </si>
  <si>
    <t>TOTAL DAS DESPESAS CONSIDERADAS PARA O LIMITE (I)</t>
  </si>
  <si>
    <t>TOTAL DAS DESPESAS CONSIDERADAS PARA O LIMITE / RCL (%) (V) = (I/IV)</t>
  </si>
  <si>
    <t>DEMONSTRATIVO SIMPLIFICADO DO RELATÓRIO RESUMIDO DA EXECUÇÃO ORÇAMENTÁRIA</t>
  </si>
  <si>
    <t>RREO - Anexo 14 (LRF, art. 48)</t>
  </si>
  <si>
    <t>Previsão Inicial</t>
  </si>
  <si>
    <t>Previsão Atualizada</t>
  </si>
  <si>
    <t>Receitas Realizadas</t>
  </si>
  <si>
    <t>Déficit Orçamentário</t>
  </si>
  <si>
    <t>Saldos de Exercícios Anteriores (Utilizados para Créditos Adicionais)</t>
  </si>
  <si>
    <t>Dotação Inicial</t>
  </si>
  <si>
    <t>Dotação Atualizada</t>
  </si>
  <si>
    <t>Despesas Empenhadas</t>
  </si>
  <si>
    <t>Despesas Liquidadas</t>
  </si>
  <si>
    <t>Despesas Pagas</t>
  </si>
  <si>
    <t>Superávit Orçamentário</t>
  </si>
  <si>
    <t>DESPESAS POR FUNÇÃO/SUBFUNÇÃO</t>
  </si>
  <si>
    <t>DESPESAS COM MANUTENÇÃO E DESENVOLVIMENTO DO ENSINO</t>
  </si>
  <si>
    <t>Valor Apurado</t>
  </si>
  <si>
    <t>Limites Constitucionais Anuais</t>
  </si>
  <si>
    <t>% Mínimo a Aplicar no Exercício</t>
  </si>
  <si>
    <t>% Aplicado Até o Bimestre</t>
  </si>
  <si>
    <t>Mínimo anual de 70% do FUNDEB na Remuneração dos Profissionais da Educação Básica</t>
  </si>
  <si>
    <t>Percentual de 50% da Complementação da União ao FUNDEB (VAAT) na Educação Infantil</t>
  </si>
  <si>
    <t>Mínimo de 15% da Complementação da União ao FUNDEB (VAAT) em Despesas de Capital</t>
  </si>
  <si>
    <t>DESPESAS COM AÇÕES E SERVIÇOS PÚBLICOS DE SAÚDE</t>
  </si>
  <si>
    <t>Despesas com Ações e Serviços Públicos de Saúde executadas com recursos de impostos</t>
  </si>
  <si>
    <t>RECEITA CORRENTE LÍQUIDA - RCL</t>
  </si>
  <si>
    <t>Receita Corrente Líquida</t>
  </si>
  <si>
    <t>Receita Corrente Líquida Ajustada para Cálculo dos Limites de Endividamento</t>
  </si>
  <si>
    <t>Receita Corrente Líquida Ajustada para Cálculo dos Limites da Despesa com Pessoal</t>
  </si>
  <si>
    <t>RECEITAS E DESPESAS DO REGIME PRÓPRIO DE PREVIDÊNCIA DOS SERVIDORES</t>
  </si>
  <si>
    <t>Fundo em Capitalização (PLANO PREVIDENCIÁRIO)</t>
  </si>
  <si>
    <t>Receitas Previdenciárias Realizadas</t>
  </si>
  <si>
    <t>Despesas Previdenciárias Empenhadas</t>
  </si>
  <si>
    <t>Despesas Previdenciárias Liquidadas</t>
  </si>
  <si>
    <t>Despesas Previdenciárias Pagas</t>
  </si>
  <si>
    <t>Resultado Previdenciário</t>
  </si>
  <si>
    <t>Fundo em Repartição (PLANO FINANCEIRO)</t>
  </si>
  <si>
    <t>RESULTADOS PRIMÁRIO E NOMINAL</t>
  </si>
  <si>
    <t>Meta Fixada no</t>
  </si>
  <si>
    <t>Resultado Apurado</t>
  </si>
  <si>
    <t>% em Relação à Meta</t>
  </si>
  <si>
    <t>Anexo de Metas</t>
  </si>
  <si>
    <t>Fiscais da LDO</t>
  </si>
  <si>
    <t>RESULTADO PRIMÁRIO (SEM RPPS) - Acima da Linha</t>
  </si>
  <si>
    <t>RESULTADO NOMINAL(SEM RPPS) - Abaixo da Linha</t>
  </si>
  <si>
    <t>RESTOS A PAGAR POR PODER E ÓRGÃO</t>
  </si>
  <si>
    <t>Inscrição</t>
  </si>
  <si>
    <t>Cancelamento</t>
  </si>
  <si>
    <t>Pagamento</t>
  </si>
  <si>
    <t>a Pagar</t>
  </si>
  <si>
    <t>Poder Executivo</t>
  </si>
  <si>
    <t>Poder Legislativo</t>
  </si>
  <si>
    <t>RECEITAS DE OPERAÇÕES DE CRÉDITO E DESPESAS DE CAPITAL</t>
  </si>
  <si>
    <t>Valor Apurado no Exercício</t>
  </si>
  <si>
    <t>Saldo Não Realizado</t>
  </si>
  <si>
    <t>Receita de Operação de Crédito</t>
  </si>
  <si>
    <t>Despesa de Capital Líquida</t>
  </si>
  <si>
    <t>PROJEÇÃO ATUARIAL DO REGIME DE PREVIDÊNCIA</t>
  </si>
  <si>
    <t>Exercício</t>
  </si>
  <si>
    <t>10º Exercício</t>
  </si>
  <si>
    <t>20º Exercício</t>
  </si>
  <si>
    <t>35º Exercício</t>
  </si>
  <si>
    <t>RECEITA DE ALIENAÇÃO DE ATIVOS E APLICAÇÃO DOS RECURSOS</t>
  </si>
  <si>
    <t>Saldo a Realizar</t>
  </si>
  <si>
    <t>Receitas de Alienação de Ativos</t>
  </si>
  <si>
    <t>Aplicação dos Recursos de Alienação de Ativos</t>
  </si>
  <si>
    <t>DESPESAS DE CARÁTER CONTINUADO DERIVADAS DE PPP</t>
  </si>
  <si>
    <t>Valor Apurado no</t>
  </si>
  <si>
    <t>Exercício Corrente</t>
  </si>
  <si>
    <t>Total das Despesas Consideradas para o Limite / RCL (%)</t>
  </si>
  <si>
    <t>RELATÓRIO DE GESTÃO FISCAL</t>
  </si>
  <si>
    <t>DEMONSTRATIVO DA DESPESA COM PESSOAL</t>
  </si>
  <si>
    <t>RGF - ANEXO 1 (LRF, art. 55, inciso I, alínea a)</t>
  </si>
  <si>
    <t>DESPESA COM PESSOAL</t>
  </si>
  <si>
    <t>DESPESAS EXECUTADAS</t>
  </si>
  <si>
    <t>(Últimos 12 Meses)</t>
  </si>
  <si>
    <t>NÃO PROCESSADOS¹</t>
  </si>
  <si>
    <t>DESPESA BRUTA COM PESSOAL (I)</t>
  </si>
  <si>
    <t>Pessoal Ativo</t>
  </si>
  <si>
    <t>Vencimentos, Vantagens e Outras Despesas Variáveis</t>
  </si>
  <si>
    <t>Obrigações Patronais</t>
  </si>
  <si>
    <t>Pessoal Inativo e Pensionistas</t>
  </si>
  <si>
    <t>Aposentadorias, Reservas e Reformas</t>
  </si>
  <si>
    <t>Pensões</t>
  </si>
  <si>
    <t>Outras Despesas de Pessoal Decorrentes de Contratos de Terceirização ou de Contratação de Forma Indireta (§ 1º, art. 18 da LRF)</t>
  </si>
  <si>
    <t>Despesa com Pessoal Não Executada Orçamentariamente</t>
  </si>
  <si>
    <t>DESPESAS NÃO COMPUTADAS (II) (§ 1º, art. 19 da LRF)</t>
  </si>
  <si>
    <t>Indenizações por Demissão e Incentivos à Demissão Voluntária e Deduções Constitucionais</t>
  </si>
  <si>
    <t>Decorrentes de Decisão Judicial de Período Anterior ao da Apuração</t>
  </si>
  <si>
    <t>Despesas de Exercícios Anteriores de Período Anterior ao da Apuração</t>
  </si>
  <si>
    <t>Inativos e Pensionistas com Recursos Vinculados</t>
  </si>
  <si>
    <t>DESPESA LÍQUIDA COM PESSOAL (III)=(I-II)</t>
  </si>
  <si>
    <t>APURAÇÃO DO CUMPRIMENTO DO LIMITE LEGAL</t>
  </si>
  <si>
    <t>% SOBRE A RCL AJUSTADA</t>
  </si>
  <si>
    <t>RECEITA CORRENTE LÍQUIDA - RCL (IV)</t>
  </si>
  <si>
    <t>(-) Transferências obrigatórias da União relativas às emendas individuais (art. 166-A, § 1º, da CF) (V)</t>
  </si>
  <si>
    <t>RECEITA CORRENTE LÍQUIDA AJUSTADA PARA CÁLCULO DOS LIMITES DA DESPESA COM PESSOAL (VII)=(IV-V-VI)</t>
  </si>
  <si>
    <t>DESPESA TOTAL COM PESSOAL - DTP (VIII)=(IIIa+IIIb)</t>
  </si>
  <si>
    <t>LIMITE MÁXIMO (IX) Incisos I, II e III, art. 20 da LRF)</t>
  </si>
  <si>
    <t>LIMITE PRUDENCIAL (X)=(0,95xIX) (parágrafo único do art. 22 da LRF)</t>
  </si>
  <si>
    <t>LIMITE DE ALERTA (XI)=(0,90xIX) (inciso II, § 1º, art. 59 da LRF)</t>
  </si>
  <si>
    <t>¹ Nos demonstrativos elaborados no 1º e 2º quadrimestres e no 1º semestre de cada exercício, os valores de restos a pagar não processados inscritos em 31 de dezembro do exercício anterior continuarão a ser informados nesse campo. Esses valores não sofrem alteração pelo seu processamento, e somente no caso de cancelamento podem ser excluídos.</t>
  </si>
  <si>
    <t>RGF - ANEXO 1 (Portaria STN nº 72/2012, art. 11, I)</t>
  </si>
  <si>
    <t>DESPESA COM PESSOAL EXECUTADA EM CONSÓRCIO PÚBLICO</t>
  </si>
  <si>
    <t>VALORES TRANSFERIDOS</t>
  </si>
  <si>
    <t>POR CONTRATO</t>
  </si>
  <si>
    <t>CONSÓRCIO FRONTEIRA NOROESTE - COFRON</t>
  </si>
  <si>
    <t>DE RATEIO</t>
  </si>
  <si>
    <t>(c)=(a+b)</t>
  </si>
  <si>
    <t>Indenizações por Demissão e Incentivos à Demissão Voluntária</t>
  </si>
  <si>
    <t>CONSÓRCIO INTERMUNICIPAL DE SAÚDE DO NOROESTE DO RS - CISA</t>
  </si>
  <si>
    <t>DEMONSTRATIVO DA DÍVIDA CONSOLIDADA LÍQUIDA</t>
  </si>
  <si>
    <t>RGF - ANEXO 2 (LRF, art. 55, inciso I, alínea b)</t>
  </si>
  <si>
    <t>DÍVIDA CONSOLIDADA</t>
  </si>
  <si>
    <t>SALDO DO</t>
  </si>
  <si>
    <t>Até o 1º Semestre</t>
  </si>
  <si>
    <t>Até o 2º Semestre</t>
  </si>
  <si>
    <t>DÍVIDA CONSOLIDADA - DC (I)</t>
  </si>
  <si>
    <t>Empréstimos</t>
  </si>
  <si>
    <t>Internos</t>
  </si>
  <si>
    <t>Externos</t>
  </si>
  <si>
    <t>Reestruturação da Dívida de Estados e Municípios</t>
  </si>
  <si>
    <t>Financiamentos</t>
  </si>
  <si>
    <t>Parcelamento e Renegociação de Dívidas</t>
  </si>
  <si>
    <t>de Tributos</t>
  </si>
  <si>
    <t>de Contribuições Previdenciárias</t>
  </si>
  <si>
    <t>de Demais Contribuições Sociais</t>
  </si>
  <si>
    <t>do FGTS</t>
  </si>
  <si>
    <t>com Instituição Não Financeira</t>
  </si>
  <si>
    <t>Demais Dívidas Contratuais</t>
  </si>
  <si>
    <t>Precatórios Posteriores a 05/05/2000 (inclusive) - Vencidos e Não Pagos</t>
  </si>
  <si>
    <t>Outras Dívidas</t>
  </si>
  <si>
    <t>Disponibilidade de Caixa¹</t>
  </si>
  <si>
    <t>(-) Restos a Pagar Processados</t>
  </si>
  <si>
    <t>DÍVIDA CONSOLIDADA LÍQUIDA² - DCL (III)=(I-II)</t>
  </si>
  <si>
    <t>RECEITA CORRENTE LÍQUIDA AJUSTADA PARA CÁLCULO DOS LIMITES DE ENDIVIDAMENTO (VI)=(IV-V)</t>
  </si>
  <si>
    <t>% da DC sobre a RCL Ajustada (I/VI)</t>
  </si>
  <si>
    <t>% da DCL sobre a RCL Ajustada (III/VI)</t>
  </si>
  <si>
    <t>LIMITE DEFINIDO PELO SENADO FEDERAL - 120%</t>
  </si>
  <si>
    <t>LIMITE DE ALERTA (inciso III do § 1º do art. 59 da LRF) - 108%</t>
  </si>
  <si>
    <t>OUTROS VALORES NÃO INTEGRANTES DA DC</t>
  </si>
  <si>
    <t>Precatórios anteriores a 05/05/2022</t>
  </si>
  <si>
    <t>Precatórios posteriores a 05/05/2022 (Não incluídos na DC)²</t>
  </si>
  <si>
    <t>Passivo Atuarial</t>
  </si>
  <si>
    <t>RP Não-Processados</t>
  </si>
  <si>
    <t>Antecipações de Receita Orçamentária - ARO</t>
  </si>
  <si>
    <t>Dívida Contratual de PPP</t>
  </si>
  <si>
    <t>Apropriação de depósitos judiciais</t>
  </si>
  <si>
    <t>¹ A Disponibilidade de Caixa Bruta não poderá apresentar valor negativo, porém, em determinadas situações, como utilização de depósitos restituíveis para pagamento de despesas próprias do ente, o valor da linha "Disponibilidade de Caixa" poderá resultar em valor negativo. Por outro lado, o ente deve incluir os valores das obrigações a pagar atrasadas que estiverem registradas como restos a pagar processados (RPP) no item "Outras Dívidas" da DC (I), por meio do registro dos RPP sem disponibilidade financeira em conta de controle específica (e não de forma automática), e, para evitar duplicidade, deve deduzir o valor correspondente do montante total de RPP informado no bloco das DEDUÇÕES (II).</t>
  </si>
  <si>
    <t>² Refere-se aos precatórios psteriores a 05/05/2000 que, em cumprimento ao disposto no artigo 100 da Constituição Federal, ainda não foram incluídos no orçamento ou constam no orçamento e ainda não foram pagos. Ao final do exercício em que esses precatórios foram incluídos ou que deveriam ter sido incluídos, os valores deverão compor a linha "Precatórios Posteriores a 05/05/2000 (inclusive) - Vencidos e não pagos"</t>
  </si>
  <si>
    <t>DEMONSTRATIVO DAS GARANTIAS E CONTRAGARANTIAS DE VALORES</t>
  </si>
  <si>
    <t>RGF - ANEXO 3 (LRF, art. 55, inciso I, alínea a e art. 40, § 1º)</t>
  </si>
  <si>
    <t>GARANTIAS CONCEDIDAS</t>
  </si>
  <si>
    <t>AOS ESTADOS (I)</t>
  </si>
  <si>
    <t>Em Operações de Crédito Externas</t>
  </si>
  <si>
    <t>Em Operações de Crédito Internas</t>
  </si>
  <si>
    <t>AOS MUNICÍPIOS (II)</t>
  </si>
  <si>
    <t>ÀS ENTIDADES CONTROLADAS (III)</t>
  </si>
  <si>
    <t>POR MEIO DE FUNDOS E PROGRAMAS (IV)</t>
  </si>
  <si>
    <t>TOTAL DAS GARANTIAS CONCEDIDAS (V)=(I+II+III+IV)</t>
  </si>
  <si>
    <t>RECEITA CORRENTE LÍQUIDA - RCL (VI)</t>
  </si>
  <si>
    <t>(-) Transferências obrigatórias da União relativas às emendas individuais (art. 166-A, § 1º, da CF) (VII)</t>
  </si>
  <si>
    <t>RECEITA CORRENTE LÍQUIDA AJUSTADA PARA CÁLCULO DOS LIMITES DE DE ENDIVIDAMENTO (VIII)=(VI-VII)</t>
  </si>
  <si>
    <t>% do TOTAL DAS GARANTIAS sobre a RCL AJUSTADA (V/VIII)</t>
  </si>
  <si>
    <t>CONTRAGARANTIAS RECEBIDAS</t>
  </si>
  <si>
    <t>DOS ESTADOS (IX)</t>
  </si>
  <si>
    <t>Em Garantia às Operações de Crédito Externas</t>
  </si>
  <si>
    <t>Em Garantia às Operações de Crédito Internas</t>
  </si>
  <si>
    <t>DOS MUNICÍPIOS (X)</t>
  </si>
  <si>
    <t>DAS ENTIDADES CONTROLADAS (XI)</t>
  </si>
  <si>
    <t>EM GARANTIAS POR POR MEIO DE FUNDOS E PROGRAMAS (XII)</t>
  </si>
  <si>
    <t>TOTAL DAS CONTRAGARANTIAS RECEBIDAS (XIII)=(IX+X+XI+XII)</t>
  </si>
  <si>
    <t>MEDIDAS CORRETIVAS</t>
  </si>
  <si>
    <t>DEMONSTRATIVO DAS OPERAÇÕES DE CRÉDITO</t>
  </si>
  <si>
    <t>RGF - ANEXO 4 (LRF, art. 55, inciso I, alínea d e inciso III alínea c)</t>
  </si>
  <si>
    <t>VALOR REALIZADO</t>
  </si>
  <si>
    <t>No Semestre</t>
  </si>
  <si>
    <t>Até o Semestre</t>
  </si>
  <si>
    <t>de Referência</t>
  </si>
  <si>
    <t>Interna</t>
  </si>
  <si>
    <t>Externa</t>
  </si>
  <si>
    <t>Aquisição Financiada de Bens e Arrendamento Mercantil Financeiro</t>
  </si>
  <si>
    <t>Antecipação de Receita pela Venda a Termo de Bens e Serviços</t>
  </si>
  <si>
    <t>Assunção, Reconhecimento e Confissão de Dívidas (LRF, art. 29, §1º)</t>
  </si>
  <si>
    <t>Operações de crédito não sujeitas ao limite para fins de contratação (I)</t>
  </si>
  <si>
    <t>Operações de crédito não sujeitas ao limite para fins de contratação (II)</t>
  </si>
  <si>
    <t>TOTAL (III)</t>
  </si>
  <si>
    <t>APURAÇÃO DO CUMPRIMENTO DOS LIMITES</t>
  </si>
  <si>
    <t>% SOBRE</t>
  </si>
  <si>
    <t>RCL AJUSTADA</t>
  </si>
  <si>
    <t>OPERAÇÕES VEDADAS (VII)</t>
  </si>
  <si>
    <t>TOTAL CONSIDERADO PARA FINS DA APURAÇÃO DO CUMPRIMENTO DO LIMITE (VIII)=(IIIa+VII-Ia-IIa)</t>
  </si>
  <si>
    <t>LIMITE GERAL DEFINIDO POR RESOLUÇÃO DO SENADO FEDERAL PARA AS OPERAÇÕES DE CRÉDITO INTERNAS E EXTERNAS</t>
  </si>
  <si>
    <t>OPERAÇÕES DE CRÉDITO POR ANTECIPAÇÃO DE RECEITA ORÇAMENTÁRIA</t>
  </si>
  <si>
    <t>LIMITE DEFINIDO POR RESOLUÇÃO DO SENADO FEDERAL PARA AS OPERAÇÕES DE CRÉDITO POR ANTECIPAÇÃO DA RECEITA ORÇAMENTÁRIA</t>
  </si>
  <si>
    <t>OUTRAS OPERAÇÕES QUE INTEGRAM A DÍVIDA CONSOLIDADA</t>
  </si>
  <si>
    <t>Parcelamento de Dívidas</t>
  </si>
  <si>
    <t>Tributos</t>
  </si>
  <si>
    <t>Contribuições Previdenciárias</t>
  </si>
  <si>
    <t>FGTS</t>
  </si>
  <si>
    <t>Demais Contribuições Sociais</t>
  </si>
  <si>
    <t>Operações de reestruturação e recomposição do principal da dívida</t>
  </si>
  <si>
    <t>DEMONSTRATIVO DA DISPONIBILIDADE DE CAIXA E DOS RESTOS A PAGAR</t>
  </si>
  <si>
    <t>RGF - ANEXO 5 (LRF, art. 55, inciso III, alínea a)</t>
  </si>
  <si>
    <t>IDENTIFICAÇÃO DOS RECURSOS</t>
  </si>
  <si>
    <t>DISPONIBILIDADE DE</t>
  </si>
  <si>
    <t>OBRIGAÇÕES FINANCEIRAS</t>
  </si>
  <si>
    <t>INSUFICIÊNCIA</t>
  </si>
  <si>
    <t>DISPONIBILIDADE DE CAIXA</t>
  </si>
  <si>
    <t>EMPENHOS NÃO</t>
  </si>
  <si>
    <t>CAIXA BRUTA</t>
  </si>
  <si>
    <t>Restos a Pagar Liquidados e Não Pagos</t>
  </si>
  <si>
    <t>Restos a Pagar</t>
  </si>
  <si>
    <t>Demais Obrigações</t>
  </si>
  <si>
    <t>FINANCEIRA</t>
  </si>
  <si>
    <t>LÍQUIDA (ANTES DA INSCRIÇÃO</t>
  </si>
  <si>
    <t>EMPENHADOS E</t>
  </si>
  <si>
    <t>LIQUIDADOS CANCELADOS</t>
  </si>
  <si>
    <t>LÍQUIDA (APÓS A INSCRIÇÃO</t>
  </si>
  <si>
    <t>De Exercícios</t>
  </si>
  <si>
    <t>Do Exercício</t>
  </si>
  <si>
    <t xml:space="preserve">Empenhados e Não </t>
  </si>
  <si>
    <t>Financeiras</t>
  </si>
  <si>
    <t>VERIFICADA NO</t>
  </si>
  <si>
    <t>EM RESTOS A PAGAR NÃO</t>
  </si>
  <si>
    <t>NÃO LIQUIDADOS</t>
  </si>
  <si>
    <t>(NÃO INSTRITOS POR</t>
  </si>
  <si>
    <t>Liquidados de</t>
  </si>
  <si>
    <t>CONSÓRCIO</t>
  </si>
  <si>
    <t>PROCESSADOS DO EXERCÍCIO)¹</t>
  </si>
  <si>
    <t>PROCESSADOS DO</t>
  </si>
  <si>
    <t>Exercícios Anteriores</t>
  </si>
  <si>
    <t>PÚBLICO</t>
  </si>
  <si>
    <t>FINANCEIRA)</t>
  </si>
  <si>
    <t>EXERCÍCIO)</t>
  </si>
  <si>
    <t>(g)=(a-(b+c+d+e)-f)</t>
  </si>
  <si>
    <t>(i)=(g-h)</t>
  </si>
  <si>
    <t>TOTAL DOS RECURSOS NÃO VINCULADOS (I)</t>
  </si>
  <si>
    <t>Recursos Não Vinculados de Impostos</t>
  </si>
  <si>
    <t>Outros Recursos não Vinculados</t>
  </si>
  <si>
    <t>TOTAL DOS RECURSOS VINCULADOS (EXCETO AO RPPS) (II)</t>
  </si>
  <si>
    <t>Recursos Vinculados à Educação</t>
  </si>
  <si>
    <t>Outros Recursos Vinculados à Educação</t>
  </si>
  <si>
    <t>Recursos Vinculados à Saúde</t>
  </si>
  <si>
    <t>Transferências Fundo a Fundo de Recursos do SUS</t>
  </si>
  <si>
    <t>Outros Recursos Vinculados à Saúde</t>
  </si>
  <si>
    <t>Recursos Vinculados  à Assistência Social</t>
  </si>
  <si>
    <t>Recursos Vinculados à Previdência Social (Exceto ao RPPS)</t>
  </si>
  <si>
    <t>Demais Vinculações Decorrentes de Transferências</t>
  </si>
  <si>
    <t>Transferências de Convênios e Instrumentos Congêneres (exceto Educação, Saúde e Assistência)</t>
  </si>
  <si>
    <t>Outras Vinculações Decorrentes de Transferências</t>
  </si>
  <si>
    <t>Demais Vinculações Legais</t>
  </si>
  <si>
    <t>Recursos de Operações de Crédito (exceto vinculados à Educação e à Saúde)</t>
  </si>
  <si>
    <t>Recursos de Alienação de Bens/Ativos</t>
  </si>
  <si>
    <t>Recursos Vinculados a Fundos (exceto Educação, Saúde, Assistência e Previdência)</t>
  </si>
  <si>
    <t>Outras Vinculações Legais</t>
  </si>
  <si>
    <t>Recursos Extraorçamentários</t>
  </si>
  <si>
    <t>Outras Vinculações</t>
  </si>
  <si>
    <t>TOTAL DOS RECURSOS VINCULADOS AO RPPS (III)</t>
  </si>
  <si>
    <t>Recursos Vinculados ao RPPS - Fundo em Capitalização (Plano Previdenciário)²</t>
  </si>
  <si>
    <t>Recursos Vinculados  ao RPPS - Fundo em Repartição (Plano Financeiro)</t>
  </si>
  <si>
    <t>Recursos Vinculados ao RPPS - Taxa de Administração</t>
  </si>
  <si>
    <t>TOTAL (IV) = (I + II + III)</t>
  </si>
  <si>
    <t>¹ Essa coluna poderá apresentar valor negativo, indicando, nesse caso, insuficiência de caixa após o registro das obrigações financeiras.</t>
  </si>
  <si>
    <t>² Nessa linha não devem ser informados os investimentos destinados à acumulação para pagamentos futuros.</t>
  </si>
  <si>
    <t>DEMONSTRATIVO SIMPLIFICADO DO RELATÓRIO DE GESTÃO FISCAL</t>
  </si>
  <si>
    <t>RGF - ANEXO 6 (LRF, art. 48)</t>
  </si>
  <si>
    <t>RECEITA CORRENTE LÍQUIDA</t>
  </si>
  <si>
    <t>VALOR ATÉ O SEMESTRE</t>
  </si>
  <si>
    <t>Despesa Total com Pessoal - DTP</t>
  </si>
  <si>
    <t>Limite Máximo (incisos, I, II e III, art. 20 da LRF)</t>
  </si>
  <si>
    <t>Limite Prudencial (parágrafo único, art. 22 da LRF)</t>
  </si>
  <si>
    <t>Limite de Alerta (inciso II, § 1º, art. 59 da LRF)</t>
  </si>
  <si>
    <t>DÍVIDA CONSOLIDADA LÍQUIDA</t>
  </si>
  <si>
    <t>Dívida Consolidada Líquida</t>
  </si>
  <si>
    <t>Limite Definido por Resolução do Senado Federal</t>
  </si>
  <si>
    <t>GARANTIAS DE VALORES</t>
  </si>
  <si>
    <t>Total das Garantias Concedidas</t>
  </si>
  <si>
    <t>Operações de Crédito Externas e Internas</t>
  </si>
  <si>
    <t>Limite Definido pelo Senado Federal para Operações de Crédito Externas e Internas</t>
  </si>
  <si>
    <t>Operações de Crédito por Antecipação da Receita</t>
  </si>
  <si>
    <t>Limite Definido pelo Senado Federal para Operações de Crédito por Antecipação da Receita</t>
  </si>
  <si>
    <t>RESTOS A PAGAR EMPENHADOS E NÃO LIQUIDADOS DO EXERCÍCIO</t>
  </si>
  <si>
    <t>DISPONIBILIDADE DE CAIXA LÍQUIDA (APÓS A INSCRIÇÃO EM RESTOS A PAGAR NÃO PROCESSADOS DO EXERCÍCIO)</t>
  </si>
  <si>
    <t>Valor Total</t>
  </si>
  <si>
    <t>CONSOLIDADO</t>
  </si>
  <si>
    <t>(-) Transferências obrigatórias da União relativas às emendas de bancada (art. 166, § 16, da CF)</t>
  </si>
  <si>
    <t>(-) Transferências da União relativas à remuneração dos agentes comunitários de saúde e de combate às endemias (CF, art. 198, § 11) (VII)</t>
  </si>
  <si>
    <t>(-) Outras Deduções Constitucionais ou Legais (VIII)</t>
  </si>
  <si>
    <t>Agentes Comunitários de Saúde e de Combate a Endemias com Recursos Vinculados (CF, art. 198, § 11)</t>
  </si>
  <si>
    <t>Parcela dedutível referente ao piso salarial do Enfermeiro, Técnico de Enfermagem, Auxiliar de Enfermagem e Parteira</t>
  </si>
  <si>
    <t>Outras Deduções Constitucionais ou Legais</t>
  </si>
  <si>
    <t>(-) Transferências da União relativas à remuneração dos agentes comunitários de saúde e de combate às endemias (CF, art. 198, § 11)</t>
  </si>
  <si>
    <t>(-) Transferências obrigatórias da União relativas às emendas individuais (art. 166-A, § 1º, da CF)</t>
  </si>
  <si>
    <t>(-) Outras Deduções Constitucionais ou Legais</t>
  </si>
  <si>
    <t>RECEITA CORRENTE LÍQUIDA AJUSTADA PARA CÁLCULO DOS LIMITES DA DESPESA COM PESSOAL (V)</t>
  </si>
  <si>
    <t>DESPESA TOTAL COM PESSOAL - DTP (VI)=(IIIa+IIIb)</t>
  </si>
  <si>
    <t>LIMITE MÁXIMO (VII) Incisos I, II e III, art. 20 da LRF)</t>
  </si>
  <si>
    <t>LIMITE PRUDENCIAL (VIII)=(0,95xIX) (parágrafo único do art. 22 da LRF)</t>
  </si>
  <si>
    <t>LIMITE DE ALERTA (IX)=(0,90xIX) (inciso II, § 1º, art. 59 da LRF)</t>
  </si>
  <si>
    <t>Descrição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</si>
</sst>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8" formatCode="&quot;R$&quot;\ #,##0.00;[Red]\-&quot;R$&quot;\ #,##0.00"/>
    <numFmt numFmtId="43" formatCode="_-* #,##0.00_-;\-* #,##0.00_-;_-* &quot;-&quot;??_-;_-@_-"/>
    <numFmt numFmtId="164" formatCode="* #,##0.00_-;[Red]* \(#,##0.00\);* &quot;-&quot;??_-;_-@_-"/>
    <numFmt numFmtId="165" formatCode="0.00%;\(0.00%\);* &quot;-&quot;??_-;_-@_-"/>
    <numFmt numFmtId="166" formatCode="mm/yyyy"/>
    <numFmt numFmtId="167" formatCode="0&quot;.&quot;000"/>
    <numFmt numFmtId="168" formatCode="0&quot;.&quot;0&quot;.&quot;00&quot;.&quot;00&quot;.&quot;00&quot;.&quot;00&quot;.&quot;00"/>
    <numFmt numFmtId="169" formatCode="0.00%;[Red]\(0.00%\)"/>
  </numFmts>
  <fonts count="7" x14ac:knownFonts="1">
    <font>
      <sz val="11"/>
      <color rgb="FF000000"/>
      <name val="Calibri"/>
      <scheme val="minor"/>
    </font>
    <font>
      <sz val="10"/>
      <color rgb="FF000000"/>
      <name val="Calibri"/>
      <family val="2"/>
      <scheme val="minor"/>
    </font>
    <font>
      <b/>
      <sz val="11"/>
      <color rgb="FF000000"/>
      <name val="Calibri"/>
      <family val="2"/>
      <scheme val="minor"/>
    </font>
    <font>
      <i/>
      <sz val="11"/>
      <color rgb="FF000000"/>
      <name val="Calibri"/>
      <family val="2"/>
      <scheme val="minor"/>
    </font>
    <font>
      <b/>
      <sz val="11"/>
      <color rgb="FF000000"/>
      <name val="Calibri"/>
      <family val="2"/>
    </font>
    <font>
      <sz val="11"/>
      <color rgb="FF000000"/>
      <name val="Calibri"/>
      <family val="2"/>
    </font>
    <font>
      <sz val="11"/>
      <color rgb="FF000000"/>
      <name val="Calibri"/>
      <scheme val="minor"/>
    </font>
  </fonts>
  <fills count="7">
    <fill>
      <patternFill patternType="none"/>
    </fill>
    <fill>
      <patternFill patternType="gray125"/>
    </fill>
    <fill>
      <patternFill patternType="solid">
        <fgColor rgb="FFD9D9D9"/>
        <bgColor rgb="FFFFFFFF"/>
      </patternFill>
    </fill>
    <fill>
      <patternFill patternType="solid">
        <fgColor rgb="FFD9D9D9"/>
        <bgColor rgb="FFD9D9D9"/>
      </patternFill>
    </fill>
    <fill>
      <patternFill patternType="solid">
        <fgColor rgb="FF808080"/>
        <bgColor rgb="FFFFFFFF"/>
      </patternFill>
    </fill>
    <fill>
      <patternFill patternType="lightUp">
        <fgColor rgb="FFFFFFFF"/>
        <bgColor rgb="FFD9D9D9"/>
      </patternFill>
    </fill>
    <fill>
      <patternFill patternType="solid">
        <fgColor theme="0" tint="-0.14999847407452621"/>
        <bgColor indexed="64"/>
      </patternFill>
    </fill>
  </fills>
  <borders count="36">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medium">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diagonal/>
    </border>
    <border>
      <left/>
      <right style="thin">
        <color rgb="FF000000"/>
      </right>
      <top style="medium">
        <color rgb="FF000000"/>
      </top>
      <bottom style="medium">
        <color rgb="FF000000"/>
      </bottom>
      <diagonal/>
    </border>
    <border>
      <left/>
      <right/>
      <top style="medium">
        <color rgb="FF000000"/>
      </top>
      <bottom/>
      <diagonal/>
    </border>
    <border>
      <left/>
      <right/>
      <top style="thin">
        <color rgb="FF000000"/>
      </top>
      <bottom style="medium">
        <color rgb="FF000000"/>
      </bottom>
      <diagonal/>
    </border>
    <border>
      <left/>
      <right/>
      <top style="medium">
        <color rgb="FF000000"/>
      </top>
      <bottom style="thin">
        <color rgb="FF000000"/>
      </bottom>
      <diagonal/>
    </border>
    <border>
      <left/>
      <right/>
      <top style="thin">
        <color rgb="FF000000"/>
      </top>
      <bottom/>
      <diagonal/>
    </border>
    <border>
      <left/>
      <right/>
      <top/>
      <bottom style="medium">
        <color rgb="FF000000"/>
      </bottom>
      <diagonal/>
    </border>
    <border>
      <left/>
      <right/>
      <top/>
      <bottom style="thin">
        <color rgb="FF000000"/>
      </bottom>
      <diagonal/>
    </border>
    <border>
      <left/>
      <right/>
      <top style="medium">
        <color rgb="FF000000"/>
      </top>
      <bottom style="medium">
        <color rgb="FF000000"/>
      </bottom>
      <diagonal/>
    </border>
    <border>
      <left/>
      <right/>
      <top style="thin">
        <color rgb="FF000000"/>
      </top>
      <bottom style="thin">
        <color rgb="FF000000"/>
      </bottom>
      <diagonal/>
    </border>
  </borders>
  <cellStyleXfs count="2">
    <xf numFmtId="0" fontId="0" fillId="0" borderId="0"/>
    <xf numFmtId="43" fontId="6" fillId="0" borderId="0" applyFont="0" applyFill="0" applyBorder="0" applyAlignment="0" applyProtection="0"/>
  </cellStyleXfs>
  <cellXfs count="433">
    <xf numFmtId="0" fontId="0" fillId="0" borderId="0" xfId="0"/>
    <xf numFmtId="0" fontId="0" fillId="0" borderId="0" xfId="0" applyAlignment="1">
      <alignment horizontal="right"/>
    </xf>
    <xf numFmtId="0" fontId="1" fillId="0" borderId="0" xfId="0" applyFont="1" applyAlignment="1">
      <alignment horizontal="right"/>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wrapText="1"/>
    </xf>
    <xf numFmtId="14" fontId="0" fillId="0" borderId="0" xfId="0" applyNumberFormat="1" applyAlignment="1">
      <alignment horizontal="left"/>
    </xf>
    <xf numFmtId="0" fontId="2" fillId="0" borderId="8" xfId="0" applyFont="1" applyBorder="1"/>
    <xf numFmtId="164" fontId="2" fillId="0" borderId="9" xfId="0" applyNumberFormat="1" applyFont="1" applyBorder="1"/>
    <xf numFmtId="164" fontId="2" fillId="0" borderId="10" xfId="0" applyNumberFormat="1" applyFont="1" applyBorder="1"/>
    <xf numFmtId="10" fontId="2" fillId="0" borderId="9" xfId="0" applyNumberFormat="1" applyFont="1" applyBorder="1"/>
    <xf numFmtId="9" fontId="0" fillId="0" borderId="0" xfId="0" applyNumberFormat="1"/>
    <xf numFmtId="0" fontId="0" fillId="0" borderId="11" xfId="0" applyBorder="1"/>
    <xf numFmtId="164" fontId="0" fillId="0" borderId="12" xfId="0" applyNumberFormat="1" applyBorder="1"/>
    <xf numFmtId="164" fontId="0" fillId="0" borderId="13" xfId="0" applyNumberFormat="1" applyBorder="1"/>
    <xf numFmtId="8" fontId="1" fillId="0" borderId="0" xfId="0" applyNumberFormat="1" applyFont="1"/>
    <xf numFmtId="0" fontId="2" fillId="2" borderId="14" xfId="0" applyFont="1" applyFill="1" applyBorder="1" applyAlignment="1">
      <alignment horizontal="center"/>
    </xf>
    <xf numFmtId="164" fontId="0" fillId="0" borderId="9" xfId="0" applyNumberFormat="1" applyBorder="1"/>
    <xf numFmtId="164" fontId="2" fillId="0" borderId="9" xfId="0" applyNumberFormat="1" applyFont="1" applyBorder="1" applyAlignment="1">
      <alignment horizontal="right"/>
    </xf>
    <xf numFmtId="164" fontId="2" fillId="0" borderId="10" xfId="0" applyNumberFormat="1" applyFont="1" applyBorder="1" applyAlignment="1">
      <alignment horizontal="right"/>
    </xf>
    <xf numFmtId="164" fontId="2" fillId="0" borderId="15" xfId="0" applyNumberFormat="1" applyFont="1" applyBorder="1" applyAlignment="1">
      <alignment horizontal="right"/>
    </xf>
    <xf numFmtId="164" fontId="2" fillId="0" borderId="16" xfId="0" applyNumberFormat="1" applyFont="1" applyBorder="1" applyAlignment="1">
      <alignment horizontal="right"/>
    </xf>
    <xf numFmtId="164" fontId="0" fillId="0" borderId="2" xfId="0" applyNumberFormat="1" applyBorder="1"/>
    <xf numFmtId="164" fontId="0" fillId="0" borderId="6" xfId="0" applyNumberFormat="1" applyBorder="1"/>
    <xf numFmtId="0" fontId="0" fillId="0" borderId="17" xfId="0" applyBorder="1" applyAlignment="1">
      <alignment horizontal="left" indent="1"/>
    </xf>
    <xf numFmtId="0" fontId="0" fillId="0" borderId="17" xfId="0" applyBorder="1" applyAlignment="1">
      <alignment horizontal="left" indent="2"/>
    </xf>
    <xf numFmtId="0" fontId="2" fillId="2" borderId="17" xfId="0" applyFont="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2" borderId="7" xfId="0" applyFont="1" applyFill="1" applyBorder="1" applyAlignment="1">
      <alignment horizontal="center" vertical="center"/>
    </xf>
    <xf numFmtId="164" fontId="0" fillId="0" borderId="21" xfId="0" applyNumberFormat="1" applyBorder="1"/>
    <xf numFmtId="10" fontId="0" fillId="0" borderId="22" xfId="0" applyNumberFormat="1" applyBorder="1"/>
    <xf numFmtId="0" fontId="2" fillId="2" borderId="5" xfId="0" applyFont="1" applyFill="1" applyBorder="1" applyAlignment="1">
      <alignment horizontal="center" vertical="center"/>
    </xf>
    <xf numFmtId="10" fontId="0" fillId="0" borderId="10" xfId="0" applyNumberFormat="1" applyBorder="1"/>
    <xf numFmtId="0" fontId="2" fillId="2" borderId="20" xfId="0" applyFont="1" applyFill="1" applyBorder="1" applyAlignment="1">
      <alignment horizontal="center" vertical="center"/>
    </xf>
    <xf numFmtId="0" fontId="3" fillId="0" borderId="0" xfId="0" applyFont="1"/>
    <xf numFmtId="0" fontId="0" fillId="0" borderId="0" xfId="0" applyAlignment="1">
      <alignment horizontal="left"/>
    </xf>
    <xf numFmtId="0" fontId="2" fillId="2" borderId="23" xfId="0" applyFont="1" applyFill="1" applyBorder="1" applyAlignment="1">
      <alignment horizontal="center"/>
    </xf>
    <xf numFmtId="0" fontId="2" fillId="2" borderId="24" xfId="0" applyFont="1" applyFill="1" applyBorder="1" applyAlignment="1">
      <alignment horizontal="center"/>
    </xf>
    <xf numFmtId="0" fontId="0" fillId="0" borderId="19" xfId="0" applyBorder="1"/>
    <xf numFmtId="164" fontId="0" fillId="0" borderId="7" xfId="0" applyNumberFormat="1" applyBorder="1" applyAlignment="1">
      <alignment horizontal="right"/>
    </xf>
    <xf numFmtId="10" fontId="0" fillId="0" borderId="7" xfId="0" applyNumberFormat="1" applyBorder="1" applyAlignment="1">
      <alignment horizontal="right"/>
    </xf>
    <xf numFmtId="164" fontId="0" fillId="0" borderId="20" xfId="0" applyNumberFormat="1" applyBorder="1" applyAlignment="1">
      <alignment horizontal="right"/>
    </xf>
    <xf numFmtId="164" fontId="0" fillId="0" borderId="2" xfId="0" applyNumberFormat="1" applyBorder="1" applyAlignment="1">
      <alignment horizontal="right"/>
    </xf>
    <xf numFmtId="10" fontId="0" fillId="0" borderId="2" xfId="0" applyNumberFormat="1" applyBorder="1" applyAlignment="1">
      <alignment horizontal="right"/>
    </xf>
    <xf numFmtId="164" fontId="0" fillId="0" borderId="6" xfId="0" applyNumberFormat="1" applyBorder="1" applyAlignment="1">
      <alignment horizontal="right"/>
    </xf>
    <xf numFmtId="0" fontId="0" fillId="0" borderId="17" xfId="0" applyBorder="1" applyAlignment="1">
      <alignment horizontal="left" indent="3"/>
    </xf>
    <xf numFmtId="0" fontId="0" fillId="0" borderId="17" xfId="0" applyBorder="1"/>
    <xf numFmtId="0" fontId="2" fillId="0" borderId="18" xfId="0" applyFont="1" applyBorder="1"/>
    <xf numFmtId="164" fontId="2" fillId="0" borderId="3" xfId="0" applyNumberFormat="1" applyFont="1" applyBorder="1" applyAlignment="1">
      <alignment horizontal="right"/>
    </xf>
    <xf numFmtId="164" fontId="2" fillId="0" borderId="4" xfId="0" applyNumberFormat="1" applyFont="1" applyBorder="1" applyAlignment="1">
      <alignment horizontal="right"/>
    </xf>
    <xf numFmtId="0" fontId="0" fillId="0" borderId="11" xfId="0" applyBorder="1" applyAlignment="1">
      <alignment horizontal="left" indent="1"/>
    </xf>
    <xf numFmtId="164" fontId="0" fillId="0" borderId="12" xfId="0" applyNumberFormat="1" applyBorder="1" applyAlignment="1">
      <alignment horizontal="right"/>
    </xf>
    <xf numFmtId="10" fontId="0" fillId="0" borderId="12" xfId="0" applyNumberFormat="1" applyBorder="1" applyAlignment="1">
      <alignment horizontal="right"/>
    </xf>
    <xf numFmtId="164" fontId="0" fillId="0" borderId="13" xfId="0" applyNumberFormat="1" applyBorder="1" applyAlignment="1">
      <alignment horizontal="right"/>
    </xf>
    <xf numFmtId="164" fontId="0" fillId="0" borderId="7" xfId="0" applyNumberFormat="1" applyBorder="1"/>
    <xf numFmtId="164" fontId="0" fillId="0" borderId="20" xfId="0" applyNumberFormat="1" applyBorder="1"/>
    <xf numFmtId="0" fontId="0" fillId="0" borderId="18" xfId="0" applyBorder="1" applyAlignment="1">
      <alignment horizontal="left" indent="2"/>
    </xf>
    <xf numFmtId="164" fontId="0" fillId="0" borderId="3" xfId="0" applyNumberFormat="1" applyBorder="1"/>
    <xf numFmtId="164" fontId="0" fillId="0" borderId="4" xfId="0" applyNumberFormat="1" applyBorder="1"/>
    <xf numFmtId="0" fontId="2" fillId="0" borderId="19" xfId="0" applyFont="1" applyBorder="1"/>
    <xf numFmtId="164" fontId="2" fillId="0" borderId="7" xfId="0" applyNumberFormat="1" applyFont="1" applyBorder="1"/>
    <xf numFmtId="164" fontId="2" fillId="0" borderId="20" xfId="0" applyNumberFormat="1" applyFont="1" applyBorder="1"/>
    <xf numFmtId="0" fontId="0" fillId="0" borderId="11" xfId="0" applyBorder="1" applyAlignment="1">
      <alignment horizontal="left" indent="3"/>
    </xf>
    <xf numFmtId="10" fontId="0" fillId="0" borderId="7" xfId="0" applyNumberFormat="1" applyBorder="1"/>
    <xf numFmtId="10" fontId="0" fillId="0" borderId="2" xfId="0" applyNumberFormat="1" applyBorder="1"/>
    <xf numFmtId="0" fontId="0" fillId="0" borderId="18" xfId="0" applyBorder="1"/>
    <xf numFmtId="10" fontId="0" fillId="0" borderId="3" xfId="0" applyNumberFormat="1" applyBorder="1"/>
    <xf numFmtId="164" fontId="0" fillId="0" borderId="3" xfId="0" applyNumberFormat="1" applyBorder="1" applyAlignment="1">
      <alignment horizontal="right"/>
    </xf>
    <xf numFmtId="164" fontId="0" fillId="0" borderId="4" xfId="0" applyNumberFormat="1" applyBorder="1" applyAlignment="1">
      <alignment horizontal="right"/>
    </xf>
    <xf numFmtId="0" fontId="0" fillId="0" borderId="17" xfId="0" applyBorder="1" applyAlignment="1">
      <alignment wrapText="1"/>
    </xf>
    <xf numFmtId="0" fontId="0" fillId="0" borderId="18" xfId="0" applyBorder="1" applyAlignment="1">
      <alignment wrapText="1"/>
    </xf>
    <xf numFmtId="10" fontId="0" fillId="0" borderId="20" xfId="0" applyNumberFormat="1" applyBorder="1"/>
    <xf numFmtId="10" fontId="0" fillId="0" borderId="6" xfId="0" applyNumberFormat="1" applyBorder="1"/>
    <xf numFmtId="10" fontId="0" fillId="0" borderId="4" xfId="0" applyNumberFormat="1" applyBorder="1"/>
    <xf numFmtId="0" fontId="2" fillId="2" borderId="6" xfId="0" applyFont="1" applyFill="1" applyBorder="1" applyAlignment="1">
      <alignment horizontal="center" vertical="center"/>
    </xf>
    <xf numFmtId="164" fontId="2" fillId="0" borderId="12" xfId="0" applyNumberFormat="1" applyFont="1" applyBorder="1"/>
    <xf numFmtId="10" fontId="2" fillId="0" borderId="13" xfId="0" applyNumberFormat="1" applyFont="1" applyBorder="1"/>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164" fontId="2" fillId="0" borderId="21" xfId="0" applyNumberFormat="1" applyFont="1" applyBorder="1"/>
    <xf numFmtId="164" fontId="2" fillId="0" borderId="22" xfId="0" applyNumberFormat="1" applyFont="1" applyBorder="1"/>
    <xf numFmtId="10" fontId="2" fillId="0" borderId="10" xfId="0" applyNumberFormat="1" applyFont="1" applyBorder="1"/>
    <xf numFmtId="0" fontId="2" fillId="2" borderId="5" xfId="0" applyFont="1" applyFill="1" applyBorder="1" applyAlignment="1">
      <alignment horizontal="center" vertical="center" wrapText="1"/>
    </xf>
    <xf numFmtId="164" fontId="0" fillId="0" borderId="14" xfId="0" applyNumberFormat="1" applyBorder="1"/>
    <xf numFmtId="164" fontId="0" fillId="0" borderId="22" xfId="0" applyNumberFormat="1" applyBorder="1"/>
    <xf numFmtId="164" fontId="0" fillId="0" borderId="10" xfId="0" applyNumberFormat="1" applyBorder="1"/>
    <xf numFmtId="0" fontId="2" fillId="2" borderId="1" xfId="0" applyFont="1" applyFill="1" applyBorder="1"/>
    <xf numFmtId="0" fontId="0" fillId="0" borderId="2" xfId="0" applyBorder="1"/>
    <xf numFmtId="0" fontId="0" fillId="0" borderId="6" xfId="0" applyBorder="1"/>
    <xf numFmtId="0" fontId="2" fillId="2" borderId="3" xfId="0" applyFont="1" applyFill="1" applyBorder="1"/>
    <xf numFmtId="10" fontId="0" fillId="0" borderId="12" xfId="0" applyNumberFormat="1" applyBorder="1"/>
    <xf numFmtId="10" fontId="0" fillId="0" borderId="13" xfId="0" applyNumberFormat="1" applyBorder="1"/>
    <xf numFmtId="0" fontId="0" fillId="0" borderId="7" xfId="0" applyBorder="1"/>
    <xf numFmtId="0" fontId="0" fillId="0" borderId="20" xfId="0" applyBorder="1"/>
    <xf numFmtId="0" fontId="0" fillId="0" borderId="25" xfId="0" applyBorder="1"/>
    <xf numFmtId="0" fontId="0" fillId="0" borderId="21" xfId="0" applyBorder="1"/>
    <xf numFmtId="0" fontId="0" fillId="0" borderId="22" xfId="0" applyBorder="1"/>
    <xf numFmtId="0" fontId="2" fillId="0" borderId="9" xfId="0" applyFont="1" applyBorder="1"/>
    <xf numFmtId="0" fontId="2" fillId="0" borderId="10" xfId="0" applyFont="1" applyBorder="1"/>
    <xf numFmtId="43" fontId="0" fillId="0" borderId="0" xfId="0" applyNumberFormat="1"/>
    <xf numFmtId="14" fontId="0" fillId="0" borderId="0" xfId="0" applyNumberFormat="1"/>
    <xf numFmtId="43" fontId="0" fillId="0" borderId="2" xfId="0" applyNumberFormat="1" applyBorder="1"/>
    <xf numFmtId="0" fontId="0" fillId="3" borderId="22" xfId="0" applyFill="1" applyBorder="1"/>
    <xf numFmtId="0" fontId="0" fillId="3" borderId="25" xfId="0" applyFill="1" applyBorder="1"/>
    <xf numFmtId="14" fontId="0" fillId="0" borderId="25" xfId="0" applyNumberFormat="1" applyBorder="1"/>
    <xf numFmtId="14" fontId="0" fillId="3" borderId="25" xfId="0" applyNumberFormat="1" applyFill="1" applyBorder="1"/>
    <xf numFmtId="14" fontId="0" fillId="0" borderId="19" xfId="0" applyNumberFormat="1" applyBorder="1"/>
    <xf numFmtId="164" fontId="0" fillId="4" borderId="7" xfId="0" applyNumberFormat="1" applyFill="1" applyBorder="1"/>
    <xf numFmtId="164" fontId="0" fillId="4" borderId="20" xfId="0" applyNumberFormat="1" applyFill="1" applyBorder="1"/>
    <xf numFmtId="164" fontId="0" fillId="4" borderId="2" xfId="0" applyNumberFormat="1" applyFill="1" applyBorder="1"/>
    <xf numFmtId="164" fontId="0" fillId="4" borderId="6" xfId="0" applyNumberFormat="1" applyFill="1" applyBorder="1"/>
    <xf numFmtId="164" fontId="2" fillId="0" borderId="7" xfId="0" applyNumberFormat="1" applyFont="1" applyBorder="1" applyAlignment="1">
      <alignment horizontal="right"/>
    </xf>
    <xf numFmtId="164" fontId="2" fillId="0" borderId="20" xfId="0" applyNumberFormat="1" applyFont="1" applyBorder="1" applyAlignment="1">
      <alignment horizontal="right"/>
    </xf>
    <xf numFmtId="165" fontId="0" fillId="0" borderId="2" xfId="0" applyNumberFormat="1" applyBorder="1"/>
    <xf numFmtId="165" fontId="0" fillId="0" borderId="7" xfId="0" applyNumberFormat="1" applyBorder="1"/>
    <xf numFmtId="165" fontId="0" fillId="0" borderId="3" xfId="0" applyNumberFormat="1" applyBorder="1"/>
    <xf numFmtId="165" fontId="2" fillId="0" borderId="9" xfId="0" applyNumberFormat="1" applyFont="1" applyBorder="1"/>
    <xf numFmtId="165" fontId="0" fillId="0" borderId="7" xfId="0" applyNumberFormat="1" applyBorder="1" applyAlignment="1">
      <alignment horizontal="right"/>
    </xf>
    <xf numFmtId="165" fontId="0" fillId="0" borderId="2" xfId="0" applyNumberFormat="1" applyBorder="1" applyAlignment="1">
      <alignment horizontal="right"/>
    </xf>
    <xf numFmtId="165" fontId="0" fillId="0" borderId="12" xfId="0" applyNumberFormat="1" applyBorder="1" applyAlignment="1">
      <alignment horizontal="right"/>
    </xf>
    <xf numFmtId="165" fontId="2" fillId="0" borderId="3" xfId="0" applyNumberFormat="1" applyFont="1" applyBorder="1" applyAlignment="1">
      <alignment horizontal="right"/>
    </xf>
    <xf numFmtId="0" fontId="2" fillId="0" borderId="0" xfId="0" applyFont="1"/>
    <xf numFmtId="164" fontId="0" fillId="0" borderId="0" xfId="0" applyNumberFormat="1"/>
    <xf numFmtId="10" fontId="0" fillId="0" borderId="0" xfId="0" applyNumberFormat="1"/>
    <xf numFmtId="0" fontId="2" fillId="0" borderId="17" xfId="0" applyFont="1" applyBorder="1"/>
    <xf numFmtId="166" fontId="2" fillId="2" borderId="3" xfId="0" applyNumberFormat="1" applyFont="1" applyFill="1" applyBorder="1" applyAlignment="1">
      <alignment horizontal="center" vertical="center"/>
    </xf>
    <xf numFmtId="0" fontId="2" fillId="2" borderId="25" xfId="0" applyFont="1" applyFill="1" applyBorder="1"/>
    <xf numFmtId="0" fontId="2" fillId="2" borderId="25" xfId="0" applyFont="1" applyFill="1" applyBorder="1" applyAlignment="1">
      <alignment wrapText="1"/>
    </xf>
    <xf numFmtId="0" fontId="2" fillId="2" borderId="8" xfId="0" applyFont="1" applyFill="1" applyBorder="1" applyAlignment="1">
      <alignment wrapText="1"/>
    </xf>
    <xf numFmtId="164" fontId="2" fillId="0" borderId="2" xfId="0" applyNumberFormat="1" applyFont="1" applyBorder="1" applyAlignment="1">
      <alignment horizontal="right"/>
    </xf>
    <xf numFmtId="164" fontId="2" fillId="0" borderId="6" xfId="0" applyNumberFormat="1" applyFont="1" applyBorder="1" applyAlignment="1">
      <alignment horizontal="right"/>
    </xf>
    <xf numFmtId="164" fontId="2" fillId="2" borderId="21" xfId="0" applyNumberFormat="1" applyFont="1" applyFill="1" applyBorder="1" applyAlignment="1">
      <alignment horizontal="right"/>
    </xf>
    <xf numFmtId="164" fontId="2" fillId="2" borderId="22" xfId="0" applyNumberFormat="1" applyFont="1" applyFill="1" applyBorder="1" applyAlignment="1">
      <alignment horizontal="right"/>
    </xf>
    <xf numFmtId="164" fontId="2" fillId="2" borderId="9" xfId="0" applyNumberFormat="1" applyFont="1" applyFill="1" applyBorder="1" applyAlignment="1">
      <alignment horizontal="right"/>
    </xf>
    <xf numFmtId="164" fontId="2" fillId="2" borderId="10" xfId="0" applyNumberFormat="1" applyFont="1" applyFill="1" applyBorder="1" applyAlignment="1">
      <alignment horizontal="right"/>
    </xf>
    <xf numFmtId="8" fontId="1" fillId="0" borderId="0" xfId="0" applyNumberFormat="1" applyFont="1" applyAlignment="1">
      <alignment horizontal="right"/>
    </xf>
    <xf numFmtId="166" fontId="2" fillId="2" borderId="3" xfId="0" applyNumberFormat="1" applyFont="1" applyFill="1" applyBorder="1" applyAlignment="1">
      <alignment horizontal="center"/>
    </xf>
    <xf numFmtId="0" fontId="0" fillId="0" borderId="17" xfId="0" applyBorder="1" applyAlignment="1">
      <alignment horizontal="left" wrapText="1" indent="1"/>
    </xf>
    <xf numFmtId="164" fontId="2" fillId="0" borderId="2" xfId="0" applyNumberFormat="1" applyFont="1" applyBorder="1"/>
    <xf numFmtId="164" fontId="2" fillId="0" borderId="6" xfId="0" applyNumberFormat="1" applyFont="1" applyBorder="1"/>
    <xf numFmtId="0" fontId="2" fillId="2" borderId="8" xfId="0" applyFont="1" applyFill="1" applyBorder="1"/>
    <xf numFmtId="164" fontId="2" fillId="2" borderId="9" xfId="0" applyNumberFormat="1" applyFont="1" applyFill="1" applyBorder="1"/>
    <xf numFmtId="164" fontId="2" fillId="2" borderId="10" xfId="0" applyNumberFormat="1" applyFont="1" applyFill="1" applyBorder="1"/>
    <xf numFmtId="14" fontId="2" fillId="0" borderId="0" xfId="0" applyNumberFormat="1" applyFont="1"/>
    <xf numFmtId="167" fontId="0" fillId="0" borderId="0" xfId="0" applyNumberFormat="1"/>
    <xf numFmtId="0" fontId="2" fillId="0" borderId="17" xfId="0" applyFont="1" applyBorder="1" applyAlignment="1">
      <alignment horizontal="left"/>
    </xf>
    <xf numFmtId="0" fontId="0" fillId="0" borderId="17" xfId="0" applyBorder="1" applyAlignment="1">
      <alignment horizontal="left" wrapText="1" indent="2"/>
    </xf>
    <xf numFmtId="164" fontId="2" fillId="2" borderId="21" xfId="0" applyNumberFormat="1" applyFont="1" applyFill="1" applyBorder="1"/>
    <xf numFmtId="164" fontId="2" fillId="2" borderId="22" xfId="0" applyNumberFormat="1" applyFont="1" applyFill="1" applyBorder="1"/>
    <xf numFmtId="10" fontId="2" fillId="2" borderId="21" xfId="0" applyNumberFormat="1" applyFont="1" applyFill="1" applyBorder="1"/>
    <xf numFmtId="10" fontId="2" fillId="2" borderId="22" xfId="0" applyNumberFormat="1" applyFont="1" applyFill="1" applyBorder="1"/>
    <xf numFmtId="0" fontId="0" fillId="3" borderId="20" xfId="0" applyFill="1" applyBorder="1"/>
    <xf numFmtId="0" fontId="0" fillId="3" borderId="21" xfId="0" applyFill="1" applyBorder="1"/>
    <xf numFmtId="43" fontId="0" fillId="0" borderId="21" xfId="0" applyNumberFormat="1" applyBorder="1"/>
    <xf numFmtId="43" fontId="0" fillId="3" borderId="21" xfId="0" applyNumberFormat="1" applyFill="1" applyBorder="1"/>
    <xf numFmtId="9" fontId="0" fillId="3" borderId="21" xfId="0" applyNumberFormat="1" applyFill="1" applyBorder="1"/>
    <xf numFmtId="4" fontId="0" fillId="0" borderId="21" xfId="0" applyNumberFormat="1" applyBorder="1"/>
    <xf numFmtId="0" fontId="0" fillId="0" borderId="11" xfId="0" applyBorder="1" applyAlignment="1">
      <alignment wrapText="1"/>
    </xf>
    <xf numFmtId="168" fontId="0" fillId="0" borderId="0" xfId="0" applyNumberFormat="1"/>
    <xf numFmtId="0" fontId="1" fillId="0" borderId="0" xfId="0" applyFont="1"/>
    <xf numFmtId="0" fontId="2" fillId="2" borderId="26" xfId="0" applyFont="1" applyFill="1" applyBorder="1"/>
    <xf numFmtId="0" fontId="2" fillId="2" borderId="17" xfId="0" applyFont="1" applyFill="1" applyBorder="1"/>
    <xf numFmtId="0" fontId="2" fillId="2" borderId="18" xfId="0" applyFont="1" applyFill="1" applyBorder="1"/>
    <xf numFmtId="0" fontId="1" fillId="0" borderId="0" xfId="0" applyFont="1" applyAlignment="1">
      <alignment horizontal="left"/>
    </xf>
    <xf numFmtId="164" fontId="0" fillId="0" borderId="2" xfId="0" applyNumberFormat="1" applyBorder="1" applyAlignment="1">
      <alignment wrapText="1"/>
    </xf>
    <xf numFmtId="164" fontId="0" fillId="0" borderId="6" xfId="0" applyNumberFormat="1" applyBorder="1" applyAlignment="1">
      <alignment wrapText="1"/>
    </xf>
    <xf numFmtId="164" fontId="0" fillId="0" borderId="12" xfId="0" applyNumberFormat="1" applyBorder="1" applyAlignment="1">
      <alignment wrapText="1"/>
    </xf>
    <xf numFmtId="164" fontId="0" fillId="0" borderId="13" xfId="0" applyNumberFormat="1" applyBorder="1" applyAlignment="1">
      <alignment wrapText="1"/>
    </xf>
    <xf numFmtId="0" fontId="0" fillId="0" borderId="17" xfId="0" applyBorder="1" applyAlignment="1">
      <alignment horizontal="left"/>
    </xf>
    <xf numFmtId="164" fontId="0" fillId="2" borderId="21" xfId="0" applyNumberFormat="1" applyFill="1" applyBorder="1"/>
    <xf numFmtId="164" fontId="0" fillId="2" borderId="22" xfId="0" applyNumberFormat="1" applyFill="1" applyBorder="1"/>
    <xf numFmtId="164" fontId="0" fillId="2" borderId="9" xfId="0" applyNumberFormat="1" applyFill="1" applyBorder="1"/>
    <xf numFmtId="164" fontId="0" fillId="2" borderId="10" xfId="0" applyNumberFormat="1" applyFill="1" applyBorder="1"/>
    <xf numFmtId="0" fontId="0" fillId="2" borderId="25" xfId="0" applyFill="1" applyBorder="1"/>
    <xf numFmtId="0" fontId="0" fillId="2" borderId="8" xfId="0" applyFill="1" applyBorder="1"/>
    <xf numFmtId="0" fontId="0" fillId="0" borderId="8" xfId="0" applyBorder="1"/>
    <xf numFmtId="0" fontId="2" fillId="0" borderId="24" xfId="0" applyFont="1" applyBorder="1"/>
    <xf numFmtId="0" fontId="2" fillId="2" borderId="24" xfId="0" applyFont="1" applyFill="1" applyBorder="1"/>
    <xf numFmtId="0" fontId="2" fillId="2" borderId="27" xfId="0" applyFont="1" applyFill="1" applyBorder="1"/>
    <xf numFmtId="10" fontId="0" fillId="0" borderId="3" xfId="0" applyNumberFormat="1" applyBorder="1" applyAlignment="1">
      <alignment horizontal="right"/>
    </xf>
    <xf numFmtId="10" fontId="2" fillId="0" borderId="9" xfId="0" applyNumberFormat="1" applyFont="1" applyBorder="1" applyAlignment="1">
      <alignment horizontal="right"/>
    </xf>
    <xf numFmtId="0" fontId="0" fillId="0" borderId="18" xfId="0" applyBorder="1" applyAlignment="1">
      <alignment horizontal="left" indent="1"/>
    </xf>
    <xf numFmtId="0" fontId="2" fillId="2" borderId="8" xfId="0" applyFont="1" applyFill="1" applyBorder="1" applyAlignment="1">
      <alignment horizontal="left" indent="1"/>
    </xf>
    <xf numFmtId="164" fontId="2" fillId="2" borderId="15" xfId="0" applyNumberFormat="1" applyFont="1" applyFill="1" applyBorder="1"/>
    <xf numFmtId="164" fontId="2" fillId="5" borderId="16" xfId="0" applyNumberFormat="1" applyFont="1" applyFill="1" applyBorder="1"/>
    <xf numFmtId="0" fontId="0" fillId="0" borderId="0" xfId="0" applyAlignment="1">
      <alignment horizontal="left" wrapText="1"/>
    </xf>
    <xf numFmtId="0" fontId="0" fillId="0" borderId="11" xfId="0" applyBorder="1" applyAlignment="1">
      <alignment horizontal="left" indent="2"/>
    </xf>
    <xf numFmtId="10" fontId="0" fillId="0" borderId="21" xfId="0" applyNumberFormat="1" applyBorder="1"/>
    <xf numFmtId="0" fontId="2" fillId="2" borderId="26"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24" xfId="0" applyFont="1" applyFill="1" applyBorder="1" applyAlignment="1">
      <alignment horizontal="center" vertical="center"/>
    </xf>
    <xf numFmtId="164" fontId="0" fillId="0" borderId="21" xfId="0" applyNumberFormat="1" applyBorder="1" applyAlignment="1">
      <alignment horizontal="right"/>
    </xf>
    <xf numFmtId="164" fontId="2" fillId="0" borderId="0" xfId="0" applyNumberFormat="1" applyFont="1"/>
    <xf numFmtId="0" fontId="2" fillId="2" borderId="13" xfId="0" applyFont="1" applyFill="1" applyBorder="1" applyAlignment="1">
      <alignment horizontal="center"/>
    </xf>
    <xf numFmtId="169" fontId="0" fillId="0" borderId="6" xfId="0" applyNumberFormat="1" applyBorder="1"/>
    <xf numFmtId="169" fontId="0" fillId="0" borderId="13" xfId="0" applyNumberFormat="1" applyBorder="1"/>
    <xf numFmtId="164" fontId="0" fillId="0" borderId="22" xfId="0" applyNumberFormat="1" applyBorder="1" applyAlignment="1">
      <alignment horizontal="right"/>
    </xf>
    <xf numFmtId="164" fontId="2" fillId="2" borderId="21" xfId="0" applyNumberFormat="1" applyFont="1" applyFill="1" applyBorder="1" applyAlignment="1">
      <alignment horizontal="center"/>
    </xf>
    <xf numFmtId="0" fontId="2" fillId="2" borderId="25" xfId="0" applyFont="1" applyFill="1" applyBorder="1" applyAlignment="1">
      <alignment horizontal="left" vertical="center"/>
    </xf>
    <xf numFmtId="164" fontId="2" fillId="2" borderId="21" xfId="0" applyNumberFormat="1" applyFont="1" applyFill="1" applyBorder="1" applyAlignment="1">
      <alignment horizontal="center" vertical="center"/>
    </xf>
    <xf numFmtId="164" fontId="2" fillId="2" borderId="22" xfId="0" applyNumberFormat="1" applyFont="1" applyFill="1" applyBorder="1" applyAlignment="1">
      <alignment horizontal="center" vertical="center"/>
    </xf>
    <xf numFmtId="0" fontId="0" fillId="0" borderId="19" xfId="0" applyBorder="1" applyAlignment="1">
      <alignment vertical="center"/>
    </xf>
    <xf numFmtId="0" fontId="0" fillId="0" borderId="17" xfId="0" applyBorder="1" applyAlignment="1">
      <alignment vertical="center"/>
    </xf>
    <xf numFmtId="0" fontId="0" fillId="0" borderId="3" xfId="0" applyBorder="1"/>
    <xf numFmtId="0" fontId="0" fillId="0" borderId="4" xfId="0" applyBorder="1"/>
    <xf numFmtId="0" fontId="0" fillId="3" borderId="7" xfId="0" applyFill="1" applyBorder="1"/>
    <xf numFmtId="0" fontId="2" fillId="0" borderId="17" xfId="0" applyFont="1" applyBorder="1" applyAlignment="1">
      <alignment horizontal="left" indent="1"/>
    </xf>
    <xf numFmtId="0" fontId="2" fillId="0" borderId="25" xfId="0" applyFont="1" applyBorder="1"/>
    <xf numFmtId="14" fontId="0" fillId="0" borderId="21" xfId="0" applyNumberFormat="1" applyBorder="1"/>
    <xf numFmtId="0" fontId="2" fillId="2" borderId="2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21" xfId="0" applyBorder="1" applyAlignment="1">
      <alignment wrapText="1"/>
    </xf>
    <xf numFmtId="164" fontId="0" fillId="6" borderId="2" xfId="0" applyNumberFormat="1" applyFill="1" applyBorder="1"/>
    <xf numFmtId="43" fontId="0" fillId="0" borderId="0" xfId="1" applyFont="1"/>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0" fillId="0" borderId="19" xfId="0" applyBorder="1" applyAlignment="1">
      <alignment horizontal="left"/>
    </xf>
    <xf numFmtId="0" fontId="0" fillId="0" borderId="7" xfId="0" applyBorder="1" applyAlignment="1">
      <alignment horizontal="left"/>
    </xf>
    <xf numFmtId="0" fontId="0" fillId="0" borderId="17" xfId="0" applyBorder="1" applyAlignment="1">
      <alignment horizontal="left" wrapText="1"/>
    </xf>
    <xf numFmtId="0" fontId="0" fillId="0" borderId="2" xfId="0" applyBorder="1" applyAlignment="1">
      <alignment horizontal="left" wrapText="1"/>
    </xf>
    <xf numFmtId="0" fontId="2" fillId="2" borderId="26" xfId="0" applyFont="1" applyFill="1" applyBorder="1" applyAlignment="1">
      <alignment horizontal="center" vertical="center"/>
    </xf>
    <xf numFmtId="0" fontId="0" fillId="0" borderId="25" xfId="0" applyBorder="1" applyAlignment="1">
      <alignment horizontal="left"/>
    </xf>
    <xf numFmtId="0" fontId="0" fillId="0" borderId="21" xfId="0" applyBorder="1" applyAlignment="1">
      <alignment horizontal="left"/>
    </xf>
    <xf numFmtId="0" fontId="2" fillId="2" borderId="2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1" xfId="0" applyFont="1" applyFill="1" applyBorder="1" applyAlignment="1">
      <alignment horizontal="center" vertical="center"/>
    </xf>
    <xf numFmtId="0" fontId="0" fillId="0" borderId="28" xfId="0" applyBorder="1" applyAlignment="1">
      <alignment horizontal="right"/>
    </xf>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23" xfId="0" applyFont="1" applyFill="1" applyBorder="1" applyAlignment="1">
      <alignment horizontal="center"/>
    </xf>
    <xf numFmtId="0" fontId="2" fillId="2" borderId="7" xfId="0" applyFont="1" applyFill="1" applyBorder="1" applyAlignment="1">
      <alignment horizontal="center"/>
    </xf>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3" fillId="0" borderId="28" xfId="0" applyFont="1" applyBorder="1" applyAlignment="1">
      <alignment horizontal="left"/>
    </xf>
    <xf numFmtId="0" fontId="0" fillId="0" borderId="0" xfId="0" applyAlignment="1">
      <alignment horizontal="left" wrapText="1"/>
    </xf>
    <xf numFmtId="0" fontId="0" fillId="0" borderId="0" xfId="0" applyAlignment="1">
      <alignment horizontal="right"/>
    </xf>
    <xf numFmtId="0" fontId="2" fillId="2" borderId="8" xfId="0" applyFont="1" applyFill="1" applyBorder="1" applyAlignment="1">
      <alignment horizontal="left"/>
    </xf>
    <xf numFmtId="0" fontId="2" fillId="2" borderId="9" xfId="0" applyFont="1" applyFill="1" applyBorder="1" applyAlignment="1">
      <alignment horizontal="left"/>
    </xf>
    <xf numFmtId="0" fontId="0" fillId="0" borderId="17" xfId="0" applyBorder="1" applyAlignment="1">
      <alignment horizontal="left"/>
    </xf>
    <xf numFmtId="0" fontId="0" fillId="0" borderId="2" xfId="0" applyBorder="1" applyAlignment="1">
      <alignment horizontal="left"/>
    </xf>
    <xf numFmtId="0" fontId="2" fillId="2" borderId="14" xfId="0" applyFont="1" applyFill="1" applyBorder="1" applyAlignment="1">
      <alignment horizontal="center"/>
    </xf>
    <xf numFmtId="164" fontId="0" fillId="0" borderId="21" xfId="0" applyNumberFormat="1" applyBorder="1" applyAlignment="1">
      <alignment horizontal="right"/>
    </xf>
    <xf numFmtId="164" fontId="0" fillId="0" borderId="22" xfId="0" applyNumberFormat="1" applyBorder="1" applyAlignment="1">
      <alignment horizontal="right"/>
    </xf>
    <xf numFmtId="164" fontId="0" fillId="0" borderId="9" xfId="0" applyNumberFormat="1" applyBorder="1" applyAlignment="1">
      <alignment horizontal="right"/>
    </xf>
    <xf numFmtId="164" fontId="0" fillId="0" borderId="10" xfId="0" applyNumberFormat="1" applyBorder="1" applyAlignment="1">
      <alignment horizontal="right"/>
    </xf>
    <xf numFmtId="0" fontId="2" fillId="2" borderId="24" xfId="0" applyFont="1" applyFill="1" applyBorder="1" applyAlignment="1">
      <alignment horizontal="center"/>
    </xf>
    <xf numFmtId="0" fontId="0" fillId="0" borderId="8" xfId="0" applyBorder="1" applyAlignment="1">
      <alignment horizontal="left"/>
    </xf>
    <xf numFmtId="0" fontId="0" fillId="0" borderId="9" xfId="0" applyBorder="1" applyAlignment="1">
      <alignment horizontal="left"/>
    </xf>
    <xf numFmtId="0" fontId="2" fillId="2" borderId="24" xfId="0" applyFont="1" applyFill="1" applyBorder="1" applyAlignment="1">
      <alignment horizontal="left"/>
    </xf>
    <xf numFmtId="0" fontId="2" fillId="2" borderId="23" xfId="0" applyFont="1" applyFill="1" applyBorder="1" applyAlignment="1">
      <alignment horizontal="left"/>
    </xf>
    <xf numFmtId="164" fontId="0" fillId="0" borderId="29" xfId="0" applyNumberFormat="1" applyBorder="1" applyAlignment="1">
      <alignment horizontal="right"/>
    </xf>
    <xf numFmtId="0" fontId="0" fillId="0" borderId="17" xfId="0" applyBorder="1" applyAlignment="1">
      <alignment horizontal="left" indent="2"/>
    </xf>
    <xf numFmtId="0" fontId="0" fillId="0" borderId="2" xfId="0" applyBorder="1" applyAlignment="1">
      <alignment horizontal="left" indent="2"/>
    </xf>
    <xf numFmtId="0" fontId="2" fillId="0" borderId="17" xfId="0" applyFont="1" applyBorder="1" applyAlignment="1">
      <alignment horizontal="left"/>
    </xf>
    <xf numFmtId="0" fontId="2" fillId="0" borderId="2" xfId="0" applyFont="1" applyBorder="1" applyAlignment="1">
      <alignment horizontal="left"/>
    </xf>
    <xf numFmtId="0" fontId="0" fillId="0" borderId="17" xfId="0" applyBorder="1" applyAlignment="1">
      <alignment horizontal="left" indent="1"/>
    </xf>
    <xf numFmtId="0" fontId="0" fillId="0" borderId="2" xfId="0" applyBorder="1" applyAlignment="1">
      <alignment horizontal="left" indent="1"/>
    </xf>
    <xf numFmtId="0" fontId="0" fillId="0" borderId="18" xfId="0" applyBorder="1" applyAlignment="1">
      <alignment horizontal="left" indent="1"/>
    </xf>
    <xf numFmtId="0" fontId="0" fillId="0" borderId="3" xfId="0" applyBorder="1" applyAlignment="1">
      <alignment horizontal="left" indent="1"/>
    </xf>
    <xf numFmtId="0" fontId="2" fillId="2" borderId="25" xfId="0" applyFont="1" applyFill="1" applyBorder="1" applyAlignment="1">
      <alignment horizontal="center"/>
    </xf>
    <xf numFmtId="0" fontId="2" fillId="2" borderId="21" xfId="0" applyFont="1" applyFill="1" applyBorder="1" applyAlignment="1">
      <alignment horizontal="center"/>
    </xf>
    <xf numFmtId="0" fontId="2" fillId="2" borderId="22" xfId="0" applyFont="1" applyFill="1" applyBorder="1" applyAlignment="1">
      <alignment horizontal="center"/>
    </xf>
    <xf numFmtId="0" fontId="2" fillId="0" borderId="19" xfId="0" applyFont="1" applyBorder="1" applyAlignment="1">
      <alignment horizontal="left"/>
    </xf>
    <xf numFmtId="0" fontId="2" fillId="0" borderId="7" xfId="0" applyFont="1" applyBorder="1" applyAlignment="1">
      <alignment horizontal="left"/>
    </xf>
    <xf numFmtId="164" fontId="0" fillId="0" borderId="7" xfId="0" applyNumberFormat="1" applyBorder="1" applyAlignment="1">
      <alignment horizontal="center"/>
    </xf>
    <xf numFmtId="164" fontId="0" fillId="0" borderId="20" xfId="0" applyNumberFormat="1" applyBorder="1" applyAlignment="1">
      <alignment horizontal="center"/>
    </xf>
    <xf numFmtId="164" fontId="0" fillId="0" borderId="2" xfId="0" applyNumberFormat="1" applyBorder="1" applyAlignment="1">
      <alignment horizontal="center"/>
    </xf>
    <xf numFmtId="164" fontId="0" fillId="0" borderId="6" xfId="0" applyNumberFormat="1" applyBorder="1" applyAlignment="1">
      <alignment horizontal="center"/>
    </xf>
    <xf numFmtId="164" fontId="0" fillId="0" borderId="0" xfId="0" applyNumberFormat="1" applyAlignment="1">
      <alignment horizontal="right"/>
    </xf>
    <xf numFmtId="164" fontId="0" fillId="0" borderId="17" xfId="0" applyNumberFormat="1" applyBorder="1" applyAlignment="1">
      <alignment horizontal="right"/>
    </xf>
    <xf numFmtId="0" fontId="0" fillId="2" borderId="23" xfId="0" applyFill="1" applyBorder="1" applyAlignment="1">
      <alignment horizontal="center"/>
    </xf>
    <xf numFmtId="0" fontId="0" fillId="2" borderId="14" xfId="0" applyFill="1" applyBorder="1" applyAlignment="1">
      <alignment horizontal="center"/>
    </xf>
    <xf numFmtId="164" fontId="0" fillId="0" borderId="33" xfId="0" applyNumberFormat="1" applyBorder="1" applyAlignment="1">
      <alignment horizontal="right"/>
    </xf>
    <xf numFmtId="164" fontId="0" fillId="0" borderId="18" xfId="0" applyNumberFormat="1" applyBorder="1" applyAlignment="1">
      <alignment horizontal="right"/>
    </xf>
    <xf numFmtId="164" fontId="0" fillId="0" borderId="4" xfId="0" applyNumberFormat="1" applyBorder="1" applyAlignment="1">
      <alignment horizontal="right"/>
    </xf>
    <xf numFmtId="164" fontId="0" fillId="0" borderId="6" xfId="0" applyNumberFormat="1" applyBorder="1" applyAlignment="1">
      <alignment horizontal="right"/>
    </xf>
    <xf numFmtId="164" fontId="2" fillId="2" borderId="10" xfId="0" applyNumberFormat="1" applyFont="1" applyFill="1" applyBorder="1" applyAlignment="1">
      <alignment horizontal="right"/>
    </xf>
    <xf numFmtId="164" fontId="2" fillId="2" borderId="29" xfId="0" applyNumberFormat="1" applyFont="1" applyFill="1" applyBorder="1" applyAlignment="1">
      <alignment horizontal="right"/>
    </xf>
    <xf numFmtId="164" fontId="0" fillId="0" borderId="12" xfId="0" applyNumberFormat="1" applyBorder="1" applyAlignment="1">
      <alignment horizontal="center"/>
    </xf>
    <xf numFmtId="164" fontId="0" fillId="0" borderId="13" xfId="0" applyNumberFormat="1" applyBorder="1" applyAlignment="1">
      <alignment horizontal="center"/>
    </xf>
    <xf numFmtId="164" fontId="2" fillId="2" borderId="9" xfId="0" applyNumberFormat="1" applyFont="1" applyFill="1" applyBorder="1" applyAlignment="1">
      <alignment horizontal="center"/>
    </xf>
    <xf numFmtId="164" fontId="2" fillId="2" borderId="10" xfId="0" applyNumberFormat="1" applyFont="1" applyFill="1" applyBorder="1" applyAlignment="1">
      <alignment horizontal="center"/>
    </xf>
    <xf numFmtId="164" fontId="0" fillId="0" borderId="3" xfId="0" applyNumberFormat="1" applyBorder="1" applyAlignment="1">
      <alignment horizontal="center"/>
    </xf>
    <xf numFmtId="164" fontId="0" fillId="0" borderId="4" xfId="0" applyNumberFormat="1" applyBorder="1" applyAlignment="1">
      <alignment horizontal="center"/>
    </xf>
    <xf numFmtId="164" fontId="2" fillId="2" borderId="15" xfId="0" applyNumberFormat="1" applyFont="1" applyFill="1" applyBorder="1" applyAlignment="1">
      <alignment horizontal="center"/>
    </xf>
    <xf numFmtId="164" fontId="2" fillId="2" borderId="16" xfId="0" applyNumberFormat="1" applyFont="1" applyFill="1" applyBorder="1" applyAlignment="1">
      <alignment horizontal="center"/>
    </xf>
    <xf numFmtId="164" fontId="2" fillId="0" borderId="23" xfId="0" applyNumberFormat="1" applyFont="1" applyBorder="1" applyAlignment="1">
      <alignment horizontal="right"/>
    </xf>
    <xf numFmtId="164" fontId="2" fillId="0" borderId="14" xfId="0" applyNumberFormat="1" applyFont="1" applyBorder="1" applyAlignment="1">
      <alignment horizontal="right"/>
    </xf>
    <xf numFmtId="164" fontId="2" fillId="2" borderId="9" xfId="0" applyNumberFormat="1" applyFont="1" applyFill="1" applyBorder="1" applyAlignment="1">
      <alignment horizontal="right"/>
    </xf>
    <xf numFmtId="0" fontId="2" fillId="2" borderId="30" xfId="0" applyFont="1" applyFill="1" applyBorder="1" applyAlignment="1">
      <alignment horizontal="center"/>
    </xf>
    <xf numFmtId="164" fontId="0" fillId="0" borderId="20" xfId="0" applyNumberFormat="1" applyBorder="1" applyAlignment="1">
      <alignment horizontal="right"/>
    </xf>
    <xf numFmtId="164" fontId="0" fillId="0" borderId="31" xfId="0" applyNumberFormat="1" applyBorder="1" applyAlignment="1">
      <alignment horizontal="right"/>
    </xf>
    <xf numFmtId="164" fontId="0" fillId="0" borderId="13" xfId="0" applyNumberFormat="1" applyBorder="1" applyAlignment="1">
      <alignment horizontal="right"/>
    </xf>
    <xf numFmtId="164" fontId="0" fillId="0" borderId="32" xfId="0" applyNumberFormat="1" applyBorder="1" applyAlignment="1">
      <alignment horizontal="right"/>
    </xf>
    <xf numFmtId="164" fontId="2" fillId="2" borderId="15" xfId="0" applyNumberFormat="1" applyFont="1" applyFill="1" applyBorder="1" applyAlignment="1">
      <alignment horizontal="right"/>
    </xf>
    <xf numFmtId="164" fontId="2" fillId="2" borderId="16" xfId="0" applyNumberFormat="1" applyFont="1" applyFill="1" applyBorder="1" applyAlignment="1">
      <alignment horizontal="right"/>
    </xf>
    <xf numFmtId="0" fontId="2" fillId="2" borderId="3" xfId="0" applyFont="1" applyFill="1" applyBorder="1" applyAlignment="1">
      <alignment horizontal="center"/>
    </xf>
    <xf numFmtId="0" fontId="2" fillId="2" borderId="4" xfId="0" applyFont="1" applyFill="1" applyBorder="1" applyAlignment="1">
      <alignment horizontal="center"/>
    </xf>
    <xf numFmtId="164" fontId="0" fillId="0" borderId="19" xfId="0" applyNumberFormat="1" applyBorder="1" applyAlignment="1">
      <alignment horizontal="right"/>
    </xf>
    <xf numFmtId="0" fontId="0" fillId="2" borderId="8" xfId="0" applyFill="1" applyBorder="1" applyAlignment="1">
      <alignment horizontal="left"/>
    </xf>
    <xf numFmtId="0" fontId="0" fillId="2" borderId="9" xfId="0" applyFill="1" applyBorder="1" applyAlignment="1">
      <alignment horizontal="left"/>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xf>
    <xf numFmtId="0" fontId="0" fillId="2" borderId="25" xfId="0" applyFill="1" applyBorder="1" applyAlignment="1">
      <alignment horizontal="left"/>
    </xf>
    <xf numFmtId="0" fontId="0" fillId="2" borderId="21" xfId="0" applyFill="1" applyBorder="1" applyAlignment="1">
      <alignment horizontal="left"/>
    </xf>
    <xf numFmtId="0" fontId="0" fillId="0" borderId="18" xfId="0" applyBorder="1" applyAlignment="1">
      <alignment horizontal="left"/>
    </xf>
    <xf numFmtId="0" fontId="0" fillId="0" borderId="3" xfId="0" applyBorder="1" applyAlignment="1">
      <alignment horizontal="left"/>
    </xf>
    <xf numFmtId="0" fontId="2" fillId="2" borderId="5" xfId="0" applyFont="1" applyFill="1" applyBorder="1" applyAlignment="1">
      <alignment horizontal="center" vertical="center"/>
    </xf>
    <xf numFmtId="0" fontId="0" fillId="0" borderId="0" xfId="0" applyAlignment="1">
      <alignment wrapText="1"/>
    </xf>
    <xf numFmtId="0" fontId="0" fillId="0" borderId="18" xfId="0" applyBorder="1" applyAlignment="1">
      <alignment horizontal="left" indent="2"/>
    </xf>
    <xf numFmtId="0" fontId="0" fillId="0" borderId="3" xfId="0" applyBorder="1" applyAlignment="1">
      <alignment horizontal="left" indent="2"/>
    </xf>
    <xf numFmtId="0" fontId="0" fillId="0" borderId="11" xfId="0" applyBorder="1" applyAlignment="1">
      <alignment horizontal="left"/>
    </xf>
    <xf numFmtId="0" fontId="0" fillId="0" borderId="12" xfId="0" applyBorder="1" applyAlignment="1">
      <alignment horizontal="left"/>
    </xf>
    <xf numFmtId="0" fontId="2" fillId="2" borderId="0" xfId="0" applyFont="1" applyFill="1" applyAlignment="1">
      <alignment horizontal="center"/>
    </xf>
    <xf numFmtId="0" fontId="2" fillId="2" borderId="17" xfId="0" applyFont="1" applyFill="1" applyBorder="1" applyAlignment="1">
      <alignment horizontal="center"/>
    </xf>
    <xf numFmtId="0" fontId="2" fillId="2" borderId="33" xfId="0" applyFont="1" applyFill="1" applyBorder="1" applyAlignment="1">
      <alignment horizontal="center"/>
    </xf>
    <xf numFmtId="0" fontId="2" fillId="2" borderId="18" xfId="0" applyFont="1" applyFill="1" applyBorder="1" applyAlignment="1">
      <alignment horizontal="center"/>
    </xf>
    <xf numFmtId="0" fontId="0" fillId="0" borderId="11" xfId="0" applyBorder="1" applyAlignment="1">
      <alignment horizontal="left" indent="1"/>
    </xf>
    <xf numFmtId="0" fontId="0" fillId="0" borderId="12" xfId="0" applyBorder="1" applyAlignment="1">
      <alignment horizontal="left" indent="1"/>
    </xf>
    <xf numFmtId="0" fontId="0" fillId="0" borderId="18" xfId="0" applyBorder="1" applyAlignment="1">
      <alignment horizontal="left" wrapText="1"/>
    </xf>
    <xf numFmtId="0" fontId="0" fillId="0" borderId="3" xfId="0" applyBorder="1" applyAlignment="1">
      <alignment horizontal="left" wrapText="1"/>
    </xf>
    <xf numFmtId="0" fontId="2" fillId="0" borderId="8" xfId="0" applyFont="1" applyBorder="1" applyAlignment="1">
      <alignment horizontal="left"/>
    </xf>
    <xf numFmtId="0" fontId="2" fillId="0" borderId="9" xfId="0" applyFont="1" applyBorder="1" applyAlignment="1">
      <alignment horizontal="left"/>
    </xf>
    <xf numFmtId="0" fontId="0" fillId="0" borderId="0" xfId="0" applyAlignment="1">
      <alignment horizontal="left" indent="1"/>
    </xf>
    <xf numFmtId="0" fontId="0" fillId="0" borderId="0" xfId="0" applyAlignment="1">
      <alignment horizontal="left" indent="2"/>
    </xf>
    <xf numFmtId="0" fontId="0" fillId="0" borderId="32" xfId="0" applyBorder="1" applyAlignment="1">
      <alignment horizontal="left" indent="1"/>
    </xf>
    <xf numFmtId="0" fontId="2" fillId="0" borderId="31" xfId="0" applyFont="1" applyBorder="1" applyAlignment="1">
      <alignment horizontal="left"/>
    </xf>
    <xf numFmtId="0" fontId="2" fillId="2" borderId="31" xfId="0" applyFont="1" applyFill="1" applyBorder="1" applyAlignment="1">
      <alignment horizontal="center"/>
    </xf>
    <xf numFmtId="0" fontId="2" fillId="2" borderId="19" xfId="0" applyFont="1" applyFill="1" applyBorder="1" applyAlignment="1">
      <alignment horizontal="center"/>
    </xf>
    <xf numFmtId="0" fontId="0" fillId="0" borderId="31" xfId="0" applyBorder="1" applyAlignment="1">
      <alignment horizontal="left"/>
    </xf>
    <xf numFmtId="0" fontId="0" fillId="0" borderId="11" xfId="0" applyBorder="1" applyAlignment="1">
      <alignment horizontal="left" indent="2"/>
    </xf>
    <xf numFmtId="0" fontId="0" fillId="0" borderId="12" xfId="0" applyBorder="1" applyAlignment="1">
      <alignment horizontal="left" indent="2"/>
    </xf>
    <xf numFmtId="0" fontId="0" fillId="0" borderId="33" xfId="0" applyBorder="1" applyAlignment="1">
      <alignment horizontal="left"/>
    </xf>
    <xf numFmtId="0" fontId="2" fillId="0" borderId="34" xfId="0" applyFont="1" applyBorder="1" applyAlignment="1">
      <alignment horizontal="left"/>
    </xf>
    <xf numFmtId="0" fontId="2" fillId="0" borderId="27" xfId="0" applyFont="1" applyBorder="1" applyAlignment="1">
      <alignment horizontal="left"/>
    </xf>
    <xf numFmtId="0" fontId="2" fillId="2" borderId="26" xfId="0" applyFont="1" applyFill="1" applyBorder="1" applyAlignment="1">
      <alignment horizontal="center"/>
    </xf>
    <xf numFmtId="0" fontId="2" fillId="0" borderId="15" xfId="0" applyFont="1" applyBorder="1" applyAlignment="1">
      <alignment horizontal="left"/>
    </xf>
    <xf numFmtId="0" fontId="0" fillId="0" borderId="18" xfId="0" applyBorder="1" applyAlignment="1">
      <alignment horizontal="left" wrapText="1" indent="1"/>
    </xf>
    <xf numFmtId="0" fontId="0" fillId="0" borderId="3" xfId="0" applyBorder="1" applyAlignment="1">
      <alignment horizontal="left" wrapText="1" indent="1"/>
    </xf>
    <xf numFmtId="0" fontId="2" fillId="0" borderId="27" xfId="0" applyFont="1" applyBorder="1" applyAlignment="1">
      <alignment horizontal="left" wrapText="1"/>
    </xf>
    <xf numFmtId="0" fontId="2" fillId="0" borderId="15" xfId="0" applyFont="1" applyBorder="1" applyAlignment="1">
      <alignment horizontal="left" wrapText="1"/>
    </xf>
    <xf numFmtId="0" fontId="1" fillId="0" borderId="33" xfId="0" applyFont="1" applyBorder="1" applyAlignment="1">
      <alignment horizontal="left"/>
    </xf>
    <xf numFmtId="0" fontId="3" fillId="0" borderId="0" xfId="0" applyFont="1" applyAlignment="1">
      <alignment horizontal="left" wrapText="1"/>
    </xf>
    <xf numFmtId="0" fontId="2" fillId="2" borderId="35"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3" xfId="0" applyFont="1" applyFill="1" applyBorder="1" applyAlignment="1">
      <alignment horizontal="center" vertical="center"/>
    </xf>
    <xf numFmtId="0" fontId="0" fillId="0" borderId="0" xfId="0" applyAlignment="1">
      <alignment horizontal="left" vertical="center"/>
    </xf>
    <xf numFmtId="0" fontId="0" fillId="0" borderId="17" xfId="0" applyBorder="1" applyAlignment="1">
      <alignment horizontal="left" vertical="center"/>
    </xf>
    <xf numFmtId="0" fontId="0" fillId="0" borderId="0" xfId="0" applyAlignment="1">
      <alignment horizontal="left" vertical="center" indent="1"/>
    </xf>
    <xf numFmtId="0" fontId="0" fillId="0" borderId="17" xfId="0" applyBorder="1" applyAlignment="1">
      <alignment horizontal="left" vertical="center" indent="1"/>
    </xf>
    <xf numFmtId="0" fontId="0" fillId="0" borderId="33" xfId="0" applyBorder="1" applyAlignment="1">
      <alignment horizontal="left" vertical="center" indent="1"/>
    </xf>
    <xf numFmtId="0" fontId="0" fillId="0" borderId="18" xfId="0" applyBorder="1" applyAlignment="1">
      <alignment horizontal="left" vertical="center" indent="1"/>
    </xf>
    <xf numFmtId="0" fontId="2" fillId="0" borderId="11" xfId="0" applyFont="1" applyBorder="1" applyAlignment="1">
      <alignment horizontal="left"/>
    </xf>
    <xf numFmtId="0" fontId="2" fillId="0" borderId="12" xfId="0" applyFont="1" applyBorder="1" applyAlignment="1">
      <alignment horizontal="left"/>
    </xf>
    <xf numFmtId="0" fontId="2" fillId="2" borderId="26"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25" xfId="0" applyFont="1" applyBorder="1" applyAlignment="1">
      <alignment horizontal="left"/>
    </xf>
    <xf numFmtId="0" fontId="2" fillId="0" borderId="21" xfId="0" applyFont="1" applyBorder="1" applyAlignment="1">
      <alignment horizontal="left"/>
    </xf>
    <xf numFmtId="0" fontId="2" fillId="0" borderId="0" xfId="0" applyFont="1" applyAlignment="1">
      <alignment horizontal="center"/>
    </xf>
    <xf numFmtId="0" fontId="0" fillId="0" borderId="24" xfId="0" applyBorder="1" applyAlignment="1">
      <alignment horizontal="left"/>
    </xf>
    <xf numFmtId="0" fontId="0" fillId="0" borderId="23" xfId="0" applyBorder="1" applyAlignment="1">
      <alignment horizontal="left"/>
    </xf>
    <xf numFmtId="0" fontId="2" fillId="0" borderId="8" xfId="0" applyFont="1" applyBorder="1" applyAlignment="1">
      <alignment horizontal="left" wrapText="1"/>
    </xf>
    <xf numFmtId="0" fontId="2" fillId="0" borderId="9" xfId="0" applyFont="1" applyBorder="1" applyAlignment="1">
      <alignment horizontal="left" wrapText="1"/>
    </xf>
    <xf numFmtId="0" fontId="3" fillId="0" borderId="28" xfId="0" applyFont="1" applyBorder="1" applyAlignment="1">
      <alignment horizontal="center"/>
    </xf>
    <xf numFmtId="0" fontId="2" fillId="2" borderId="28" xfId="0" applyFont="1" applyFill="1" applyBorder="1" applyAlignment="1">
      <alignment horizontal="center" vertical="center"/>
    </xf>
    <xf numFmtId="0" fontId="2" fillId="2" borderId="32"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30" xfId="0" applyFont="1" applyFill="1" applyBorder="1" applyAlignment="1">
      <alignment horizontal="center" vertical="center"/>
    </xf>
    <xf numFmtId="0" fontId="0" fillId="0" borderId="32" xfId="0" applyBorder="1" applyAlignment="1">
      <alignment horizontal="left"/>
    </xf>
    <xf numFmtId="0" fontId="2" fillId="2" borderId="0" xfId="0" applyFont="1" applyFill="1" applyAlignment="1">
      <alignment horizontal="center" vertical="center"/>
    </xf>
    <xf numFmtId="0" fontId="2" fillId="2" borderId="26" xfId="0" applyFont="1" applyFill="1" applyBorder="1" applyAlignment="1">
      <alignment vertical="center"/>
    </xf>
    <xf numFmtId="0" fontId="2" fillId="2" borderId="17" xfId="0" applyFont="1" applyFill="1" applyBorder="1" applyAlignment="1">
      <alignment vertical="center"/>
    </xf>
    <xf numFmtId="0" fontId="2" fillId="2" borderId="18" xfId="0" applyFont="1" applyFill="1" applyBorder="1" applyAlignment="1">
      <alignment vertical="center"/>
    </xf>
    <xf numFmtId="164" fontId="2" fillId="0" borderId="3" xfId="0" applyNumberFormat="1" applyFont="1" applyBorder="1" applyAlignment="1">
      <alignment horizontal="center"/>
    </xf>
    <xf numFmtId="10" fontId="2" fillId="0" borderId="3" xfId="0" applyNumberFormat="1" applyFont="1" applyBorder="1" applyAlignment="1">
      <alignment horizontal="center"/>
    </xf>
    <xf numFmtId="10" fontId="2" fillId="0" borderId="4" xfId="0" applyNumberFormat="1" applyFont="1" applyBorder="1" applyAlignment="1">
      <alignment horizontal="center"/>
    </xf>
    <xf numFmtId="164" fontId="2" fillId="2" borderId="21" xfId="0" applyNumberFormat="1" applyFont="1" applyFill="1" applyBorder="1" applyAlignment="1">
      <alignment horizontal="center"/>
    </xf>
    <xf numFmtId="10" fontId="2" fillId="2" borderId="21" xfId="0" applyNumberFormat="1" applyFont="1" applyFill="1" applyBorder="1" applyAlignment="1">
      <alignment horizontal="center"/>
    </xf>
    <xf numFmtId="10" fontId="2" fillId="2" borderId="22" xfId="0" applyNumberFormat="1" applyFont="1" applyFill="1" applyBorder="1" applyAlignment="1">
      <alignment horizontal="center"/>
    </xf>
    <xf numFmtId="10" fontId="0" fillId="0" borderId="2" xfId="0" applyNumberFormat="1" applyBorder="1" applyAlignment="1">
      <alignment horizontal="center"/>
    </xf>
    <xf numFmtId="10" fontId="0" fillId="0" borderId="6" xfId="0" applyNumberFormat="1" applyBorder="1" applyAlignment="1">
      <alignment horizontal="center"/>
    </xf>
    <xf numFmtId="164" fontId="2" fillId="0" borderId="7" xfId="0" applyNumberFormat="1" applyFont="1" applyBorder="1" applyAlignment="1">
      <alignment horizontal="center"/>
    </xf>
    <xf numFmtId="10" fontId="2" fillId="0" borderId="7" xfId="0" applyNumberFormat="1" applyFont="1" applyBorder="1" applyAlignment="1">
      <alignment horizontal="center"/>
    </xf>
    <xf numFmtId="10" fontId="2" fillId="0" borderId="20" xfId="0" applyNumberFormat="1" applyFont="1" applyBorder="1" applyAlignment="1">
      <alignment horizontal="center"/>
    </xf>
    <xf numFmtId="0" fontId="2" fillId="2" borderId="25" xfId="0" applyFont="1" applyFill="1" applyBorder="1" applyAlignment="1">
      <alignment horizontal="left"/>
    </xf>
    <xf numFmtId="0" fontId="2" fillId="2" borderId="21" xfId="0" applyFont="1" applyFill="1" applyBorder="1" applyAlignment="1">
      <alignment horizontal="left"/>
    </xf>
    <xf numFmtId="10" fontId="0" fillId="0" borderId="7" xfId="0" applyNumberFormat="1" applyBorder="1" applyAlignment="1">
      <alignment horizontal="center"/>
    </xf>
    <xf numFmtId="10" fontId="0" fillId="0" borderId="20" xfId="0" applyNumberFormat="1" applyBorder="1" applyAlignment="1">
      <alignment horizontal="center"/>
    </xf>
    <xf numFmtId="0" fontId="2" fillId="0" borderId="18" xfId="0" applyFont="1" applyBorder="1" applyAlignment="1">
      <alignment horizontal="left" wrapText="1"/>
    </xf>
    <xf numFmtId="0" fontId="2" fillId="0" borderId="3" xfId="0" applyFont="1" applyBorder="1" applyAlignment="1">
      <alignment horizontal="left" wrapText="1"/>
    </xf>
    <xf numFmtId="0" fontId="0" fillId="0" borderId="19" xfId="0" applyBorder="1" applyAlignment="1">
      <alignment horizontal="left" wrapText="1"/>
    </xf>
    <xf numFmtId="0" fontId="0" fillId="0" borderId="7"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10" fontId="0" fillId="0" borderId="12" xfId="0" applyNumberFormat="1" applyBorder="1" applyAlignment="1">
      <alignment horizontal="center"/>
    </xf>
    <xf numFmtId="10" fontId="0" fillId="0" borderId="13" xfId="0" applyNumberFormat="1" applyBorder="1" applyAlignment="1">
      <alignment horizontal="center"/>
    </xf>
    <xf numFmtId="0" fontId="2" fillId="2" borderId="26" xfId="0" applyFont="1" applyFill="1" applyBorder="1" applyAlignment="1">
      <alignment horizontal="left" vertical="center"/>
    </xf>
    <xf numFmtId="0" fontId="2" fillId="2" borderId="18" xfId="0" applyFont="1" applyFill="1" applyBorder="1" applyAlignment="1">
      <alignment horizontal="left" vertical="center"/>
    </xf>
    <xf numFmtId="0" fontId="1" fillId="0" borderId="32" xfId="0" applyFont="1" applyBorder="1" applyAlignment="1">
      <alignment horizontal="left"/>
    </xf>
    <xf numFmtId="0" fontId="2" fillId="2" borderId="24" xfId="0" applyFont="1" applyFill="1" applyBorder="1"/>
    <xf numFmtId="0" fontId="2" fillId="2" borderId="23" xfId="0" applyFont="1" applyFill="1" applyBorder="1"/>
  </cellXfs>
  <cellStyles count="2">
    <cellStyle name="Normal" xfId="0" builtinId="0"/>
    <cellStyle name="Vírgula" xfId="1" builtinId="3"/>
  </cellStyles>
  <dxfs count="1">
    <dxf>
      <font>
        <b/>
        <i val="0"/>
        <strike val="0"/>
        <condense val="0"/>
        <extend val="0"/>
        <outline val="0"/>
        <shadow val="0"/>
        <u val="none"/>
        <vertAlign val="baseline"/>
        <sz val="11"/>
        <color rgb="FF000000"/>
        <name val="Calibri"/>
        <family val="2"/>
        <scheme val="minor"/>
      </font>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blParametros" ref="B2:C24">
  <autoFilter ref="B2:C24" xr:uid="{00000000-0009-0000-0100-000017000000}"/>
  <tableColumns count="2">
    <tableColumn id="1" xr3:uid="{00000000-0010-0000-1600-000001000000}" name="Parâmetro"/>
    <tableColumn id="2" xr3:uid="{00000000-0010-0000-1600-000002000000}" name="Valor"/>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blValoresManuais" ref="B3:D23">
  <tableColumns count="3">
    <tableColumn id="1" xr3:uid="{00000000-0010-0000-1700-000001000000}" name="Anexo"/>
    <tableColumn id="2" xr3:uid="{00000000-0010-0000-1700-000002000000}" name="Especificação"/>
    <tableColumn id="3" xr3:uid="{00000000-0010-0000-1700-000003000000}" name="Valor"/>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ConsorcioDespesas" ref="A1:M251">
  <autoFilter ref="A1:M251" xr:uid="{00000000-0009-0000-0100-000019000000}"/>
  <tableColumns count="13">
    <tableColumn id="1" xr3:uid="{00000000-0010-0000-1800-000001000000}" name="Consórcio"/>
    <tableColumn id="2" xr3:uid="{00000000-0010-0000-1800-000002000000}" name="Data-base"/>
    <tableColumn id="3" xr3:uid="{00000000-0010-0000-1800-000003000000}" name="Função"/>
    <tableColumn id="4" xr3:uid="{00000000-0010-0000-1800-000004000000}" name="Subfunção"/>
    <tableColumn id="5" xr3:uid="{00000000-0010-0000-1800-000005000000}" name="NDO"/>
    <tableColumn id="6" xr3:uid="{00000000-0010-0000-1800-000006000000}" name="Empenhado"/>
    <tableColumn id="7" xr3:uid="{00000000-0010-0000-1800-000007000000}" name="Liquidado"/>
    <tableColumn id="8" xr3:uid="{00000000-0010-0000-1800-000008000000}" name="Pago"/>
    <tableColumn id="9" xr3:uid="{00000000-0010-0000-1800-000009000000}" name="Rubrica">
      <calculatedColumnFormula>TEXT(ConsorcioDespesas[[#This Row],[NDO]],"000000000000")</calculatedColumnFormula>
    </tableColumn>
    <tableColumn id="10" xr3:uid="{00000000-0010-0000-1800-00000A000000}" name="Bimestre">
      <calculatedColumnFormula>_xlfn.SWITCH(MONTH(ConsorcioDespesas[[#This Row],[Data-base]]),1,1,2,1,3,2,4,2,5,3,6,3,7,4,8,4,9,5,10,5,11,6,12,6)</calculatedColumnFormula>
    </tableColumn>
    <tableColumn id="11" xr3:uid="{00000000-0010-0000-1800-00000B000000}" name="Ano">
      <calculatedColumnFormula>YEAR(ConsorcioDespesas[[#This Row],[Data-base]])</calculatedColumnFormula>
    </tableColumn>
    <tableColumn id="12" xr3:uid="{00000000-0010-0000-1800-00000C000000}" name="Mês">
      <calculatedColumnFormula>MONTH(ConsorcioDespesas[[#This Row],[Data-base]])</calculatedColumnFormula>
    </tableColumn>
    <tableColumn id="13" xr3:uid="{00000000-0010-0000-1800-00000D000000}" name="NDO textual">
      <calculatedColumnFormula>TEXT(ConsorcioDespesas[[#This Row],[NDO]],"000000000000")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82F1-3F02-481A-9E13-D2318F264292}" name="tblOutrosAjustesDC" displayName="tblOutrosAjustesDC" ref="A1:B20" totalsRowShown="0" headerRowDxfId="0">
  <autoFilter ref="A1:B20" xr:uid="{AC2282F1-3F02-481A-9E13-D2318F264292}"/>
  <tableColumns count="2">
    <tableColumn id="1" xr3:uid="{F4F29D4E-AAEB-4636-BE31-0DE9AA95CFF4}" name="Descrição"/>
    <tableColumn id="2" xr3:uid="{6C2E17C5-D326-4626-AEAB-080C0FB9EA31}" name="Valor"/>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blValoresCalculados" ref="B2:C13">
  <tableColumns count="2">
    <tableColumn id="1" xr3:uid="{00000000-0010-0000-1500-000001000000}" name="Parâmetro"/>
    <tableColumn id="2" xr3:uid="{00000000-0010-0000-1500-000002000000}" name="Valor calculado"/>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blNotasExplicativas" ref="B2:D9">
  <autoFilter ref="B2:D9" xr:uid="{00000000-0009-0000-0100-00001A000000}"/>
  <tableColumns count="3">
    <tableColumn id="1" xr3:uid="{00000000-0010-0000-1900-000001000000}" name="Demonstrativo"/>
    <tableColumn id="2" xr3:uid="{00000000-0010-0000-1900-000002000000}" name="Nota"/>
    <tableColumn id="3" xr3:uid="{00000000-0010-0000-1900-000003000000}" name="Nota Com Separador">
      <calculatedColumnFormula>_xlfn.CONCAT(tblNotasExplicativas[[#This Row],[Nota]]," ")</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548135"/>
  </sheetPr>
  <dimension ref="B2:C24"/>
  <sheetViews>
    <sheetView workbookViewId="0">
      <selection activeCell="C4" sqref="C4"/>
    </sheetView>
  </sheetViews>
  <sheetFormatPr defaultRowHeight="15" x14ac:dyDescent="0.25"/>
  <cols>
    <col min="2" max="2" width="69.28515625" customWidth="1"/>
    <col min="3" max="3" width="91.42578125" customWidth="1"/>
  </cols>
  <sheetData>
    <row r="2" spans="2:3" x14ac:dyDescent="0.25">
      <c r="B2" t="s">
        <v>0</v>
      </c>
      <c r="C2" t="s">
        <v>13</v>
      </c>
    </row>
    <row r="3" spans="2:3" x14ac:dyDescent="0.25">
      <c r="B3" t="s">
        <v>14</v>
      </c>
      <c r="C3" t="s">
        <v>15</v>
      </c>
    </row>
    <row r="4" spans="2:3" x14ac:dyDescent="0.25">
      <c r="B4" t="s">
        <v>16</v>
      </c>
      <c r="C4" s="15"/>
    </row>
    <row r="5" spans="2:3" x14ac:dyDescent="0.25">
      <c r="B5" t="s">
        <v>17</v>
      </c>
      <c r="C5" t="s">
        <v>18</v>
      </c>
    </row>
    <row r="6" spans="2:3" x14ac:dyDescent="0.25">
      <c r="B6" t="s">
        <v>19</v>
      </c>
      <c r="C6" t="s">
        <v>20</v>
      </c>
    </row>
    <row r="7" spans="2:3" x14ac:dyDescent="0.25">
      <c r="B7" t="s">
        <v>21</v>
      </c>
      <c r="C7" t="s">
        <v>22</v>
      </c>
    </row>
    <row r="8" spans="2:3" x14ac:dyDescent="0.25">
      <c r="B8" t="s">
        <v>23</v>
      </c>
      <c r="C8" t="s">
        <v>24</v>
      </c>
    </row>
    <row r="9" spans="2:3" x14ac:dyDescent="0.25">
      <c r="B9" t="s">
        <v>25</v>
      </c>
      <c r="C9" t="s">
        <v>26</v>
      </c>
    </row>
    <row r="10" spans="2:3" x14ac:dyDescent="0.25">
      <c r="B10" t="s">
        <v>27</v>
      </c>
      <c r="C10" t="s">
        <v>28</v>
      </c>
    </row>
    <row r="11" spans="2:3" x14ac:dyDescent="0.25">
      <c r="B11" t="s">
        <v>29</v>
      </c>
      <c r="C11" t="s">
        <v>30</v>
      </c>
    </row>
    <row r="12" spans="2:3" x14ac:dyDescent="0.25">
      <c r="B12" t="s">
        <v>31</v>
      </c>
      <c r="C12" t="s">
        <v>32</v>
      </c>
    </row>
    <row r="13" spans="2:3" x14ac:dyDescent="0.25">
      <c r="B13" t="s">
        <v>33</v>
      </c>
      <c r="C13" t="s">
        <v>34</v>
      </c>
    </row>
    <row r="14" spans="2:3" x14ac:dyDescent="0.25">
      <c r="B14" t="s">
        <v>35</v>
      </c>
      <c r="C14" t="s">
        <v>36</v>
      </c>
    </row>
    <row r="15" spans="2:3" x14ac:dyDescent="0.25">
      <c r="B15" t="s">
        <v>37</v>
      </c>
      <c r="C15" t="s">
        <v>38</v>
      </c>
    </row>
    <row r="16" spans="2:3" x14ac:dyDescent="0.25">
      <c r="B16" t="s">
        <v>39</v>
      </c>
      <c r="C16" t="s">
        <v>40</v>
      </c>
    </row>
    <row r="17" spans="2:3" x14ac:dyDescent="0.25">
      <c r="B17" t="s">
        <v>41</v>
      </c>
      <c r="C17" s="20">
        <v>0.25</v>
      </c>
    </row>
    <row r="18" spans="2:3" x14ac:dyDescent="0.25">
      <c r="B18" t="s">
        <v>42</v>
      </c>
      <c r="C18" s="20">
        <v>0.15</v>
      </c>
    </row>
    <row r="19" spans="2:3" x14ac:dyDescent="0.25">
      <c r="B19" t="s">
        <v>43</v>
      </c>
      <c r="C19" s="20">
        <v>0.7</v>
      </c>
    </row>
    <row r="20" spans="2:3" x14ac:dyDescent="0.25">
      <c r="B20" t="s">
        <v>44</v>
      </c>
      <c r="C20" s="20">
        <v>0.1</v>
      </c>
    </row>
    <row r="21" spans="2:3" x14ac:dyDescent="0.25">
      <c r="B21" t="s">
        <v>45</v>
      </c>
      <c r="C21" s="155">
        <v>3</v>
      </c>
    </row>
    <row r="22" spans="2:3" x14ac:dyDescent="0.25">
      <c r="B22" t="s">
        <v>46</v>
      </c>
      <c r="C22" s="155">
        <v>3</v>
      </c>
    </row>
    <row r="23" spans="2:3" x14ac:dyDescent="0.25">
      <c r="B23" t="s">
        <v>47</v>
      </c>
      <c r="C23" s="20">
        <v>0.32</v>
      </c>
    </row>
    <row r="24" spans="2:3" x14ac:dyDescent="0.25">
      <c r="B24" t="s">
        <v>48</v>
      </c>
      <c r="C24" s="20">
        <v>0.16</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53C0C"/>
    <pageSetUpPr fitToPage="1"/>
  </sheetPr>
  <dimension ref="B2:I90"/>
  <sheetViews>
    <sheetView workbookViewId="0">
      <selection activeCell="B6" sqref="B6:I6"/>
    </sheetView>
  </sheetViews>
  <sheetFormatPr defaultRowHeight="15" x14ac:dyDescent="0.25"/>
  <cols>
    <col min="2" max="2" width="84.7109375" customWidth="1"/>
    <col min="3" max="3" width="16.85546875" customWidth="1"/>
    <col min="4" max="4" width="21.85546875" customWidth="1"/>
    <col min="5" max="5" width="13.5703125" customWidth="1"/>
    <col min="6" max="6" width="8.140625" customWidth="1"/>
    <col min="7" max="7" width="14.28515625" customWidth="1"/>
    <col min="8" max="8" width="9.140625" customWidth="1"/>
    <col min="9" max="9" width="14.28515625" customWidth="1"/>
    <col min="12" max="12" width="13.285156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ht="15.75" customHeight="1" x14ac:dyDescent="0.25">
      <c r="B8" s="250" t="s">
        <v>128</v>
      </c>
      <c r="C8" s="250"/>
      <c r="D8" s="250"/>
      <c r="E8" s="250"/>
      <c r="F8" s="250"/>
      <c r="G8" s="250"/>
      <c r="H8" s="250"/>
      <c r="I8" s="2" t="s">
        <v>129</v>
      </c>
    </row>
    <row r="9" spans="2:9" x14ac:dyDescent="0.25">
      <c r="B9" s="234" t="s">
        <v>130</v>
      </c>
      <c r="C9" s="251" t="s">
        <v>131</v>
      </c>
      <c r="D9" s="253" t="s">
        <v>132</v>
      </c>
      <c r="E9" s="241" t="s">
        <v>133</v>
      </c>
      <c r="F9" s="241"/>
      <c r="G9" s="241"/>
      <c r="H9" s="241"/>
      <c r="I9" s="255" t="s">
        <v>134</v>
      </c>
    </row>
    <row r="10" spans="2:9" x14ac:dyDescent="0.25">
      <c r="B10" s="228"/>
      <c r="C10" s="244"/>
      <c r="D10" s="254"/>
      <c r="E10" s="4" t="s">
        <v>135</v>
      </c>
      <c r="F10" s="4" t="s">
        <v>136</v>
      </c>
      <c r="G10" s="4" t="s">
        <v>137</v>
      </c>
      <c r="H10" s="4" t="s">
        <v>136</v>
      </c>
      <c r="I10" s="256"/>
    </row>
    <row r="11" spans="2:9" x14ac:dyDescent="0.25">
      <c r="B11" s="229"/>
      <c r="C11" s="252"/>
      <c r="D11" s="5" t="s">
        <v>138</v>
      </c>
      <c r="E11" s="5" t="s">
        <v>139</v>
      </c>
      <c r="F11" s="5" t="s">
        <v>140</v>
      </c>
      <c r="G11" s="5" t="s">
        <v>141</v>
      </c>
      <c r="H11" s="5" t="s">
        <v>142</v>
      </c>
      <c r="I11" s="6" t="s">
        <v>143</v>
      </c>
    </row>
    <row r="12" spans="2:9" x14ac:dyDescent="0.25">
      <c r="B12" s="49" t="s">
        <v>144</v>
      </c>
      <c r="C12" s="50">
        <f>C13+C53</f>
        <v>0</v>
      </c>
      <c r="D12" s="50">
        <f>D13+D53</f>
        <v>0</v>
      </c>
      <c r="E12" s="50">
        <f>E13+E53</f>
        <v>0</v>
      </c>
      <c r="F12" s="128" t="str">
        <f t="shared" ref="F12:F43" si="0">IFERROR(ROUND(E12/D12,4),"")</f>
        <v/>
      </c>
      <c r="G12" s="50">
        <f>G13+G53</f>
        <v>0</v>
      </c>
      <c r="H12" s="128" t="str">
        <f t="shared" ref="H12:H43" si="1">IFERROR(ROUND(G12/D12,4),"")</f>
        <v/>
      </c>
      <c r="I12" s="52">
        <f t="shared" ref="I12:I43" si="2">D12-G12</f>
        <v>0</v>
      </c>
    </row>
    <row r="13" spans="2:9" x14ac:dyDescent="0.25">
      <c r="B13" s="33" t="s">
        <v>145</v>
      </c>
      <c r="C13" s="53">
        <f>C14+C18+C23+C31+C32+C33+C39+C47</f>
        <v>0</v>
      </c>
      <c r="D13" s="53">
        <f>D14+D18+D23+D31+D32+D33+D39+D47</f>
        <v>0</v>
      </c>
      <c r="E13" s="53">
        <f>E14+E18+E23+E31+E32+E33+E39+E47</f>
        <v>0</v>
      </c>
      <c r="F13" s="129" t="str">
        <f t="shared" si="0"/>
        <v/>
      </c>
      <c r="G13" s="53">
        <f>G14+G18+G23+G31+G32+G33+G39+G47</f>
        <v>0</v>
      </c>
      <c r="H13" s="129" t="str">
        <f t="shared" si="1"/>
        <v/>
      </c>
      <c r="I13" s="55">
        <f t="shared" si="2"/>
        <v>0</v>
      </c>
    </row>
    <row r="14" spans="2:9" x14ac:dyDescent="0.25">
      <c r="B14" s="34" t="s">
        <v>146</v>
      </c>
      <c r="C14" s="53">
        <f>SUM(C15:C17)</f>
        <v>0</v>
      </c>
      <c r="D14" s="53">
        <f>SUM(D15:D17)</f>
        <v>0</v>
      </c>
      <c r="E14" s="53">
        <f>SUM(E15:E17)</f>
        <v>0</v>
      </c>
      <c r="F14" s="129" t="str">
        <f t="shared" si="0"/>
        <v/>
      </c>
      <c r="G14" s="53">
        <f>SUM(G15:G17)</f>
        <v>0</v>
      </c>
      <c r="H14" s="129" t="str">
        <f t="shared" si="1"/>
        <v/>
      </c>
      <c r="I14" s="55">
        <f t="shared" si="2"/>
        <v>0</v>
      </c>
    </row>
    <row r="15" spans="2:9" x14ac:dyDescent="0.25">
      <c r="B15" s="56" t="s">
        <v>147</v>
      </c>
      <c r="C15" s="53"/>
      <c r="D15" s="53"/>
      <c r="E15" s="53"/>
      <c r="F15" s="129" t="str">
        <f t="shared" si="0"/>
        <v/>
      </c>
      <c r="G15" s="53"/>
      <c r="H15" s="129" t="str">
        <f t="shared" si="1"/>
        <v/>
      </c>
      <c r="I15" s="55">
        <f t="shared" si="2"/>
        <v>0</v>
      </c>
    </row>
    <row r="16" spans="2:9" x14ac:dyDescent="0.25">
      <c r="B16" s="56" t="s">
        <v>148</v>
      </c>
      <c r="C16" s="53"/>
      <c r="D16" s="53"/>
      <c r="E16" s="53"/>
      <c r="F16" s="129" t="str">
        <f t="shared" si="0"/>
        <v/>
      </c>
      <c r="G16" s="53"/>
      <c r="H16" s="129" t="str">
        <f t="shared" si="1"/>
        <v/>
      </c>
      <c r="I16" s="55">
        <f t="shared" si="2"/>
        <v>0</v>
      </c>
    </row>
    <row r="17" spans="2:9" x14ac:dyDescent="0.25">
      <c r="B17" s="56" t="s">
        <v>149</v>
      </c>
      <c r="C17" s="53"/>
      <c r="D17" s="53"/>
      <c r="E17" s="53"/>
      <c r="F17" s="129" t="str">
        <f t="shared" si="0"/>
        <v/>
      </c>
      <c r="G17" s="53"/>
      <c r="H17" s="129" t="str">
        <f t="shared" si="1"/>
        <v/>
      </c>
      <c r="I17" s="55">
        <f t="shared" si="2"/>
        <v>0</v>
      </c>
    </row>
    <row r="18" spans="2:9" x14ac:dyDescent="0.25">
      <c r="B18" s="34" t="s">
        <v>150</v>
      </c>
      <c r="C18" s="53">
        <f>SUM(C19:C22)</f>
        <v>0</v>
      </c>
      <c r="D18" s="53">
        <f>SUM(D19:D22)</f>
        <v>0</v>
      </c>
      <c r="E18" s="53">
        <f>SUM(E19:E22)</f>
        <v>0</v>
      </c>
      <c r="F18" s="129" t="str">
        <f t="shared" si="0"/>
        <v/>
      </c>
      <c r="G18" s="53">
        <f>SUM(G19:G22)</f>
        <v>0</v>
      </c>
      <c r="H18" s="129" t="str">
        <f t="shared" si="1"/>
        <v/>
      </c>
      <c r="I18" s="55">
        <f t="shared" si="2"/>
        <v>0</v>
      </c>
    </row>
    <row r="19" spans="2:9" x14ac:dyDescent="0.25">
      <c r="B19" s="56" t="s">
        <v>151</v>
      </c>
      <c r="C19" s="53"/>
      <c r="D19" s="53"/>
      <c r="E19" s="53"/>
      <c r="F19" s="129" t="str">
        <f t="shared" si="0"/>
        <v/>
      </c>
      <c r="G19" s="53"/>
      <c r="H19" s="129" t="str">
        <f t="shared" si="1"/>
        <v/>
      </c>
      <c r="I19" s="55">
        <f t="shared" si="2"/>
        <v>0</v>
      </c>
    </row>
    <row r="20" spans="2:9" x14ac:dyDescent="0.25">
      <c r="B20" s="56" t="s">
        <v>152</v>
      </c>
      <c r="C20" s="53"/>
      <c r="D20" s="53"/>
      <c r="E20" s="53"/>
      <c r="F20" s="129" t="str">
        <f t="shared" si="0"/>
        <v/>
      </c>
      <c r="G20" s="53"/>
      <c r="H20" s="129" t="str">
        <f t="shared" si="1"/>
        <v/>
      </c>
      <c r="I20" s="55">
        <f t="shared" si="2"/>
        <v>0</v>
      </c>
    </row>
    <row r="21" spans="2:9" x14ac:dyDescent="0.25">
      <c r="B21" s="56" t="s">
        <v>153</v>
      </c>
      <c r="C21" s="53"/>
      <c r="D21" s="53"/>
      <c r="E21" s="53"/>
      <c r="F21" s="129" t="str">
        <f t="shared" si="0"/>
        <v/>
      </c>
      <c r="G21" s="53"/>
      <c r="H21" s="129" t="str">
        <f t="shared" si="1"/>
        <v/>
      </c>
      <c r="I21" s="55">
        <f t="shared" si="2"/>
        <v>0</v>
      </c>
    </row>
    <row r="22" spans="2:9" x14ac:dyDescent="0.25">
      <c r="B22" s="56" t="s">
        <v>154</v>
      </c>
      <c r="C22" s="53"/>
      <c r="D22" s="53"/>
      <c r="E22" s="53"/>
      <c r="F22" s="129" t="str">
        <f t="shared" si="0"/>
        <v/>
      </c>
      <c r="G22" s="53"/>
      <c r="H22" s="129" t="str">
        <f t="shared" si="1"/>
        <v/>
      </c>
      <c r="I22" s="55">
        <f t="shared" si="2"/>
        <v>0</v>
      </c>
    </row>
    <row r="23" spans="2:9" x14ac:dyDescent="0.25">
      <c r="B23" s="34" t="s">
        <v>155</v>
      </c>
      <c r="C23" s="53">
        <f>SUM(C24:C30)</f>
        <v>0</v>
      </c>
      <c r="D23" s="53">
        <f>SUM(D24:D30)</f>
        <v>0</v>
      </c>
      <c r="E23" s="53">
        <f>SUM(E24:E30)</f>
        <v>0</v>
      </c>
      <c r="F23" s="129" t="str">
        <f t="shared" si="0"/>
        <v/>
      </c>
      <c r="G23" s="53">
        <f>SUM(G24:G30)</f>
        <v>0</v>
      </c>
      <c r="H23" s="129" t="str">
        <f t="shared" si="1"/>
        <v/>
      </c>
      <c r="I23" s="55">
        <f t="shared" si="2"/>
        <v>0</v>
      </c>
    </row>
    <row r="24" spans="2:9" x14ac:dyDescent="0.25">
      <c r="B24" s="56" t="s">
        <v>156</v>
      </c>
      <c r="C24" s="53"/>
      <c r="D24" s="53"/>
      <c r="E24" s="53"/>
      <c r="F24" s="129" t="str">
        <f t="shared" si="0"/>
        <v/>
      </c>
      <c r="G24" s="53"/>
      <c r="H24" s="129" t="str">
        <f t="shared" si="1"/>
        <v/>
      </c>
      <c r="I24" s="55">
        <f t="shared" si="2"/>
        <v>0</v>
      </c>
    </row>
    <row r="25" spans="2:9" x14ac:dyDescent="0.25">
      <c r="B25" s="56" t="s">
        <v>157</v>
      </c>
      <c r="C25" s="53"/>
      <c r="D25" s="53"/>
      <c r="E25" s="53"/>
      <c r="F25" s="129" t="str">
        <f t="shared" si="0"/>
        <v/>
      </c>
      <c r="G25" s="53"/>
      <c r="H25" s="129" t="str">
        <f t="shared" si="1"/>
        <v/>
      </c>
      <c r="I25" s="55">
        <f t="shared" si="2"/>
        <v>0</v>
      </c>
    </row>
    <row r="26" spans="2:9" x14ac:dyDescent="0.25">
      <c r="B26" s="56" t="s">
        <v>158</v>
      </c>
      <c r="C26" s="53"/>
      <c r="D26" s="53"/>
      <c r="E26" s="53"/>
      <c r="F26" s="129" t="str">
        <f t="shared" si="0"/>
        <v/>
      </c>
      <c r="G26" s="53"/>
      <c r="H26" s="129" t="str">
        <f t="shared" si="1"/>
        <v/>
      </c>
      <c r="I26" s="55">
        <f t="shared" si="2"/>
        <v>0</v>
      </c>
    </row>
    <row r="27" spans="2:9" x14ac:dyDescent="0.25">
      <c r="B27" s="56" t="s">
        <v>159</v>
      </c>
      <c r="C27" s="53"/>
      <c r="D27" s="53"/>
      <c r="E27" s="53"/>
      <c r="F27" s="129" t="str">
        <f t="shared" si="0"/>
        <v/>
      </c>
      <c r="G27" s="53"/>
      <c r="H27" s="129" t="str">
        <f t="shared" si="1"/>
        <v/>
      </c>
      <c r="I27" s="55">
        <f t="shared" si="2"/>
        <v>0</v>
      </c>
    </row>
    <row r="28" spans="2:9" x14ac:dyDescent="0.25">
      <c r="B28" s="56" t="s">
        <v>160</v>
      </c>
      <c r="C28" s="53"/>
      <c r="D28" s="53"/>
      <c r="E28" s="53"/>
      <c r="F28" s="129" t="str">
        <f t="shared" si="0"/>
        <v/>
      </c>
      <c r="G28" s="53"/>
      <c r="H28" s="129" t="str">
        <f t="shared" si="1"/>
        <v/>
      </c>
      <c r="I28" s="55">
        <f t="shared" si="2"/>
        <v>0</v>
      </c>
    </row>
    <row r="29" spans="2:9" x14ac:dyDescent="0.25">
      <c r="B29" s="56" t="s">
        <v>161</v>
      </c>
      <c r="C29" s="53"/>
      <c r="D29" s="53"/>
      <c r="E29" s="53"/>
      <c r="F29" s="129" t="str">
        <f t="shared" si="0"/>
        <v/>
      </c>
      <c r="G29" s="53"/>
      <c r="H29" s="129" t="str">
        <f t="shared" si="1"/>
        <v/>
      </c>
      <c r="I29" s="55">
        <f t="shared" si="2"/>
        <v>0</v>
      </c>
    </row>
    <row r="30" spans="2:9" x14ac:dyDescent="0.25">
      <c r="B30" s="56" t="s">
        <v>162</v>
      </c>
      <c r="C30" s="53"/>
      <c r="D30" s="53"/>
      <c r="E30" s="53"/>
      <c r="F30" s="129" t="str">
        <f t="shared" si="0"/>
        <v/>
      </c>
      <c r="G30" s="53"/>
      <c r="H30" s="129" t="str">
        <f t="shared" si="1"/>
        <v/>
      </c>
      <c r="I30" s="55">
        <f t="shared" si="2"/>
        <v>0</v>
      </c>
    </row>
    <row r="31" spans="2:9" x14ac:dyDescent="0.25">
      <c r="B31" s="34" t="s">
        <v>163</v>
      </c>
      <c r="C31" s="53"/>
      <c r="D31" s="53"/>
      <c r="E31" s="53"/>
      <c r="F31" s="129" t="str">
        <f t="shared" si="0"/>
        <v/>
      </c>
      <c r="G31" s="53"/>
      <c r="H31" s="129" t="str">
        <f t="shared" si="1"/>
        <v/>
      </c>
      <c r="I31" s="55">
        <f t="shared" si="2"/>
        <v>0</v>
      </c>
    </row>
    <row r="32" spans="2:9" x14ac:dyDescent="0.25">
      <c r="B32" s="34" t="s">
        <v>164</v>
      </c>
      <c r="C32" s="53"/>
      <c r="D32" s="53"/>
      <c r="E32" s="53"/>
      <c r="F32" s="129" t="str">
        <f t="shared" si="0"/>
        <v/>
      </c>
      <c r="G32" s="53"/>
      <c r="H32" s="129" t="str">
        <f t="shared" si="1"/>
        <v/>
      </c>
      <c r="I32" s="55">
        <f t="shared" si="2"/>
        <v>0</v>
      </c>
    </row>
    <row r="33" spans="2:9" x14ac:dyDescent="0.25">
      <c r="B33" s="34" t="s">
        <v>165</v>
      </c>
      <c r="C33" s="53">
        <f>SUM(C34:C38)</f>
        <v>0</v>
      </c>
      <c r="D33" s="53">
        <f>SUM(D34:D38)</f>
        <v>0</v>
      </c>
      <c r="E33" s="53">
        <f>SUM(E34:E38)</f>
        <v>0</v>
      </c>
      <c r="F33" s="129" t="str">
        <f t="shared" si="0"/>
        <v/>
      </c>
      <c r="G33" s="53">
        <f>SUM(G34:G38)</f>
        <v>0</v>
      </c>
      <c r="H33" s="129" t="str">
        <f t="shared" si="1"/>
        <v/>
      </c>
      <c r="I33" s="55">
        <f t="shared" si="2"/>
        <v>0</v>
      </c>
    </row>
    <row r="34" spans="2:9" x14ac:dyDescent="0.25">
      <c r="B34" s="56" t="s">
        <v>166</v>
      </c>
      <c r="C34" s="53"/>
      <c r="D34" s="53"/>
      <c r="E34" s="53"/>
      <c r="F34" s="129" t="str">
        <f t="shared" si="0"/>
        <v/>
      </c>
      <c r="G34" s="53"/>
      <c r="H34" s="129" t="str">
        <f t="shared" si="1"/>
        <v/>
      </c>
      <c r="I34" s="55">
        <f t="shared" si="2"/>
        <v>0</v>
      </c>
    </row>
    <row r="35" spans="2:9" x14ac:dyDescent="0.25">
      <c r="B35" s="56" t="s">
        <v>167</v>
      </c>
      <c r="C35" s="53"/>
      <c r="D35" s="53"/>
      <c r="E35" s="53"/>
      <c r="F35" s="129" t="str">
        <f t="shared" si="0"/>
        <v/>
      </c>
      <c r="G35" s="53"/>
      <c r="H35" s="129" t="str">
        <f t="shared" si="1"/>
        <v/>
      </c>
      <c r="I35" s="55">
        <f t="shared" si="2"/>
        <v>0</v>
      </c>
    </row>
    <row r="36" spans="2:9" x14ac:dyDescent="0.25">
      <c r="B36" s="56" t="s">
        <v>168</v>
      </c>
      <c r="C36" s="53"/>
      <c r="D36" s="53"/>
      <c r="E36" s="53"/>
      <c r="F36" s="129" t="str">
        <f t="shared" si="0"/>
        <v/>
      </c>
      <c r="G36" s="53"/>
      <c r="H36" s="129" t="str">
        <f t="shared" si="1"/>
        <v/>
      </c>
      <c r="I36" s="55">
        <f t="shared" si="2"/>
        <v>0</v>
      </c>
    </row>
    <row r="37" spans="2:9" x14ac:dyDescent="0.25">
      <c r="B37" s="56" t="s">
        <v>169</v>
      </c>
      <c r="C37" s="53"/>
      <c r="D37" s="53"/>
      <c r="E37" s="53"/>
      <c r="F37" s="129" t="str">
        <f t="shared" si="0"/>
        <v/>
      </c>
      <c r="G37" s="53"/>
      <c r="H37" s="129" t="str">
        <f t="shared" si="1"/>
        <v/>
      </c>
      <c r="I37" s="55">
        <f t="shared" si="2"/>
        <v>0</v>
      </c>
    </row>
    <row r="38" spans="2:9" x14ac:dyDescent="0.25">
      <c r="B38" s="56" t="s">
        <v>170</v>
      </c>
      <c r="C38" s="53"/>
      <c r="D38" s="53"/>
      <c r="E38" s="53"/>
      <c r="F38" s="129" t="str">
        <f t="shared" si="0"/>
        <v/>
      </c>
      <c r="G38" s="53"/>
      <c r="H38" s="129" t="str">
        <f t="shared" si="1"/>
        <v/>
      </c>
      <c r="I38" s="55">
        <f t="shared" si="2"/>
        <v>0</v>
      </c>
    </row>
    <row r="39" spans="2:9" x14ac:dyDescent="0.25">
      <c r="B39" s="34" t="s">
        <v>171</v>
      </c>
      <c r="C39" s="53">
        <f>SUM(C40:C46)</f>
        <v>0</v>
      </c>
      <c r="D39" s="53">
        <f>SUM(D40:D46)</f>
        <v>0</v>
      </c>
      <c r="E39" s="53">
        <f>SUM(E40:E46)</f>
        <v>0</v>
      </c>
      <c r="F39" s="129" t="str">
        <f t="shared" si="0"/>
        <v/>
      </c>
      <c r="G39" s="53">
        <f>SUM(G40:G46)</f>
        <v>0</v>
      </c>
      <c r="H39" s="129" t="str">
        <f t="shared" si="1"/>
        <v/>
      </c>
      <c r="I39" s="55">
        <f t="shared" si="2"/>
        <v>0</v>
      </c>
    </row>
    <row r="40" spans="2:9" x14ac:dyDescent="0.25">
      <c r="B40" s="56" t="s">
        <v>172</v>
      </c>
      <c r="C40" s="53"/>
      <c r="D40" s="53"/>
      <c r="E40" s="53"/>
      <c r="F40" s="129" t="str">
        <f t="shared" si="0"/>
        <v/>
      </c>
      <c r="G40" s="53"/>
      <c r="H40" s="129" t="str">
        <f t="shared" si="1"/>
        <v/>
      </c>
      <c r="I40" s="55">
        <f t="shared" si="2"/>
        <v>0</v>
      </c>
    </row>
    <row r="41" spans="2:9" x14ac:dyDescent="0.25">
      <c r="B41" s="56" t="s">
        <v>173</v>
      </c>
      <c r="C41" s="53"/>
      <c r="D41" s="53"/>
      <c r="E41" s="53"/>
      <c r="F41" s="129" t="str">
        <f t="shared" si="0"/>
        <v/>
      </c>
      <c r="G41" s="53"/>
      <c r="H41" s="129" t="str">
        <f t="shared" si="1"/>
        <v/>
      </c>
      <c r="I41" s="55">
        <f t="shared" si="2"/>
        <v>0</v>
      </c>
    </row>
    <row r="42" spans="2:9" x14ac:dyDescent="0.25">
      <c r="B42" s="56" t="s">
        <v>174</v>
      </c>
      <c r="C42" s="53"/>
      <c r="D42" s="53"/>
      <c r="E42" s="53"/>
      <c r="F42" s="129" t="str">
        <f t="shared" si="0"/>
        <v/>
      </c>
      <c r="G42" s="53"/>
      <c r="H42" s="129" t="str">
        <f t="shared" si="1"/>
        <v/>
      </c>
      <c r="I42" s="55">
        <f t="shared" si="2"/>
        <v>0</v>
      </c>
    </row>
    <row r="43" spans="2:9" x14ac:dyDescent="0.25">
      <c r="B43" s="56" t="s">
        <v>175</v>
      </c>
      <c r="C43" s="53"/>
      <c r="D43" s="53"/>
      <c r="E43" s="53"/>
      <c r="F43" s="129" t="str">
        <f t="shared" si="0"/>
        <v/>
      </c>
      <c r="G43" s="53"/>
      <c r="H43" s="129" t="str">
        <f t="shared" si="1"/>
        <v/>
      </c>
      <c r="I43" s="55">
        <f t="shared" si="2"/>
        <v>0</v>
      </c>
    </row>
    <row r="44" spans="2:9" x14ac:dyDescent="0.25">
      <c r="B44" s="56" t="s">
        <v>176</v>
      </c>
      <c r="C44" s="53"/>
      <c r="D44" s="53"/>
      <c r="E44" s="53"/>
      <c r="F44" s="129" t="str">
        <f t="shared" ref="F44:F75" si="3">IFERROR(ROUND(E44/D44,4),"")</f>
        <v/>
      </c>
      <c r="G44" s="53"/>
      <c r="H44" s="129" t="str">
        <f t="shared" ref="H44:H75" si="4">IFERROR(ROUND(G44/D44,4),"")</f>
        <v/>
      </c>
      <c r="I44" s="55">
        <f t="shared" ref="I44:I75" si="5">D44-G44</f>
        <v>0</v>
      </c>
    </row>
    <row r="45" spans="2:9" x14ac:dyDescent="0.25">
      <c r="B45" s="56" t="s">
        <v>177</v>
      </c>
      <c r="C45" s="53"/>
      <c r="D45" s="53"/>
      <c r="E45" s="53"/>
      <c r="F45" s="129" t="str">
        <f t="shared" si="3"/>
        <v/>
      </c>
      <c r="G45" s="53"/>
      <c r="H45" s="129" t="str">
        <f t="shared" si="4"/>
        <v/>
      </c>
      <c r="I45" s="55">
        <f t="shared" si="5"/>
        <v>0</v>
      </c>
    </row>
    <row r="46" spans="2:9" x14ac:dyDescent="0.25">
      <c r="B46" s="56" t="s">
        <v>178</v>
      </c>
      <c r="C46" s="53"/>
      <c r="D46" s="53"/>
      <c r="E46" s="53"/>
      <c r="F46" s="129" t="str">
        <f t="shared" si="3"/>
        <v/>
      </c>
      <c r="G46" s="53"/>
      <c r="H46" s="129" t="str">
        <f t="shared" si="4"/>
        <v/>
      </c>
      <c r="I46" s="55">
        <f t="shared" si="5"/>
        <v>0</v>
      </c>
    </row>
    <row r="47" spans="2:9" x14ac:dyDescent="0.25">
      <c r="B47" s="34" t="s">
        <v>179</v>
      </c>
      <c r="C47" s="53">
        <f>SUM(C48:C52)</f>
        <v>0</v>
      </c>
      <c r="D47" s="53">
        <f>SUM(D48:D52)</f>
        <v>0</v>
      </c>
      <c r="E47" s="53">
        <f>SUM(E48:E52)</f>
        <v>0</v>
      </c>
      <c r="F47" s="129" t="str">
        <f t="shared" si="3"/>
        <v/>
      </c>
      <c r="G47" s="53">
        <f>SUM(G48:G52)</f>
        <v>0</v>
      </c>
      <c r="H47" s="129" t="str">
        <f t="shared" si="4"/>
        <v/>
      </c>
      <c r="I47" s="55">
        <f t="shared" si="5"/>
        <v>0</v>
      </c>
    </row>
    <row r="48" spans="2:9" x14ac:dyDescent="0.25">
      <c r="B48" s="56" t="s">
        <v>180</v>
      </c>
      <c r="C48" s="53"/>
      <c r="D48" s="53"/>
      <c r="E48" s="53"/>
      <c r="F48" s="129" t="str">
        <f t="shared" si="3"/>
        <v/>
      </c>
      <c r="G48" s="53"/>
      <c r="H48" s="129" t="str">
        <f t="shared" si="4"/>
        <v/>
      </c>
      <c r="I48" s="55">
        <f t="shared" si="5"/>
        <v>0</v>
      </c>
    </row>
    <row r="49" spans="2:9" x14ac:dyDescent="0.25">
      <c r="B49" s="56" t="s">
        <v>181</v>
      </c>
      <c r="C49" s="53"/>
      <c r="D49" s="53"/>
      <c r="E49" s="53"/>
      <c r="F49" s="129" t="str">
        <f t="shared" si="3"/>
        <v/>
      </c>
      <c r="G49" s="53"/>
      <c r="H49" s="129" t="str">
        <f t="shared" si="4"/>
        <v/>
      </c>
      <c r="I49" s="55">
        <f t="shared" si="5"/>
        <v>0</v>
      </c>
    </row>
    <row r="50" spans="2:9" x14ac:dyDescent="0.25">
      <c r="B50" s="56" t="s">
        <v>182</v>
      </c>
      <c r="C50" s="53"/>
      <c r="D50" s="53"/>
      <c r="E50" s="53"/>
      <c r="F50" s="129" t="str">
        <f t="shared" si="3"/>
        <v/>
      </c>
      <c r="G50" s="53"/>
      <c r="H50" s="129" t="str">
        <f t="shared" si="4"/>
        <v/>
      </c>
      <c r="I50" s="55">
        <f t="shared" si="5"/>
        <v>0</v>
      </c>
    </row>
    <row r="51" spans="2:9" x14ac:dyDescent="0.25">
      <c r="B51" s="56" t="s">
        <v>183</v>
      </c>
      <c r="C51" s="53"/>
      <c r="D51" s="53"/>
      <c r="E51" s="53"/>
      <c r="F51" s="129" t="str">
        <f t="shared" si="3"/>
        <v/>
      </c>
      <c r="G51" s="53"/>
      <c r="H51" s="129" t="str">
        <f t="shared" si="4"/>
        <v/>
      </c>
      <c r="I51" s="55">
        <f t="shared" si="5"/>
        <v>0</v>
      </c>
    </row>
    <row r="52" spans="2:9" x14ac:dyDescent="0.25">
      <c r="B52" s="56" t="s">
        <v>184</v>
      </c>
      <c r="C52" s="53"/>
      <c r="D52" s="53"/>
      <c r="E52" s="53"/>
      <c r="F52" s="129" t="str">
        <f t="shared" si="3"/>
        <v/>
      </c>
      <c r="G52" s="53"/>
      <c r="H52" s="129" t="str">
        <f t="shared" si="4"/>
        <v/>
      </c>
      <c r="I52" s="55">
        <f t="shared" si="5"/>
        <v>0</v>
      </c>
    </row>
    <row r="53" spans="2:9" x14ac:dyDescent="0.25">
      <c r="B53" s="33" t="s">
        <v>185</v>
      </c>
      <c r="C53" s="53">
        <f>C54+C57+C61+C62+C70</f>
        <v>0</v>
      </c>
      <c r="D53" s="53">
        <f>D54+D57+D61+D62+D70</f>
        <v>0</v>
      </c>
      <c r="E53" s="53">
        <f>E54+E57+E61+E62+E70</f>
        <v>0</v>
      </c>
      <c r="F53" s="129" t="str">
        <f t="shared" si="3"/>
        <v/>
      </c>
      <c r="G53" s="53">
        <f>G54+G57+G61+G62+G70</f>
        <v>0</v>
      </c>
      <c r="H53" s="129" t="str">
        <f t="shared" si="4"/>
        <v/>
      </c>
      <c r="I53" s="55">
        <f t="shared" si="5"/>
        <v>0</v>
      </c>
    </row>
    <row r="54" spans="2:9" x14ac:dyDescent="0.25">
      <c r="B54" s="34" t="s">
        <v>186</v>
      </c>
      <c r="C54" s="53">
        <f>SUM(C55:C56)</f>
        <v>0</v>
      </c>
      <c r="D54" s="53">
        <f>SUM(D55:D56)</f>
        <v>0</v>
      </c>
      <c r="E54" s="53">
        <f>SUM(E55:E56)</f>
        <v>0</v>
      </c>
      <c r="F54" s="129" t="str">
        <f t="shared" si="3"/>
        <v/>
      </c>
      <c r="G54" s="53">
        <f>SUM(G55:G56)</f>
        <v>0</v>
      </c>
      <c r="H54" s="129" t="str">
        <f t="shared" si="4"/>
        <v/>
      </c>
      <c r="I54" s="55">
        <f t="shared" si="5"/>
        <v>0</v>
      </c>
    </row>
    <row r="55" spans="2:9" x14ac:dyDescent="0.25">
      <c r="B55" s="56" t="s">
        <v>187</v>
      </c>
      <c r="C55" s="53"/>
      <c r="D55" s="53"/>
      <c r="E55" s="53"/>
      <c r="F55" s="129" t="str">
        <f t="shared" si="3"/>
        <v/>
      </c>
      <c r="G55" s="53"/>
      <c r="H55" s="129" t="str">
        <f t="shared" si="4"/>
        <v/>
      </c>
      <c r="I55" s="55">
        <f t="shared" si="5"/>
        <v>0</v>
      </c>
    </row>
    <row r="56" spans="2:9" x14ac:dyDescent="0.25">
      <c r="B56" s="56" t="s">
        <v>188</v>
      </c>
      <c r="C56" s="53"/>
      <c r="D56" s="53"/>
      <c r="E56" s="53"/>
      <c r="F56" s="129" t="str">
        <f t="shared" si="3"/>
        <v/>
      </c>
      <c r="G56" s="53"/>
      <c r="H56" s="129" t="str">
        <f t="shared" si="4"/>
        <v/>
      </c>
      <c r="I56" s="55">
        <f t="shared" si="5"/>
        <v>0</v>
      </c>
    </row>
    <row r="57" spans="2:9" x14ac:dyDescent="0.25">
      <c r="B57" s="34" t="s">
        <v>189</v>
      </c>
      <c r="C57" s="53">
        <f>SUM(C58:C60)</f>
        <v>0</v>
      </c>
      <c r="D57" s="53">
        <f>SUM(D58:D60)</f>
        <v>0</v>
      </c>
      <c r="E57" s="53">
        <f>SUM(E58:E60)</f>
        <v>0</v>
      </c>
      <c r="F57" s="129" t="str">
        <f t="shared" si="3"/>
        <v/>
      </c>
      <c r="G57" s="53">
        <f>SUM(G58:G60)</f>
        <v>0</v>
      </c>
      <c r="H57" s="129" t="str">
        <f t="shared" si="4"/>
        <v/>
      </c>
      <c r="I57" s="55">
        <f t="shared" si="5"/>
        <v>0</v>
      </c>
    </row>
    <row r="58" spans="2:9" x14ac:dyDescent="0.25">
      <c r="B58" s="56" t="s">
        <v>190</v>
      </c>
      <c r="C58" s="53"/>
      <c r="D58" s="53"/>
      <c r="E58" s="53"/>
      <c r="F58" s="129" t="str">
        <f t="shared" si="3"/>
        <v/>
      </c>
      <c r="G58" s="53"/>
      <c r="H58" s="129" t="str">
        <f t="shared" si="4"/>
        <v/>
      </c>
      <c r="I58" s="55">
        <f t="shared" si="5"/>
        <v>0</v>
      </c>
    </row>
    <row r="59" spans="2:9" x14ac:dyDescent="0.25">
      <c r="B59" s="56" t="s">
        <v>191</v>
      </c>
      <c r="C59" s="53"/>
      <c r="D59" s="53"/>
      <c r="E59" s="53"/>
      <c r="F59" s="129" t="str">
        <f t="shared" si="3"/>
        <v/>
      </c>
      <c r="G59" s="53"/>
      <c r="H59" s="129" t="str">
        <f t="shared" si="4"/>
        <v/>
      </c>
      <c r="I59" s="55">
        <f t="shared" si="5"/>
        <v>0</v>
      </c>
    </row>
    <row r="60" spans="2:9" x14ac:dyDescent="0.25">
      <c r="B60" s="56" t="s">
        <v>192</v>
      </c>
      <c r="C60" s="53"/>
      <c r="D60" s="53"/>
      <c r="E60" s="53"/>
      <c r="F60" s="129" t="str">
        <f t="shared" si="3"/>
        <v/>
      </c>
      <c r="G60" s="53"/>
      <c r="H60" s="129" t="str">
        <f t="shared" si="4"/>
        <v/>
      </c>
      <c r="I60" s="55">
        <f t="shared" si="5"/>
        <v>0</v>
      </c>
    </row>
    <row r="61" spans="2:9" x14ac:dyDescent="0.25">
      <c r="B61" s="34" t="s">
        <v>193</v>
      </c>
      <c r="C61" s="53"/>
      <c r="D61" s="53"/>
      <c r="E61" s="53"/>
      <c r="F61" s="129" t="str">
        <f t="shared" si="3"/>
        <v/>
      </c>
      <c r="G61" s="53"/>
      <c r="H61" s="129" t="str">
        <f t="shared" si="4"/>
        <v/>
      </c>
      <c r="I61" s="55">
        <f t="shared" si="5"/>
        <v>0</v>
      </c>
    </row>
    <row r="62" spans="2:9" x14ac:dyDescent="0.25">
      <c r="B62" s="34" t="s">
        <v>194</v>
      </c>
      <c r="C62" s="53">
        <f>SUM(C63:C69)</f>
        <v>0</v>
      </c>
      <c r="D62" s="53">
        <f>SUM(D63:D69)</f>
        <v>0</v>
      </c>
      <c r="E62" s="53">
        <f>SUM(E63:E69)</f>
        <v>0</v>
      </c>
      <c r="F62" s="129" t="str">
        <f t="shared" si="3"/>
        <v/>
      </c>
      <c r="G62" s="53">
        <f>SUM(G63:G69)</f>
        <v>0</v>
      </c>
      <c r="H62" s="129" t="str">
        <f t="shared" si="4"/>
        <v/>
      </c>
      <c r="I62" s="55">
        <f t="shared" si="5"/>
        <v>0</v>
      </c>
    </row>
    <row r="63" spans="2:9" x14ac:dyDescent="0.25">
      <c r="B63" s="56" t="s">
        <v>195</v>
      </c>
      <c r="C63" s="53"/>
      <c r="D63" s="53"/>
      <c r="E63" s="53"/>
      <c r="F63" s="129" t="str">
        <f t="shared" si="3"/>
        <v/>
      </c>
      <c r="G63" s="53"/>
      <c r="H63" s="129" t="str">
        <f t="shared" si="4"/>
        <v/>
      </c>
      <c r="I63" s="55">
        <f t="shared" si="5"/>
        <v>0</v>
      </c>
    </row>
    <row r="64" spans="2:9" x14ac:dyDescent="0.25">
      <c r="B64" s="56" t="s">
        <v>173</v>
      </c>
      <c r="C64" s="53"/>
      <c r="D64" s="53"/>
      <c r="E64" s="53"/>
      <c r="F64" s="129" t="str">
        <f t="shared" si="3"/>
        <v/>
      </c>
      <c r="G64" s="53"/>
      <c r="H64" s="129" t="str">
        <f t="shared" si="4"/>
        <v/>
      </c>
      <c r="I64" s="55">
        <f t="shared" si="5"/>
        <v>0</v>
      </c>
    </row>
    <row r="65" spans="2:9" x14ac:dyDescent="0.25">
      <c r="B65" s="56" t="s">
        <v>174</v>
      </c>
      <c r="C65" s="53"/>
      <c r="D65" s="53"/>
      <c r="E65" s="53"/>
      <c r="F65" s="129" t="str">
        <f t="shared" si="3"/>
        <v/>
      </c>
      <c r="G65" s="53"/>
      <c r="H65" s="129" t="str">
        <f t="shared" si="4"/>
        <v/>
      </c>
      <c r="I65" s="55">
        <f t="shared" si="5"/>
        <v>0</v>
      </c>
    </row>
    <row r="66" spans="2:9" x14ac:dyDescent="0.25">
      <c r="B66" s="56" t="s">
        <v>175</v>
      </c>
      <c r="C66" s="53"/>
      <c r="D66" s="53"/>
      <c r="E66" s="53"/>
      <c r="F66" s="129" t="str">
        <f t="shared" si="3"/>
        <v/>
      </c>
      <c r="G66" s="53"/>
      <c r="H66" s="129" t="str">
        <f t="shared" si="4"/>
        <v/>
      </c>
      <c r="I66" s="55">
        <f t="shared" si="5"/>
        <v>0</v>
      </c>
    </row>
    <row r="67" spans="2:9" x14ac:dyDescent="0.25">
      <c r="B67" s="56" t="s">
        <v>176</v>
      </c>
      <c r="C67" s="53"/>
      <c r="D67" s="53"/>
      <c r="E67" s="53"/>
      <c r="F67" s="129" t="str">
        <f t="shared" si="3"/>
        <v/>
      </c>
      <c r="G67" s="53"/>
      <c r="H67" s="129" t="str">
        <f t="shared" si="4"/>
        <v/>
      </c>
      <c r="I67" s="55">
        <f t="shared" si="5"/>
        <v>0</v>
      </c>
    </row>
    <row r="68" spans="2:9" x14ac:dyDescent="0.25">
      <c r="B68" s="56" t="s">
        <v>177</v>
      </c>
      <c r="C68" s="53"/>
      <c r="D68" s="53"/>
      <c r="E68" s="53"/>
      <c r="F68" s="129" t="str">
        <f t="shared" si="3"/>
        <v/>
      </c>
      <c r="G68" s="53"/>
      <c r="H68" s="129" t="str">
        <f t="shared" si="4"/>
        <v/>
      </c>
      <c r="I68" s="55">
        <f t="shared" si="5"/>
        <v>0</v>
      </c>
    </row>
    <row r="69" spans="2:9" x14ac:dyDescent="0.25">
      <c r="B69" s="56" t="s">
        <v>196</v>
      </c>
      <c r="C69" s="53"/>
      <c r="D69" s="53"/>
      <c r="E69" s="53"/>
      <c r="F69" s="129" t="str">
        <f t="shared" si="3"/>
        <v/>
      </c>
      <c r="G69" s="53"/>
      <c r="H69" s="129" t="str">
        <f t="shared" si="4"/>
        <v/>
      </c>
      <c r="I69" s="55">
        <f t="shared" si="5"/>
        <v>0</v>
      </c>
    </row>
    <row r="70" spans="2:9" x14ac:dyDescent="0.25">
      <c r="B70" s="34" t="s">
        <v>197</v>
      </c>
      <c r="C70" s="53">
        <f>SUM(C71:C74)</f>
        <v>0</v>
      </c>
      <c r="D70" s="53">
        <f>SUM(D71:D74)</f>
        <v>0</v>
      </c>
      <c r="E70" s="53">
        <f>SUM(E71:E74)</f>
        <v>0</v>
      </c>
      <c r="F70" s="129" t="str">
        <f t="shared" si="3"/>
        <v/>
      </c>
      <c r="G70" s="53">
        <f>SUM(G71:G74)</f>
        <v>0</v>
      </c>
      <c r="H70" s="129" t="str">
        <f t="shared" si="4"/>
        <v/>
      </c>
      <c r="I70" s="55">
        <f t="shared" si="5"/>
        <v>0</v>
      </c>
    </row>
    <row r="71" spans="2:9" x14ac:dyDescent="0.25">
      <c r="B71" s="56" t="s">
        <v>198</v>
      </c>
      <c r="C71" s="53"/>
      <c r="D71" s="53"/>
      <c r="E71" s="53"/>
      <c r="F71" s="129" t="str">
        <f t="shared" si="3"/>
        <v/>
      </c>
      <c r="G71" s="53"/>
      <c r="H71" s="129" t="str">
        <f t="shared" si="4"/>
        <v/>
      </c>
      <c r="I71" s="55">
        <f t="shared" si="5"/>
        <v>0</v>
      </c>
    </row>
    <row r="72" spans="2:9" x14ac:dyDescent="0.25">
      <c r="B72" s="56" t="s">
        <v>199</v>
      </c>
      <c r="C72" s="53"/>
      <c r="D72" s="53"/>
      <c r="E72" s="53"/>
      <c r="F72" s="129" t="str">
        <f t="shared" si="3"/>
        <v/>
      </c>
      <c r="G72" s="53"/>
      <c r="H72" s="129" t="str">
        <f t="shared" si="4"/>
        <v/>
      </c>
      <c r="I72" s="55">
        <f t="shared" si="5"/>
        <v>0</v>
      </c>
    </row>
    <row r="73" spans="2:9" x14ac:dyDescent="0.25">
      <c r="B73" s="56" t="s">
        <v>200</v>
      </c>
      <c r="C73" s="53"/>
      <c r="D73" s="53"/>
      <c r="E73" s="53"/>
      <c r="F73" s="129" t="str">
        <f t="shared" si="3"/>
        <v/>
      </c>
      <c r="G73" s="53"/>
      <c r="H73" s="129" t="str">
        <f t="shared" si="4"/>
        <v/>
      </c>
      <c r="I73" s="55">
        <f t="shared" si="5"/>
        <v>0</v>
      </c>
    </row>
    <row r="74" spans="2:9" x14ac:dyDescent="0.25">
      <c r="B74" s="56" t="s">
        <v>201</v>
      </c>
      <c r="C74" s="53"/>
      <c r="D74" s="53"/>
      <c r="E74" s="53"/>
      <c r="F74" s="129" t="str">
        <f t="shared" si="3"/>
        <v/>
      </c>
      <c r="G74" s="53"/>
      <c r="H74" s="129" t="str">
        <f t="shared" si="4"/>
        <v/>
      </c>
      <c r="I74" s="55">
        <f t="shared" si="5"/>
        <v>0</v>
      </c>
    </row>
    <row r="75" spans="2:9" x14ac:dyDescent="0.25">
      <c r="B75" s="57" t="s">
        <v>202</v>
      </c>
      <c r="C75" s="53">
        <f>'RREO A1 BO Receita Intra'!C11</f>
        <v>0</v>
      </c>
      <c r="D75" s="53">
        <f>'RREO A1 BO Receita Intra'!D11</f>
        <v>0</v>
      </c>
      <c r="E75" s="53">
        <f>'RREO A1 BO Receita Intra'!E11</f>
        <v>0</v>
      </c>
      <c r="F75" s="129" t="str">
        <f t="shared" si="3"/>
        <v/>
      </c>
      <c r="G75" s="53">
        <f>'RREO A1 BO Receita Intra'!G11</f>
        <v>0</v>
      </c>
      <c r="H75" s="129" t="str">
        <f t="shared" si="4"/>
        <v/>
      </c>
      <c r="I75" s="55">
        <f t="shared" si="5"/>
        <v>0</v>
      </c>
    </row>
    <row r="76" spans="2:9" x14ac:dyDescent="0.25">
      <c r="B76" s="58" t="s">
        <v>203</v>
      </c>
      <c r="C76" s="59">
        <f>C12+C75</f>
        <v>0</v>
      </c>
      <c r="D76" s="59">
        <f>D12+D75</f>
        <v>0</v>
      </c>
      <c r="E76" s="59">
        <f>E12+E75</f>
        <v>0</v>
      </c>
      <c r="F76" s="131" t="str">
        <f t="shared" ref="F76:F86" si="6">IFERROR(ROUND(E76/D76,4),"")</f>
        <v/>
      </c>
      <c r="G76" s="59">
        <f>G12+G75</f>
        <v>0</v>
      </c>
      <c r="H76" s="131" t="str">
        <f t="shared" ref="H76:H86" si="7">IFERROR(ROUND(G76/D76,4),"")</f>
        <v/>
      </c>
      <c r="I76" s="60">
        <f t="shared" ref="I76:I84" si="8">D76-G76</f>
        <v>0</v>
      </c>
    </row>
    <row r="77" spans="2:9" x14ac:dyDescent="0.25">
      <c r="B77" s="49" t="s">
        <v>204</v>
      </c>
      <c r="C77" s="50">
        <f>C78+C81</f>
        <v>0</v>
      </c>
      <c r="D77" s="50">
        <f>D78+D81</f>
        <v>0</v>
      </c>
      <c r="E77" s="50">
        <f>E78+E81</f>
        <v>0</v>
      </c>
      <c r="F77" s="128" t="str">
        <f t="shared" si="6"/>
        <v/>
      </c>
      <c r="G77" s="50">
        <f>G78+G81</f>
        <v>0</v>
      </c>
      <c r="H77" s="128" t="str">
        <f t="shared" si="7"/>
        <v/>
      </c>
      <c r="I77" s="52">
        <f t="shared" si="8"/>
        <v>0</v>
      </c>
    </row>
    <row r="78" spans="2:9" x14ac:dyDescent="0.25">
      <c r="B78" s="33" t="s">
        <v>187</v>
      </c>
      <c r="C78" s="53">
        <f>SUM(C79:C80)</f>
        <v>0</v>
      </c>
      <c r="D78" s="53">
        <f>SUM(D79:D80)</f>
        <v>0</v>
      </c>
      <c r="E78" s="53">
        <f>SUM(E79:E80)</f>
        <v>0</v>
      </c>
      <c r="F78" s="129" t="str">
        <f t="shared" si="6"/>
        <v/>
      </c>
      <c r="G78" s="53">
        <f>SUM(G79:G80)</f>
        <v>0</v>
      </c>
      <c r="H78" s="129" t="str">
        <f t="shared" si="7"/>
        <v/>
      </c>
      <c r="I78" s="55">
        <f t="shared" si="8"/>
        <v>0</v>
      </c>
    </row>
    <row r="79" spans="2:9" x14ac:dyDescent="0.25">
      <c r="B79" s="34" t="s">
        <v>205</v>
      </c>
      <c r="C79" s="53"/>
      <c r="D79" s="53"/>
      <c r="E79" s="53"/>
      <c r="F79" s="129" t="str">
        <f t="shared" si="6"/>
        <v/>
      </c>
      <c r="G79" s="53"/>
      <c r="H79" s="129" t="str">
        <f t="shared" si="7"/>
        <v/>
      </c>
      <c r="I79" s="55">
        <f t="shared" si="8"/>
        <v>0</v>
      </c>
    </row>
    <row r="80" spans="2:9" x14ac:dyDescent="0.25">
      <c r="B80" s="34" t="s">
        <v>206</v>
      </c>
      <c r="C80" s="53"/>
      <c r="D80" s="53"/>
      <c r="E80" s="53"/>
      <c r="F80" s="129" t="str">
        <f t="shared" si="6"/>
        <v/>
      </c>
      <c r="G80" s="53"/>
      <c r="H80" s="129" t="str">
        <f t="shared" si="7"/>
        <v/>
      </c>
      <c r="I80" s="55">
        <f t="shared" si="8"/>
        <v>0</v>
      </c>
    </row>
    <row r="81" spans="2:9" x14ac:dyDescent="0.25">
      <c r="B81" s="33" t="s">
        <v>188</v>
      </c>
      <c r="C81" s="53">
        <f>SUM(C82:C83)</f>
        <v>0</v>
      </c>
      <c r="D81" s="53">
        <f>SUM(D82:D83)</f>
        <v>0</v>
      </c>
      <c r="E81" s="53">
        <f>SUM(E82:E83)</f>
        <v>0</v>
      </c>
      <c r="F81" s="129" t="str">
        <f t="shared" si="6"/>
        <v/>
      </c>
      <c r="G81" s="53">
        <f>SUM(G82:G83)</f>
        <v>0</v>
      </c>
      <c r="H81" s="129" t="str">
        <f t="shared" si="7"/>
        <v/>
      </c>
      <c r="I81" s="55">
        <f t="shared" si="8"/>
        <v>0</v>
      </c>
    </row>
    <row r="82" spans="2:9" x14ac:dyDescent="0.25">
      <c r="B82" s="34" t="s">
        <v>205</v>
      </c>
      <c r="C82" s="53"/>
      <c r="D82" s="53"/>
      <c r="E82" s="53"/>
      <c r="F82" s="129" t="str">
        <f t="shared" si="6"/>
        <v/>
      </c>
      <c r="G82" s="53"/>
      <c r="H82" s="129" t="str">
        <f t="shared" si="7"/>
        <v/>
      </c>
      <c r="I82" s="55">
        <f t="shared" si="8"/>
        <v>0</v>
      </c>
    </row>
    <row r="83" spans="2:9" x14ac:dyDescent="0.25">
      <c r="B83" s="34" t="s">
        <v>206</v>
      </c>
      <c r="C83" s="53"/>
      <c r="D83" s="53"/>
      <c r="E83" s="53"/>
      <c r="F83" s="129" t="str">
        <f t="shared" si="6"/>
        <v/>
      </c>
      <c r="G83" s="53"/>
      <c r="H83" s="129" t="str">
        <f t="shared" si="7"/>
        <v/>
      </c>
      <c r="I83" s="55">
        <f t="shared" si="8"/>
        <v>0</v>
      </c>
    </row>
    <row r="84" spans="2:9" x14ac:dyDescent="0.25">
      <c r="B84" s="58" t="s">
        <v>207</v>
      </c>
      <c r="C84" s="59">
        <f>C76+C77</f>
        <v>0</v>
      </c>
      <c r="D84" s="59">
        <f>D76+D77</f>
        <v>0</v>
      </c>
      <c r="E84" s="59">
        <f>E76+E77</f>
        <v>0</v>
      </c>
      <c r="F84" s="131" t="str">
        <f t="shared" si="6"/>
        <v/>
      </c>
      <c r="G84" s="59">
        <f>G76+G77</f>
        <v>0</v>
      </c>
      <c r="H84" s="131" t="str">
        <f t="shared" si="7"/>
        <v/>
      </c>
      <c r="I84" s="60">
        <f t="shared" si="8"/>
        <v>0</v>
      </c>
    </row>
    <row r="85" spans="2:9" x14ac:dyDescent="0.25">
      <c r="B85" s="49" t="s">
        <v>208</v>
      </c>
      <c r="C85" s="50"/>
      <c r="D85" s="50"/>
      <c r="E85" s="50"/>
      <c r="F85" s="128" t="str">
        <f t="shared" si="6"/>
        <v/>
      </c>
      <c r="G85" s="50">
        <f>IF(MONTH(paramDataBase)&lt;12,IF(G84&lt;'RREO A1 BO Despesa'!I31,'RREO A1 BO Despesa'!I31-'RREO A1 BO Receita'!G84,0),IF(G84&lt;'RREO A1 BO Despesa'!F31,'RREO A1 BO Despesa'!F31-'RREO A1 BO Receita'!G84,0))</f>
        <v>0</v>
      </c>
      <c r="H85" s="128" t="str">
        <f t="shared" si="7"/>
        <v/>
      </c>
      <c r="I85" s="52"/>
    </row>
    <row r="86" spans="2:9" x14ac:dyDescent="0.25">
      <c r="B86" s="58" t="s">
        <v>209</v>
      </c>
      <c r="C86" s="59">
        <f>C84+C85</f>
        <v>0</v>
      </c>
      <c r="D86" s="59">
        <f>D84+D85</f>
        <v>0</v>
      </c>
      <c r="E86" s="59">
        <f>E84+E85</f>
        <v>0</v>
      </c>
      <c r="F86" s="131" t="str">
        <f t="shared" si="6"/>
        <v/>
      </c>
      <c r="G86" s="59">
        <f>G84+G85</f>
        <v>0</v>
      </c>
      <c r="H86" s="131" t="str">
        <f t="shared" si="7"/>
        <v/>
      </c>
      <c r="I86" s="60">
        <f>D86-G86</f>
        <v>0</v>
      </c>
    </row>
    <row r="87" spans="2:9" x14ac:dyDescent="0.25">
      <c r="B87" s="49" t="s">
        <v>210</v>
      </c>
      <c r="C87" s="50">
        <f>SUM(C88:C89)</f>
        <v>0</v>
      </c>
      <c r="D87" s="50">
        <f>SUM(D88:D89)</f>
        <v>0</v>
      </c>
      <c r="E87" s="50"/>
      <c r="F87" s="51"/>
      <c r="G87" s="50">
        <f>SUM(G88:G89)</f>
        <v>0</v>
      </c>
      <c r="H87" s="51"/>
      <c r="I87" s="52"/>
    </row>
    <row r="88" spans="2:9" x14ac:dyDescent="0.25">
      <c r="B88" s="33" t="s">
        <v>211</v>
      </c>
      <c r="C88" s="53"/>
      <c r="D88" s="53"/>
      <c r="E88" s="53"/>
      <c r="F88" s="54" t="str">
        <f>IFERROR(ROUND(E88/D88,4),"")</f>
        <v/>
      </c>
      <c r="G88" s="53"/>
      <c r="H88" s="54" t="str">
        <f>IFERROR(ROUND(G88/D88,4),"")</f>
        <v/>
      </c>
      <c r="I88" s="55"/>
    </row>
    <row r="89" spans="2:9" ht="15.75" customHeight="1" x14ac:dyDescent="0.25">
      <c r="B89" s="61" t="s">
        <v>212</v>
      </c>
      <c r="C89" s="62"/>
      <c r="D89" s="62"/>
      <c r="E89" s="62"/>
      <c r="F89" s="63"/>
      <c r="G89" s="62">
        <f>D89</f>
        <v>0</v>
      </c>
      <c r="H89" s="63"/>
      <c r="I89" s="64"/>
    </row>
    <row r="90" spans="2:9" x14ac:dyDescent="0.25">
      <c r="G90" s="246" t="s">
        <v>213</v>
      </c>
      <c r="H90" s="246"/>
      <c r="I90" s="246"/>
    </row>
  </sheetData>
  <mergeCells count="12">
    <mergeCell ref="G90:I90"/>
    <mergeCell ref="B2:I2"/>
    <mergeCell ref="B3:I3"/>
    <mergeCell ref="B4:I4"/>
    <mergeCell ref="B5:I5"/>
    <mergeCell ref="B6:I6"/>
    <mergeCell ref="B8:H8"/>
    <mergeCell ref="B9:B11"/>
    <mergeCell ref="C9:C11"/>
    <mergeCell ref="D9:D10"/>
    <mergeCell ref="E9:H9"/>
    <mergeCell ref="I9:I10"/>
  </mergeCells>
  <pageMargins left="0.25" right="0.25" top="0.75" bottom="0.75" header="0.3" footer="0.3"/>
  <pageSetup paperSize="9" scale="54" fitToHeight="0" orientation="portrait" r:id="rId1"/>
  <ignoredErrors>
    <ignoredError sqref="F12 F13 F14 F15 F18 F23 F33 F39 F47 F53 F54 F57 F62 F70 F75 F76 F77 F78 F79 F81 F84 F85 F86 F8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853C0C"/>
    <pageSetUpPr fitToPage="1"/>
  </sheetPr>
  <dimension ref="B2:L45"/>
  <sheetViews>
    <sheetView topLeftCell="A19" workbookViewId="0">
      <selection activeCell="A34" sqref="A34"/>
    </sheetView>
  </sheetViews>
  <sheetFormatPr defaultRowHeight="15" x14ac:dyDescent="0.25"/>
  <cols>
    <col min="2" max="2" width="46.42578125" customWidth="1"/>
    <col min="3" max="3" width="16.85546875" customWidth="1"/>
    <col min="4" max="4" width="21.85546875" customWidth="1"/>
    <col min="5" max="5" width="13.5703125" customWidth="1"/>
    <col min="6" max="6" width="14.28515625" customWidth="1"/>
    <col min="7" max="8" width="13.5703125" customWidth="1"/>
    <col min="9" max="9" width="14.28515625" customWidth="1"/>
    <col min="10" max="10" width="13.5703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59" t="s">
        <v>215</v>
      </c>
      <c r="C9" s="257" t="s">
        <v>216</v>
      </c>
      <c r="D9" s="257" t="s">
        <v>217</v>
      </c>
      <c r="E9" s="257" t="s">
        <v>218</v>
      </c>
      <c r="F9" s="257"/>
      <c r="G9" s="257" t="s">
        <v>134</v>
      </c>
      <c r="H9" s="257" t="s">
        <v>219</v>
      </c>
      <c r="I9" s="257"/>
      <c r="J9" s="257" t="s">
        <v>134</v>
      </c>
      <c r="K9" s="7" t="s">
        <v>220</v>
      </c>
      <c r="L9" s="9" t="s">
        <v>221</v>
      </c>
    </row>
    <row r="10" spans="2:12" x14ac:dyDescent="0.25">
      <c r="B10" s="260"/>
      <c r="C10" s="258"/>
      <c r="D10" s="258"/>
      <c r="E10" s="13" t="s">
        <v>135</v>
      </c>
      <c r="F10" s="13" t="s">
        <v>137</v>
      </c>
      <c r="G10" s="258"/>
      <c r="H10" s="13" t="s">
        <v>135</v>
      </c>
      <c r="I10" s="13" t="s">
        <v>137</v>
      </c>
      <c r="J10" s="258"/>
      <c r="K10" s="8" t="s">
        <v>222</v>
      </c>
      <c r="L10" s="10" t="s">
        <v>223</v>
      </c>
    </row>
    <row r="11" spans="2:12" x14ac:dyDescent="0.25">
      <c r="B11" s="260"/>
      <c r="C11" s="11" t="s">
        <v>224</v>
      </c>
      <c r="D11" s="11" t="s">
        <v>225</v>
      </c>
      <c r="E11" s="11"/>
      <c r="F11" s="11" t="s">
        <v>226</v>
      </c>
      <c r="G11" s="11" t="s">
        <v>227</v>
      </c>
      <c r="H11" s="11"/>
      <c r="I11" s="11" t="s">
        <v>228</v>
      </c>
      <c r="J11" s="11" t="s">
        <v>229</v>
      </c>
      <c r="K11" s="11" t="s">
        <v>230</v>
      </c>
      <c r="L11" s="12" t="s">
        <v>231</v>
      </c>
    </row>
    <row r="12" spans="2:12" x14ac:dyDescent="0.25">
      <c r="B12" s="49" t="s">
        <v>232</v>
      </c>
      <c r="C12" s="50">
        <f>C13+C17+C21</f>
        <v>0</v>
      </c>
      <c r="D12" s="50">
        <f>D13+D17+D21</f>
        <v>0</v>
      </c>
      <c r="E12" s="50">
        <f>E13+E17+E21</f>
        <v>0</v>
      </c>
      <c r="F12" s="50">
        <f>F13+F17+F21</f>
        <v>0</v>
      </c>
      <c r="G12" s="50">
        <f t="shared" ref="G12:G31" si="0">D12-F12</f>
        <v>0</v>
      </c>
      <c r="H12" s="50">
        <f>H13+H17+H21</f>
        <v>0</v>
      </c>
      <c r="I12" s="50">
        <f>I13+I17+I21</f>
        <v>0</v>
      </c>
      <c r="J12" s="50">
        <f t="shared" ref="J12:J31" si="1">D12-I12</f>
        <v>0</v>
      </c>
      <c r="K12" s="50">
        <f>K13+K17+K21</f>
        <v>0</v>
      </c>
      <c r="L12" s="52">
        <f t="shared" ref="L12:L23" si="2">IF(MONTH(paramDataBase)=12,F12-I12,0)</f>
        <v>0</v>
      </c>
    </row>
    <row r="13" spans="2:12" x14ac:dyDescent="0.25">
      <c r="B13" s="33" t="s">
        <v>233</v>
      </c>
      <c r="C13" s="53">
        <f>SUM(C14:C16)</f>
        <v>0</v>
      </c>
      <c r="D13" s="53">
        <f>SUM(D14:D16)</f>
        <v>0</v>
      </c>
      <c r="E13" s="53">
        <f>SUM(E14:E16)</f>
        <v>0</v>
      </c>
      <c r="F13" s="53">
        <f>SUM(F14:F16)</f>
        <v>0</v>
      </c>
      <c r="G13" s="53">
        <f t="shared" si="0"/>
        <v>0</v>
      </c>
      <c r="H13" s="53">
        <f>SUM(H14:H16)</f>
        <v>0</v>
      </c>
      <c r="I13" s="53">
        <f>SUM(I14:I16)</f>
        <v>0</v>
      </c>
      <c r="J13" s="53">
        <f t="shared" si="1"/>
        <v>0</v>
      </c>
      <c r="K13" s="53">
        <f>SUM(K14:K16)</f>
        <v>0</v>
      </c>
      <c r="L13" s="55">
        <f t="shared" si="2"/>
        <v>0</v>
      </c>
    </row>
    <row r="14" spans="2:12" x14ac:dyDescent="0.25">
      <c r="B14" s="34" t="s">
        <v>234</v>
      </c>
      <c r="C14" s="53"/>
      <c r="D14" s="53"/>
      <c r="E14" s="53"/>
      <c r="F14" s="53"/>
      <c r="G14" s="53">
        <f t="shared" si="0"/>
        <v>0</v>
      </c>
      <c r="H14" s="53"/>
      <c r="I14" s="53"/>
      <c r="J14" s="53">
        <f t="shared" si="1"/>
        <v>0</v>
      </c>
      <c r="K14" s="53"/>
      <c r="L14" s="55">
        <f t="shared" si="2"/>
        <v>0</v>
      </c>
    </row>
    <row r="15" spans="2:12" x14ac:dyDescent="0.25">
      <c r="B15" s="34" t="s">
        <v>235</v>
      </c>
      <c r="C15" s="53"/>
      <c r="D15" s="53"/>
      <c r="E15" s="53"/>
      <c r="F15" s="53"/>
      <c r="G15" s="53">
        <f t="shared" si="0"/>
        <v>0</v>
      </c>
      <c r="H15" s="53"/>
      <c r="I15" s="53"/>
      <c r="J15" s="53">
        <f t="shared" si="1"/>
        <v>0</v>
      </c>
      <c r="K15" s="53"/>
      <c r="L15" s="55">
        <f t="shared" si="2"/>
        <v>0</v>
      </c>
    </row>
    <row r="16" spans="2:12" x14ac:dyDescent="0.25">
      <c r="B16" s="34" t="s">
        <v>236</v>
      </c>
      <c r="C16" s="53"/>
      <c r="D16" s="53"/>
      <c r="E16" s="53"/>
      <c r="F16" s="53"/>
      <c r="G16" s="53">
        <f t="shared" si="0"/>
        <v>0</v>
      </c>
      <c r="H16" s="53"/>
      <c r="I16" s="53"/>
      <c r="J16" s="53">
        <f t="shared" si="1"/>
        <v>0</v>
      </c>
      <c r="K16" s="53"/>
      <c r="L16" s="55">
        <f t="shared" si="2"/>
        <v>0</v>
      </c>
    </row>
    <row r="17" spans="2:12" x14ac:dyDescent="0.25">
      <c r="B17" s="33" t="s">
        <v>237</v>
      </c>
      <c r="C17" s="53">
        <f>SUM(C18:C20)</f>
        <v>0</v>
      </c>
      <c r="D17" s="53">
        <f>SUM(D18:D20)</f>
        <v>0</v>
      </c>
      <c r="E17" s="53">
        <f>SUM(E18:E20)</f>
        <v>0</v>
      </c>
      <c r="F17" s="53">
        <f>SUM(F18:F20)</f>
        <v>0</v>
      </c>
      <c r="G17" s="53">
        <f t="shared" si="0"/>
        <v>0</v>
      </c>
      <c r="H17" s="53">
        <f>SUM(H18:H20)</f>
        <v>0</v>
      </c>
      <c r="I17" s="53">
        <f>SUM(I18:I20)</f>
        <v>0</v>
      </c>
      <c r="J17" s="53">
        <f t="shared" si="1"/>
        <v>0</v>
      </c>
      <c r="K17" s="53">
        <f>SUM(K18:K20)</f>
        <v>0</v>
      </c>
      <c r="L17" s="55">
        <f t="shared" si="2"/>
        <v>0</v>
      </c>
    </row>
    <row r="18" spans="2:12" x14ac:dyDescent="0.25">
      <c r="B18" s="34" t="s">
        <v>238</v>
      </c>
      <c r="C18" s="53"/>
      <c r="D18" s="53"/>
      <c r="E18" s="53"/>
      <c r="F18" s="53"/>
      <c r="G18" s="53">
        <f t="shared" si="0"/>
        <v>0</v>
      </c>
      <c r="H18" s="53"/>
      <c r="I18" s="53"/>
      <c r="J18" s="53">
        <f t="shared" si="1"/>
        <v>0</v>
      </c>
      <c r="K18" s="53"/>
      <c r="L18" s="55">
        <f t="shared" si="2"/>
        <v>0</v>
      </c>
    </row>
    <row r="19" spans="2:12" x14ac:dyDescent="0.25">
      <c r="B19" s="34" t="s">
        <v>239</v>
      </c>
      <c r="C19" s="53"/>
      <c r="D19" s="53"/>
      <c r="E19" s="53"/>
      <c r="F19" s="53"/>
      <c r="G19" s="53">
        <f t="shared" si="0"/>
        <v>0</v>
      </c>
      <c r="H19" s="53"/>
      <c r="I19" s="53"/>
      <c r="J19" s="53">
        <f t="shared" si="1"/>
        <v>0</v>
      </c>
      <c r="K19" s="53"/>
      <c r="L19" s="55">
        <f t="shared" si="2"/>
        <v>0</v>
      </c>
    </row>
    <row r="20" spans="2:12" x14ac:dyDescent="0.25">
      <c r="B20" s="34" t="s">
        <v>240</v>
      </c>
      <c r="C20" s="53"/>
      <c r="D20" s="53"/>
      <c r="E20" s="53"/>
      <c r="F20" s="53"/>
      <c r="G20" s="53">
        <f t="shared" si="0"/>
        <v>0</v>
      </c>
      <c r="H20" s="53"/>
      <c r="I20" s="53"/>
      <c r="J20" s="53">
        <f t="shared" si="1"/>
        <v>0</v>
      </c>
      <c r="K20" s="53"/>
      <c r="L20" s="55">
        <f t="shared" si="2"/>
        <v>0</v>
      </c>
    </row>
    <row r="21" spans="2:12" x14ac:dyDescent="0.25">
      <c r="B21" s="33" t="s">
        <v>241</v>
      </c>
      <c r="C21" s="53"/>
      <c r="D21" s="53"/>
      <c r="E21" s="53"/>
      <c r="F21" s="53"/>
      <c r="G21" s="53">
        <f t="shared" si="0"/>
        <v>0</v>
      </c>
      <c r="H21" s="53"/>
      <c r="I21" s="53"/>
      <c r="J21" s="53">
        <f t="shared" si="1"/>
        <v>0</v>
      </c>
      <c r="K21" s="53"/>
      <c r="L21" s="55">
        <f t="shared" si="2"/>
        <v>0</v>
      </c>
    </row>
    <row r="22" spans="2:12" x14ac:dyDescent="0.25">
      <c r="B22" s="57" t="s">
        <v>242</v>
      </c>
      <c r="C22" s="53">
        <f>'RREO A1 BO Despesa Intra'!C12</f>
        <v>0</v>
      </c>
      <c r="D22" s="53">
        <f>'RREO A1 BO Despesa Intra'!D12</f>
        <v>0</v>
      </c>
      <c r="E22" s="53">
        <f>'RREO A1 BO Despesa Intra'!E12</f>
        <v>0</v>
      </c>
      <c r="F22" s="53">
        <f>'RREO A1 BO Despesa Intra'!F12</f>
        <v>0</v>
      </c>
      <c r="G22" s="53">
        <f t="shared" si="0"/>
        <v>0</v>
      </c>
      <c r="H22" s="53">
        <f>'RREO A1 BO Despesa Intra'!H12</f>
        <v>0</v>
      </c>
      <c r="I22" s="53">
        <f>'RREO A1 BO Despesa Intra'!I12</f>
        <v>0</v>
      </c>
      <c r="J22" s="53">
        <f t="shared" si="1"/>
        <v>0</v>
      </c>
      <c r="K22" s="53">
        <f>'RREO A1 BO Despesa Intra'!K12</f>
        <v>0</v>
      </c>
      <c r="L22" s="55">
        <f t="shared" si="2"/>
        <v>0</v>
      </c>
    </row>
    <row r="23" spans="2:12" x14ac:dyDescent="0.25">
      <c r="B23" s="58" t="s">
        <v>243</v>
      </c>
      <c r="C23" s="59">
        <f>C12+C22</f>
        <v>0</v>
      </c>
      <c r="D23" s="59">
        <f>D12+D22</f>
        <v>0</v>
      </c>
      <c r="E23" s="59">
        <f>E12+E22</f>
        <v>0</v>
      </c>
      <c r="F23" s="59">
        <f>F12+F22</f>
        <v>0</v>
      </c>
      <c r="G23" s="59">
        <f t="shared" si="0"/>
        <v>0</v>
      </c>
      <c r="H23" s="59">
        <f>H12+H22</f>
        <v>0</v>
      </c>
      <c r="I23" s="59">
        <f>I12+I22</f>
        <v>0</v>
      </c>
      <c r="J23" s="59">
        <f t="shared" si="1"/>
        <v>0</v>
      </c>
      <c r="K23" s="59">
        <f>K12+K22</f>
        <v>0</v>
      </c>
      <c r="L23" s="60">
        <f t="shared" si="2"/>
        <v>0</v>
      </c>
    </row>
    <row r="24" spans="2:12" x14ac:dyDescent="0.25">
      <c r="B24" s="49" t="s">
        <v>244</v>
      </c>
      <c r="C24" s="50">
        <f>C25+C28</f>
        <v>0</v>
      </c>
      <c r="D24" s="50">
        <f>D25+D28</f>
        <v>0</v>
      </c>
      <c r="E24" s="50">
        <f>E25+E28</f>
        <v>0</v>
      </c>
      <c r="F24" s="50">
        <f>F25+F28</f>
        <v>0</v>
      </c>
      <c r="G24" s="50">
        <f t="shared" si="0"/>
        <v>0</v>
      </c>
      <c r="H24" s="50">
        <f>H25+H28</f>
        <v>0</v>
      </c>
      <c r="I24" s="50">
        <f>I25+I28</f>
        <v>0</v>
      </c>
      <c r="J24" s="50">
        <f t="shared" si="1"/>
        <v>0</v>
      </c>
      <c r="K24" s="50">
        <f>K25+K28</f>
        <v>0</v>
      </c>
      <c r="L24" s="52" t="str">
        <f t="shared" ref="L24:L30" si="3">IF(MONTH(paramDataBase)=12,F24-I24,"")</f>
        <v/>
      </c>
    </row>
    <row r="25" spans="2:12" x14ac:dyDescent="0.25">
      <c r="B25" s="33" t="s">
        <v>245</v>
      </c>
      <c r="C25" s="53">
        <f>SUM(C26:C27)</f>
        <v>0</v>
      </c>
      <c r="D25" s="53">
        <f>SUM(D26:D27)</f>
        <v>0</v>
      </c>
      <c r="E25" s="53">
        <f>SUM(E26:E27)</f>
        <v>0</v>
      </c>
      <c r="F25" s="53">
        <f>SUM(F26:F27)</f>
        <v>0</v>
      </c>
      <c r="G25" s="53">
        <f t="shared" si="0"/>
        <v>0</v>
      </c>
      <c r="H25" s="53">
        <f>SUM(H26:H27)</f>
        <v>0</v>
      </c>
      <c r="I25" s="53">
        <f>SUM(I26:I27)</f>
        <v>0</v>
      </c>
      <c r="J25" s="53">
        <f t="shared" si="1"/>
        <v>0</v>
      </c>
      <c r="K25" s="53">
        <f>SUM(K26:K27)</f>
        <v>0</v>
      </c>
      <c r="L25" s="55" t="str">
        <f t="shared" si="3"/>
        <v/>
      </c>
    </row>
    <row r="26" spans="2:12" x14ac:dyDescent="0.25">
      <c r="B26" s="34" t="s">
        <v>246</v>
      </c>
      <c r="C26" s="53"/>
      <c r="D26" s="53"/>
      <c r="E26" s="53"/>
      <c r="F26" s="53"/>
      <c r="G26" s="53">
        <f t="shared" si="0"/>
        <v>0</v>
      </c>
      <c r="H26" s="53"/>
      <c r="I26" s="53"/>
      <c r="J26" s="53">
        <f t="shared" si="1"/>
        <v>0</v>
      </c>
      <c r="K26" s="53"/>
      <c r="L26" s="55" t="str">
        <f t="shared" si="3"/>
        <v/>
      </c>
    </row>
    <row r="27" spans="2:12" x14ac:dyDescent="0.25">
      <c r="B27" s="34" t="s">
        <v>247</v>
      </c>
      <c r="C27" s="53"/>
      <c r="D27" s="53"/>
      <c r="E27" s="53"/>
      <c r="F27" s="53"/>
      <c r="G27" s="53">
        <f t="shared" si="0"/>
        <v>0</v>
      </c>
      <c r="H27" s="53"/>
      <c r="I27" s="53"/>
      <c r="J27" s="53">
        <f t="shared" si="1"/>
        <v>0</v>
      </c>
      <c r="K27" s="53"/>
      <c r="L27" s="55" t="str">
        <f t="shared" si="3"/>
        <v/>
      </c>
    </row>
    <row r="28" spans="2:12" x14ac:dyDescent="0.25">
      <c r="B28" s="33" t="s">
        <v>248</v>
      </c>
      <c r="C28" s="53">
        <f>SUM(C29:C30)</f>
        <v>0</v>
      </c>
      <c r="D28" s="53">
        <f>SUM(D29:D30)</f>
        <v>0</v>
      </c>
      <c r="E28" s="53">
        <f>SUM(E29:E30)</f>
        <v>0</v>
      </c>
      <c r="F28" s="53">
        <f>SUM(F29:F30)</f>
        <v>0</v>
      </c>
      <c r="G28" s="53">
        <f t="shared" si="0"/>
        <v>0</v>
      </c>
      <c r="H28" s="53">
        <f>SUM(H29:H30)</f>
        <v>0</v>
      </c>
      <c r="I28" s="53">
        <f>SUM(I29:I30)</f>
        <v>0</v>
      </c>
      <c r="J28" s="53">
        <f t="shared" si="1"/>
        <v>0</v>
      </c>
      <c r="K28" s="53">
        <f>SUM(K29:K30)</f>
        <v>0</v>
      </c>
      <c r="L28" s="55" t="str">
        <f t="shared" si="3"/>
        <v/>
      </c>
    </row>
    <row r="29" spans="2:12" x14ac:dyDescent="0.25">
      <c r="B29" s="34" t="s">
        <v>246</v>
      </c>
      <c r="C29" s="53"/>
      <c r="D29" s="53"/>
      <c r="E29" s="53"/>
      <c r="F29" s="53"/>
      <c r="G29" s="53">
        <f t="shared" si="0"/>
        <v>0</v>
      </c>
      <c r="H29" s="53"/>
      <c r="I29" s="53"/>
      <c r="J29" s="53">
        <f t="shared" si="1"/>
        <v>0</v>
      </c>
      <c r="K29" s="53"/>
      <c r="L29" s="55" t="str">
        <f t="shared" si="3"/>
        <v/>
      </c>
    </row>
    <row r="30" spans="2:12" x14ac:dyDescent="0.25">
      <c r="B30" s="67" t="s">
        <v>247</v>
      </c>
      <c r="C30" s="78"/>
      <c r="D30" s="78"/>
      <c r="E30" s="78"/>
      <c r="F30" s="78"/>
      <c r="G30" s="78">
        <f t="shared" si="0"/>
        <v>0</v>
      </c>
      <c r="H30" s="78"/>
      <c r="I30" s="78"/>
      <c r="J30" s="78">
        <f t="shared" si="1"/>
        <v>0</v>
      </c>
      <c r="K30" s="78"/>
      <c r="L30" s="79" t="str">
        <f t="shared" si="3"/>
        <v/>
      </c>
    </row>
    <row r="31" spans="2:12" x14ac:dyDescent="0.25">
      <c r="B31" s="70" t="s">
        <v>249</v>
      </c>
      <c r="C31" s="122">
        <f>C23+C24</f>
        <v>0</v>
      </c>
      <c r="D31" s="122">
        <f>D23+D24</f>
        <v>0</v>
      </c>
      <c r="E31" s="122">
        <f>E23+E24</f>
        <v>0</v>
      </c>
      <c r="F31" s="122">
        <f>F23+F24</f>
        <v>0</v>
      </c>
      <c r="G31" s="122">
        <f t="shared" si="0"/>
        <v>0</v>
      </c>
      <c r="H31" s="122">
        <f>H23+H24</f>
        <v>0</v>
      </c>
      <c r="I31" s="122">
        <f>I23+I24</f>
        <v>0</v>
      </c>
      <c r="J31" s="122">
        <f t="shared" si="1"/>
        <v>0</v>
      </c>
      <c r="K31" s="122">
        <f>K23+K24</f>
        <v>0</v>
      </c>
      <c r="L31" s="123">
        <f>IF(MONTH(paramDataBase)=12,F31-I31,0)</f>
        <v>0</v>
      </c>
    </row>
    <row r="32" spans="2:12" x14ac:dyDescent="0.25">
      <c r="B32" s="57" t="s">
        <v>250</v>
      </c>
      <c r="C32" s="53"/>
      <c r="D32" s="53"/>
      <c r="E32" s="53"/>
      <c r="F32" s="53">
        <f>IF(MONTH(paramDataBase)=12,IF(F31&lt;'RREO A1 BO Receita'!G84,'RREO A1 BO Receita'!G84-'RREO A1 BO Despesa'!F31,0),0)</f>
        <v>0</v>
      </c>
      <c r="G32" s="53"/>
      <c r="H32" s="53"/>
      <c r="I32" s="53">
        <f>IF(MONTH(paramDataBase)&lt;12,IF(I31&lt;'RREO A1 BO Receita'!G84,'RREO A1 BO Receita'!G84-'RREO A1 BO Despesa'!I31,0),0)</f>
        <v>0</v>
      </c>
      <c r="J32" s="53"/>
      <c r="K32" s="53">
        <f>IF(K31&lt;'RREO A1 BO Receita'!G84,'RREO A1 BO Receita'!G84-'RREO A1 BO Despesa'!K31,0)</f>
        <v>0</v>
      </c>
      <c r="L32" s="55"/>
    </row>
    <row r="33" spans="2:12" x14ac:dyDescent="0.25">
      <c r="B33" s="58" t="s">
        <v>251</v>
      </c>
      <c r="C33" s="59">
        <f t="shared" ref="C33:L33" si="4">C31+C32</f>
        <v>0</v>
      </c>
      <c r="D33" s="59">
        <f t="shared" si="4"/>
        <v>0</v>
      </c>
      <c r="E33" s="59">
        <f t="shared" si="4"/>
        <v>0</v>
      </c>
      <c r="F33" s="59">
        <f t="shared" si="4"/>
        <v>0</v>
      </c>
      <c r="G33" s="59">
        <f t="shared" si="4"/>
        <v>0</v>
      </c>
      <c r="H33" s="59">
        <f t="shared" si="4"/>
        <v>0</v>
      </c>
      <c r="I33" s="59">
        <f t="shared" si="4"/>
        <v>0</v>
      </c>
      <c r="J33" s="59">
        <f t="shared" si="4"/>
        <v>0</v>
      </c>
      <c r="K33" s="59">
        <f t="shared" si="4"/>
        <v>0</v>
      </c>
      <c r="L33" s="60">
        <f t="shared" si="4"/>
        <v>0</v>
      </c>
    </row>
    <row r="34" spans="2:12" ht="15.75" customHeight="1" x14ac:dyDescent="0.25">
      <c r="B34" s="21" t="s">
        <v>252</v>
      </c>
      <c r="C34" s="62"/>
      <c r="D34" s="62"/>
      <c r="E34" s="62"/>
      <c r="F34" s="62"/>
      <c r="G34" s="62">
        <f>D34-F34</f>
        <v>0</v>
      </c>
      <c r="H34" s="62"/>
      <c r="I34" s="62"/>
      <c r="J34" s="62">
        <f>D34-I34</f>
        <v>0</v>
      </c>
      <c r="K34" s="62"/>
      <c r="L34" s="64" t="str">
        <f>IF(MONTH(paramDataBase)=12,F34-I34,"")</f>
        <v/>
      </c>
    </row>
    <row r="35" spans="2:12" x14ac:dyDescent="0.25">
      <c r="B35" s="261" t="str">
        <f ca="1">_xlfn.CONCAT("Fonte: ",paramFonte,". Emissão em ",TEXT(NOW(),"dd/mm/aaaa \à\s hh:mm:ss"))</f>
        <v>Fonte: Sistema MS Excel + SIAPC/PAD, Unidade Responsável: Secretaria da Fazenda / Setor de Contabilidade. Emissão em 09/05/2024 às 09:42:51</v>
      </c>
      <c r="C35" s="261"/>
      <c r="D35" s="261"/>
      <c r="E35" s="261"/>
      <c r="F35" s="261"/>
      <c r="G35" s="261"/>
      <c r="H35" s="261"/>
      <c r="I35" s="261"/>
      <c r="J35" s="261"/>
      <c r="K35" s="261"/>
      <c r="L35" s="261"/>
    </row>
    <row r="37" spans="2:12" x14ac:dyDescent="0.25">
      <c r="B37" t="s">
        <v>253</v>
      </c>
    </row>
    <row r="38" spans="2:12" ht="30" customHeight="1" x14ac:dyDescent="0.25">
      <c r="B38" s="262" t="str">
        <f>IFERROR(_xlfn.CONCAT(_xlfn._xlws.FILTER(tblNotasExplicativas[Nota Com Separador],tblNotasExplicativas[Demonstrativo]="RREO A1")),"")</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c r="C38" s="262"/>
      <c r="D38" s="262"/>
      <c r="E38" s="262"/>
      <c r="F38" s="262"/>
      <c r="G38" s="262"/>
      <c r="H38" s="262"/>
      <c r="I38" s="262"/>
      <c r="J38" s="262"/>
      <c r="K38" s="262"/>
      <c r="L38" s="262"/>
    </row>
    <row r="43" spans="2:12" x14ac:dyDescent="0.25">
      <c r="B43" s="247" t="str">
        <f>paramNomeContador</f>
        <v>EVERTON DA ROSA</v>
      </c>
      <c r="C43" s="247"/>
      <c r="E43" s="247" t="str">
        <f>paramNomeSecretario</f>
        <v>ANA PAULA RODRIGUES SCHNEIDER SCHMIDT</v>
      </c>
      <c r="F43" s="247"/>
      <c r="G43" s="247"/>
      <c r="H43" s="247"/>
      <c r="I43" s="247"/>
      <c r="K43" s="247" t="str">
        <f>paramNomePrefeito</f>
        <v>JOÃO EDÉCIO GRAEF</v>
      </c>
      <c r="L43" s="247"/>
    </row>
    <row r="44" spans="2:12" x14ac:dyDescent="0.25">
      <c r="B44" s="247" t="str">
        <f>paramCargoContador</f>
        <v>Contador</v>
      </c>
      <c r="C44" s="247"/>
      <c r="E44" s="247" t="str">
        <f>paramCargoSecretario</f>
        <v>Secretária da Fazenda</v>
      </c>
      <c r="F44" s="247"/>
      <c r="G44" s="247"/>
      <c r="H44" s="247"/>
      <c r="I44" s="247"/>
      <c r="K44" s="247" t="str">
        <f>paramCargoPrefeito</f>
        <v>Prefeito Municipal</v>
      </c>
      <c r="L44" s="247"/>
    </row>
    <row r="45" spans="2:12" x14ac:dyDescent="0.25">
      <c r="B45" s="247" t="str">
        <f>_xlfn.CONCAT("CRC ",paramCRCContador)</f>
        <v>CRC 076595/O-3</v>
      </c>
      <c r="C45" s="247"/>
    </row>
  </sheetData>
  <mergeCells count="21">
    <mergeCell ref="B35:L35"/>
    <mergeCell ref="B38:L38"/>
    <mergeCell ref="B43:C43"/>
    <mergeCell ref="B44:C44"/>
    <mergeCell ref="B45:C45"/>
    <mergeCell ref="E43:I43"/>
    <mergeCell ref="E44:I44"/>
    <mergeCell ref="K43:L43"/>
    <mergeCell ref="K44:L44"/>
    <mergeCell ref="J9:J10"/>
    <mergeCell ref="B2:L2"/>
    <mergeCell ref="B3:L3"/>
    <mergeCell ref="B4:L4"/>
    <mergeCell ref="B5:L5"/>
    <mergeCell ref="B6:L6"/>
    <mergeCell ref="B9:B11"/>
    <mergeCell ref="C9:C10"/>
    <mergeCell ref="D9:D10"/>
    <mergeCell ref="E9:F9"/>
    <mergeCell ref="G9:G10"/>
    <mergeCell ref="H9:I9"/>
  </mergeCells>
  <pageMargins left="0.25" right="0.25" top="0.75" bottom="0.75" header="0.3" footer="0.3"/>
  <pageSetup paperSize="9" scale="66" fitToHeight="0" orientation="landscape" r:id="rId1"/>
  <ignoredErrors>
    <ignoredError sqref="G12 J12 G13 J13 G14 J14 G17 J17 G22 J22 G23 J23 G24 J24 G25 J25 G26 J26 G27 J27 G28 J28 G29 J29 G30 J30 G31 J31 G34 J34"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853C0C"/>
    <pageSetUpPr fitToPage="1"/>
  </sheetPr>
  <dimension ref="B2:I75"/>
  <sheetViews>
    <sheetView workbookViewId="0">
      <selection activeCell="K1" sqref="K1:O1048576"/>
    </sheetView>
  </sheetViews>
  <sheetFormatPr defaultRowHeight="15" x14ac:dyDescent="0.25"/>
  <cols>
    <col min="2" max="2" width="84.7109375" customWidth="1"/>
    <col min="3" max="3" width="16.85546875" customWidth="1"/>
    <col min="4" max="4" width="21.85546875" customWidth="1"/>
    <col min="5" max="5" width="12.42578125" customWidth="1"/>
    <col min="6" max="6" width="7.140625" customWidth="1"/>
    <col min="7" max="7" width="14.28515625" customWidth="1"/>
    <col min="8" max="8" width="8.140625" customWidth="1"/>
    <col min="9" max="9" width="12.42578125"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126</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7" spans="2:9" ht="15.75" customHeight="1" x14ac:dyDescent="0.25"/>
    <row r="8" spans="2:9" x14ac:dyDescent="0.25">
      <c r="B8" s="234" t="s">
        <v>254</v>
      </c>
      <c r="C8" s="251" t="s">
        <v>131</v>
      </c>
      <c r="D8" s="253" t="s">
        <v>132</v>
      </c>
      <c r="E8" s="241" t="s">
        <v>133</v>
      </c>
      <c r="F8" s="241"/>
      <c r="G8" s="241"/>
      <c r="H8" s="241"/>
      <c r="I8" s="255" t="s">
        <v>134</v>
      </c>
    </row>
    <row r="9" spans="2:9" x14ac:dyDescent="0.25">
      <c r="B9" s="228"/>
      <c r="C9" s="244"/>
      <c r="D9" s="254"/>
      <c r="E9" s="4" t="s">
        <v>135</v>
      </c>
      <c r="F9" s="4" t="s">
        <v>136</v>
      </c>
      <c r="G9" s="4" t="s">
        <v>137</v>
      </c>
      <c r="H9" s="4" t="s">
        <v>136</v>
      </c>
      <c r="I9" s="256"/>
    </row>
    <row r="10" spans="2:9" x14ac:dyDescent="0.25">
      <c r="B10" s="229"/>
      <c r="C10" s="252"/>
      <c r="D10" s="5" t="s">
        <v>138</v>
      </c>
      <c r="E10" s="5" t="s">
        <v>139</v>
      </c>
      <c r="F10" s="5" t="s">
        <v>140</v>
      </c>
      <c r="G10" s="5" t="s">
        <v>141</v>
      </c>
      <c r="H10" s="5" t="s">
        <v>142</v>
      </c>
      <c r="I10" s="6" t="s">
        <v>143</v>
      </c>
    </row>
    <row r="11" spans="2:9" x14ac:dyDescent="0.25">
      <c r="B11" s="49" t="s">
        <v>202</v>
      </c>
      <c r="C11" s="50">
        <f>C12+C52</f>
        <v>0</v>
      </c>
      <c r="D11" s="50">
        <f>D12+D52</f>
        <v>0</v>
      </c>
      <c r="E11" s="50">
        <f>E12+E52</f>
        <v>0</v>
      </c>
      <c r="F11" s="128" t="str">
        <f t="shared" ref="F11:F42" si="0">IFERROR(ROUND(E11/D11,4),"")</f>
        <v/>
      </c>
      <c r="G11" s="50">
        <f>G12+G52</f>
        <v>0</v>
      </c>
      <c r="H11" s="128" t="str">
        <f t="shared" ref="H11:H42" si="1">IFERROR(ROUND(G11/D11,4),"")</f>
        <v/>
      </c>
      <c r="I11" s="52">
        <f t="shared" ref="I11:I42" si="2">D11-G11</f>
        <v>0</v>
      </c>
    </row>
    <row r="12" spans="2:9" x14ac:dyDescent="0.25">
      <c r="B12" s="33" t="s">
        <v>145</v>
      </c>
      <c r="C12" s="53">
        <f>C13+C17+C22+C30+C31+C32+C38+C46</f>
        <v>0</v>
      </c>
      <c r="D12" s="53">
        <f>D13+D17+D22+D30+D31+D32+D38+D46</f>
        <v>0</v>
      </c>
      <c r="E12" s="53">
        <f>E13+E17+E22+E30+E31+E32+E38+E46</f>
        <v>0</v>
      </c>
      <c r="F12" s="129" t="str">
        <f t="shared" si="0"/>
        <v/>
      </c>
      <c r="G12" s="53">
        <f>G13+G17+G22+G30+G31+G32+G38+G46</f>
        <v>0</v>
      </c>
      <c r="H12" s="129" t="str">
        <f t="shared" si="1"/>
        <v/>
      </c>
      <c r="I12" s="55">
        <f t="shared" si="2"/>
        <v>0</v>
      </c>
    </row>
    <row r="13" spans="2:9" x14ac:dyDescent="0.25">
      <c r="B13" s="34" t="s">
        <v>146</v>
      </c>
      <c r="C13" s="53">
        <f>SUM(C14:C16)</f>
        <v>0</v>
      </c>
      <c r="D13" s="53">
        <f>SUM(D14:D16)</f>
        <v>0</v>
      </c>
      <c r="E13" s="53">
        <f>SUM(E14:E16)</f>
        <v>0</v>
      </c>
      <c r="F13" s="129" t="str">
        <f t="shared" si="0"/>
        <v/>
      </c>
      <c r="G13" s="53">
        <f>SUM(G14:G16)</f>
        <v>0</v>
      </c>
      <c r="H13" s="129" t="str">
        <f t="shared" si="1"/>
        <v/>
      </c>
      <c r="I13" s="55">
        <f t="shared" si="2"/>
        <v>0</v>
      </c>
    </row>
    <row r="14" spans="2:9" x14ac:dyDescent="0.25">
      <c r="B14" s="56" t="s">
        <v>147</v>
      </c>
      <c r="C14" s="53"/>
      <c r="D14" s="53"/>
      <c r="E14" s="53"/>
      <c r="F14" s="129" t="str">
        <f t="shared" si="0"/>
        <v/>
      </c>
      <c r="G14" s="53"/>
      <c r="H14" s="129" t="str">
        <f t="shared" si="1"/>
        <v/>
      </c>
      <c r="I14" s="55">
        <f t="shared" si="2"/>
        <v>0</v>
      </c>
    </row>
    <row r="15" spans="2:9" x14ac:dyDescent="0.25">
      <c r="B15" s="56" t="s">
        <v>148</v>
      </c>
      <c r="C15" s="53"/>
      <c r="D15" s="53"/>
      <c r="E15" s="53"/>
      <c r="F15" s="129" t="str">
        <f t="shared" si="0"/>
        <v/>
      </c>
      <c r="G15" s="53"/>
      <c r="H15" s="129" t="str">
        <f t="shared" si="1"/>
        <v/>
      </c>
      <c r="I15" s="55">
        <f t="shared" si="2"/>
        <v>0</v>
      </c>
    </row>
    <row r="16" spans="2:9" x14ac:dyDescent="0.25">
      <c r="B16" s="56" t="s">
        <v>149</v>
      </c>
      <c r="C16" s="53"/>
      <c r="D16" s="53"/>
      <c r="E16" s="53"/>
      <c r="F16" s="129" t="str">
        <f t="shared" si="0"/>
        <v/>
      </c>
      <c r="G16" s="53"/>
      <c r="H16" s="129" t="str">
        <f t="shared" si="1"/>
        <v/>
      </c>
      <c r="I16" s="55">
        <f t="shared" si="2"/>
        <v>0</v>
      </c>
    </row>
    <row r="17" spans="2:9" x14ac:dyDescent="0.25">
      <c r="B17" s="34" t="s">
        <v>150</v>
      </c>
      <c r="C17" s="53">
        <f>SUM(C18:C21)</f>
        <v>0</v>
      </c>
      <c r="D17" s="53">
        <f>SUM(D18:D21)</f>
        <v>0</v>
      </c>
      <c r="E17" s="53">
        <f>SUM(E18:E21)</f>
        <v>0</v>
      </c>
      <c r="F17" s="129" t="str">
        <f t="shared" si="0"/>
        <v/>
      </c>
      <c r="G17" s="53">
        <f>SUM(G18:G21)</f>
        <v>0</v>
      </c>
      <c r="H17" s="129" t="str">
        <f t="shared" si="1"/>
        <v/>
      </c>
      <c r="I17" s="55">
        <f t="shared" si="2"/>
        <v>0</v>
      </c>
    </row>
    <row r="18" spans="2:9" x14ac:dyDescent="0.25">
      <c r="B18" s="56" t="s">
        <v>151</v>
      </c>
      <c r="C18" s="53"/>
      <c r="D18" s="53"/>
      <c r="E18" s="53"/>
      <c r="F18" s="129" t="str">
        <f t="shared" si="0"/>
        <v/>
      </c>
      <c r="G18" s="53"/>
      <c r="H18" s="129" t="str">
        <f t="shared" si="1"/>
        <v/>
      </c>
      <c r="I18" s="55">
        <f t="shared" si="2"/>
        <v>0</v>
      </c>
    </row>
    <row r="19" spans="2:9" x14ac:dyDescent="0.25">
      <c r="B19" s="56" t="s">
        <v>152</v>
      </c>
      <c r="C19" s="53"/>
      <c r="D19" s="53"/>
      <c r="E19" s="53"/>
      <c r="F19" s="129" t="str">
        <f t="shared" si="0"/>
        <v/>
      </c>
      <c r="G19" s="53"/>
      <c r="H19" s="129" t="str">
        <f t="shared" si="1"/>
        <v/>
      </c>
      <c r="I19" s="55">
        <f t="shared" si="2"/>
        <v>0</v>
      </c>
    </row>
    <row r="20" spans="2:9" x14ac:dyDescent="0.25">
      <c r="B20" s="56" t="s">
        <v>153</v>
      </c>
      <c r="C20" s="53"/>
      <c r="D20" s="53"/>
      <c r="E20" s="53"/>
      <c r="F20" s="129" t="str">
        <f t="shared" si="0"/>
        <v/>
      </c>
      <c r="G20" s="53"/>
      <c r="H20" s="129" t="str">
        <f t="shared" si="1"/>
        <v/>
      </c>
      <c r="I20" s="55">
        <f t="shared" si="2"/>
        <v>0</v>
      </c>
    </row>
    <row r="21" spans="2:9" x14ac:dyDescent="0.25">
      <c r="B21" s="56" t="s">
        <v>154</v>
      </c>
      <c r="C21" s="53"/>
      <c r="D21" s="53"/>
      <c r="E21" s="53"/>
      <c r="F21" s="129" t="str">
        <f t="shared" si="0"/>
        <v/>
      </c>
      <c r="G21" s="53"/>
      <c r="H21" s="129" t="str">
        <f t="shared" si="1"/>
        <v/>
      </c>
      <c r="I21" s="55">
        <f t="shared" si="2"/>
        <v>0</v>
      </c>
    </row>
    <row r="22" spans="2:9" x14ac:dyDescent="0.25">
      <c r="B22" s="34" t="s">
        <v>155</v>
      </c>
      <c r="C22" s="53">
        <f>SUM(C23:C29)</f>
        <v>0</v>
      </c>
      <c r="D22" s="53">
        <f>SUM(D23:D29)</f>
        <v>0</v>
      </c>
      <c r="E22" s="53">
        <f>SUM(E23:E29)</f>
        <v>0</v>
      </c>
      <c r="F22" s="129" t="str">
        <f t="shared" si="0"/>
        <v/>
      </c>
      <c r="G22" s="53">
        <f>SUM(G23:G29)</f>
        <v>0</v>
      </c>
      <c r="H22" s="129" t="str">
        <f t="shared" si="1"/>
        <v/>
      </c>
      <c r="I22" s="55">
        <f t="shared" si="2"/>
        <v>0</v>
      </c>
    </row>
    <row r="23" spans="2:9" x14ac:dyDescent="0.25">
      <c r="B23" s="56" t="s">
        <v>156</v>
      </c>
      <c r="C23" s="53"/>
      <c r="D23" s="53"/>
      <c r="E23" s="53"/>
      <c r="F23" s="129" t="str">
        <f t="shared" si="0"/>
        <v/>
      </c>
      <c r="G23" s="53"/>
      <c r="H23" s="129" t="str">
        <f t="shared" si="1"/>
        <v/>
      </c>
      <c r="I23" s="55">
        <f t="shared" si="2"/>
        <v>0</v>
      </c>
    </row>
    <row r="24" spans="2:9" x14ac:dyDescent="0.25">
      <c r="B24" s="56" t="s">
        <v>157</v>
      </c>
      <c r="C24" s="53"/>
      <c r="D24" s="53"/>
      <c r="E24" s="53"/>
      <c r="F24" s="129" t="str">
        <f t="shared" si="0"/>
        <v/>
      </c>
      <c r="G24" s="53"/>
      <c r="H24" s="129" t="str">
        <f t="shared" si="1"/>
        <v/>
      </c>
      <c r="I24" s="55">
        <f t="shared" si="2"/>
        <v>0</v>
      </c>
    </row>
    <row r="25" spans="2:9" x14ac:dyDescent="0.25">
      <c r="B25" s="56" t="s">
        <v>158</v>
      </c>
      <c r="C25" s="53"/>
      <c r="D25" s="53"/>
      <c r="E25" s="53"/>
      <c r="F25" s="129" t="str">
        <f t="shared" si="0"/>
        <v/>
      </c>
      <c r="G25" s="53"/>
      <c r="H25" s="129" t="str">
        <f t="shared" si="1"/>
        <v/>
      </c>
      <c r="I25" s="55">
        <f t="shared" si="2"/>
        <v>0</v>
      </c>
    </row>
    <row r="26" spans="2:9" x14ac:dyDescent="0.25">
      <c r="B26" s="56" t="s">
        <v>159</v>
      </c>
      <c r="C26" s="53"/>
      <c r="D26" s="53"/>
      <c r="E26" s="53"/>
      <c r="F26" s="129" t="str">
        <f t="shared" si="0"/>
        <v/>
      </c>
      <c r="G26" s="53"/>
      <c r="H26" s="129" t="str">
        <f t="shared" si="1"/>
        <v/>
      </c>
      <c r="I26" s="55">
        <f t="shared" si="2"/>
        <v>0</v>
      </c>
    </row>
    <row r="27" spans="2:9" x14ac:dyDescent="0.25">
      <c r="B27" s="56" t="s">
        <v>160</v>
      </c>
      <c r="C27" s="53"/>
      <c r="D27" s="53"/>
      <c r="E27" s="53"/>
      <c r="F27" s="129" t="str">
        <f t="shared" si="0"/>
        <v/>
      </c>
      <c r="G27" s="53"/>
      <c r="H27" s="129" t="str">
        <f t="shared" si="1"/>
        <v/>
      </c>
      <c r="I27" s="55">
        <f t="shared" si="2"/>
        <v>0</v>
      </c>
    </row>
    <row r="28" spans="2:9" x14ac:dyDescent="0.25">
      <c r="B28" s="56" t="s">
        <v>161</v>
      </c>
      <c r="C28" s="53"/>
      <c r="D28" s="53"/>
      <c r="E28" s="53"/>
      <c r="F28" s="129" t="str">
        <f t="shared" si="0"/>
        <v/>
      </c>
      <c r="G28" s="53"/>
      <c r="H28" s="129" t="str">
        <f t="shared" si="1"/>
        <v/>
      </c>
      <c r="I28" s="55">
        <f t="shared" si="2"/>
        <v>0</v>
      </c>
    </row>
    <row r="29" spans="2:9" x14ac:dyDescent="0.25">
      <c r="B29" s="56" t="s">
        <v>162</v>
      </c>
      <c r="C29" s="53"/>
      <c r="D29" s="53"/>
      <c r="E29" s="53"/>
      <c r="F29" s="129" t="str">
        <f t="shared" si="0"/>
        <v/>
      </c>
      <c r="G29" s="53"/>
      <c r="H29" s="129" t="str">
        <f t="shared" si="1"/>
        <v/>
      </c>
      <c r="I29" s="55">
        <f t="shared" si="2"/>
        <v>0</v>
      </c>
    </row>
    <row r="30" spans="2:9" x14ac:dyDescent="0.25">
      <c r="B30" s="34" t="s">
        <v>163</v>
      </c>
      <c r="C30" s="53"/>
      <c r="D30" s="53"/>
      <c r="E30" s="53"/>
      <c r="F30" s="129" t="str">
        <f t="shared" si="0"/>
        <v/>
      </c>
      <c r="G30" s="53"/>
      <c r="H30" s="129" t="str">
        <f t="shared" si="1"/>
        <v/>
      </c>
      <c r="I30" s="55">
        <f t="shared" si="2"/>
        <v>0</v>
      </c>
    </row>
    <row r="31" spans="2:9" x14ac:dyDescent="0.25">
      <c r="B31" s="34" t="s">
        <v>164</v>
      </c>
      <c r="C31" s="53"/>
      <c r="D31" s="53"/>
      <c r="E31" s="53"/>
      <c r="F31" s="129" t="str">
        <f t="shared" si="0"/>
        <v/>
      </c>
      <c r="G31" s="53"/>
      <c r="H31" s="129" t="str">
        <f t="shared" si="1"/>
        <v/>
      </c>
      <c r="I31" s="55">
        <f t="shared" si="2"/>
        <v>0</v>
      </c>
    </row>
    <row r="32" spans="2:9" x14ac:dyDescent="0.25">
      <c r="B32" s="34" t="s">
        <v>165</v>
      </c>
      <c r="C32" s="53">
        <f>SUM(C33:C37)</f>
        <v>0</v>
      </c>
      <c r="D32" s="53">
        <f>SUM(D33:D37)</f>
        <v>0</v>
      </c>
      <c r="E32" s="53">
        <f>SUM(E33:E37)</f>
        <v>0</v>
      </c>
      <c r="F32" s="129" t="str">
        <f t="shared" si="0"/>
        <v/>
      </c>
      <c r="G32" s="53">
        <f>SUM(G33:G37)</f>
        <v>0</v>
      </c>
      <c r="H32" s="129" t="str">
        <f t="shared" si="1"/>
        <v/>
      </c>
      <c r="I32" s="55">
        <f t="shared" si="2"/>
        <v>0</v>
      </c>
    </row>
    <row r="33" spans="2:9" x14ac:dyDescent="0.25">
      <c r="B33" s="56" t="s">
        <v>166</v>
      </c>
      <c r="C33" s="53"/>
      <c r="D33" s="53"/>
      <c r="E33" s="53"/>
      <c r="F33" s="129" t="str">
        <f t="shared" si="0"/>
        <v/>
      </c>
      <c r="G33" s="53"/>
      <c r="H33" s="129" t="str">
        <f t="shared" si="1"/>
        <v/>
      </c>
      <c r="I33" s="55">
        <f t="shared" si="2"/>
        <v>0</v>
      </c>
    </row>
    <row r="34" spans="2:9" x14ac:dyDescent="0.25">
      <c r="B34" s="56" t="s">
        <v>167</v>
      </c>
      <c r="C34" s="53"/>
      <c r="D34" s="53"/>
      <c r="E34" s="53"/>
      <c r="F34" s="129" t="str">
        <f t="shared" si="0"/>
        <v/>
      </c>
      <c r="G34" s="53"/>
      <c r="H34" s="129" t="str">
        <f t="shared" si="1"/>
        <v/>
      </c>
      <c r="I34" s="55">
        <f t="shared" si="2"/>
        <v>0</v>
      </c>
    </row>
    <row r="35" spans="2:9" x14ac:dyDescent="0.25">
      <c r="B35" s="56" t="s">
        <v>168</v>
      </c>
      <c r="C35" s="53"/>
      <c r="D35" s="53"/>
      <c r="E35" s="53"/>
      <c r="F35" s="129" t="str">
        <f t="shared" si="0"/>
        <v/>
      </c>
      <c r="G35" s="53"/>
      <c r="H35" s="129" t="str">
        <f t="shared" si="1"/>
        <v/>
      </c>
      <c r="I35" s="55">
        <f t="shared" si="2"/>
        <v>0</v>
      </c>
    </row>
    <row r="36" spans="2:9" x14ac:dyDescent="0.25">
      <c r="B36" s="56" t="s">
        <v>169</v>
      </c>
      <c r="C36" s="53"/>
      <c r="D36" s="53"/>
      <c r="E36" s="53"/>
      <c r="F36" s="129" t="str">
        <f t="shared" si="0"/>
        <v/>
      </c>
      <c r="G36" s="53"/>
      <c r="H36" s="129" t="str">
        <f t="shared" si="1"/>
        <v/>
      </c>
      <c r="I36" s="55">
        <f t="shared" si="2"/>
        <v>0</v>
      </c>
    </row>
    <row r="37" spans="2:9" x14ac:dyDescent="0.25">
      <c r="B37" s="56" t="s">
        <v>170</v>
      </c>
      <c r="C37" s="53"/>
      <c r="D37" s="53"/>
      <c r="E37" s="53"/>
      <c r="F37" s="129" t="str">
        <f t="shared" si="0"/>
        <v/>
      </c>
      <c r="G37" s="53"/>
      <c r="H37" s="129" t="str">
        <f t="shared" si="1"/>
        <v/>
      </c>
      <c r="I37" s="55">
        <f t="shared" si="2"/>
        <v>0</v>
      </c>
    </row>
    <row r="38" spans="2:9" x14ac:dyDescent="0.25">
      <c r="B38" s="34" t="s">
        <v>171</v>
      </c>
      <c r="C38" s="53">
        <f>SUM(C39:C45)</f>
        <v>0</v>
      </c>
      <c r="D38" s="53">
        <f>SUM(D39:D45)</f>
        <v>0</v>
      </c>
      <c r="E38" s="53">
        <f>SUM(E39:E45)</f>
        <v>0</v>
      </c>
      <c r="F38" s="129" t="str">
        <f t="shared" si="0"/>
        <v/>
      </c>
      <c r="G38" s="53">
        <f>SUM(G39:G45)</f>
        <v>0</v>
      </c>
      <c r="H38" s="129" t="str">
        <f t="shared" si="1"/>
        <v/>
      </c>
      <c r="I38" s="55">
        <f t="shared" si="2"/>
        <v>0</v>
      </c>
    </row>
    <row r="39" spans="2:9" x14ac:dyDescent="0.25">
      <c r="B39" s="56" t="s">
        <v>172</v>
      </c>
      <c r="C39" s="53"/>
      <c r="D39" s="53"/>
      <c r="E39" s="53"/>
      <c r="F39" s="129" t="str">
        <f t="shared" si="0"/>
        <v/>
      </c>
      <c r="G39" s="53"/>
      <c r="H39" s="129" t="str">
        <f t="shared" si="1"/>
        <v/>
      </c>
      <c r="I39" s="55">
        <f t="shared" si="2"/>
        <v>0</v>
      </c>
    </row>
    <row r="40" spans="2:9" x14ac:dyDescent="0.25">
      <c r="B40" s="56" t="s">
        <v>173</v>
      </c>
      <c r="C40" s="53"/>
      <c r="D40" s="53"/>
      <c r="E40" s="53"/>
      <c r="F40" s="129" t="str">
        <f t="shared" si="0"/>
        <v/>
      </c>
      <c r="G40" s="53"/>
      <c r="H40" s="129" t="str">
        <f t="shared" si="1"/>
        <v/>
      </c>
      <c r="I40" s="55">
        <f t="shared" si="2"/>
        <v>0</v>
      </c>
    </row>
    <row r="41" spans="2:9" x14ac:dyDescent="0.25">
      <c r="B41" s="56" t="s">
        <v>174</v>
      </c>
      <c r="C41" s="53"/>
      <c r="D41" s="53"/>
      <c r="E41" s="53"/>
      <c r="F41" s="129" t="str">
        <f t="shared" si="0"/>
        <v/>
      </c>
      <c r="G41" s="53"/>
      <c r="H41" s="129" t="str">
        <f t="shared" si="1"/>
        <v/>
      </c>
      <c r="I41" s="55">
        <f t="shared" si="2"/>
        <v>0</v>
      </c>
    </row>
    <row r="42" spans="2:9" x14ac:dyDescent="0.25">
      <c r="B42" s="56" t="s">
        <v>175</v>
      </c>
      <c r="C42" s="53"/>
      <c r="D42" s="53"/>
      <c r="E42" s="53"/>
      <c r="F42" s="129" t="str">
        <f t="shared" si="0"/>
        <v/>
      </c>
      <c r="G42" s="53"/>
      <c r="H42" s="129" t="str">
        <f t="shared" si="1"/>
        <v/>
      </c>
      <c r="I42" s="55">
        <f t="shared" si="2"/>
        <v>0</v>
      </c>
    </row>
    <row r="43" spans="2:9" x14ac:dyDescent="0.25">
      <c r="B43" s="56" t="s">
        <v>176</v>
      </c>
      <c r="C43" s="53"/>
      <c r="D43" s="53"/>
      <c r="E43" s="53"/>
      <c r="F43" s="129" t="str">
        <f t="shared" ref="F43:F74" si="3">IFERROR(ROUND(E43/D43,4),"")</f>
        <v/>
      </c>
      <c r="G43" s="53"/>
      <c r="H43" s="129" t="str">
        <f t="shared" ref="H43:H74" si="4">IFERROR(ROUND(G43/D43,4),"")</f>
        <v/>
      </c>
      <c r="I43" s="55">
        <f t="shared" ref="I43:I74" si="5">D43-G43</f>
        <v>0</v>
      </c>
    </row>
    <row r="44" spans="2:9" x14ac:dyDescent="0.25">
      <c r="B44" s="56" t="s">
        <v>177</v>
      </c>
      <c r="C44" s="53"/>
      <c r="D44" s="53"/>
      <c r="E44" s="53"/>
      <c r="F44" s="129" t="str">
        <f t="shared" si="3"/>
        <v/>
      </c>
      <c r="G44" s="53"/>
      <c r="H44" s="129" t="str">
        <f t="shared" si="4"/>
        <v/>
      </c>
      <c r="I44" s="55">
        <f t="shared" si="5"/>
        <v>0</v>
      </c>
    </row>
    <row r="45" spans="2:9" x14ac:dyDescent="0.25">
      <c r="B45" s="56" t="s">
        <v>178</v>
      </c>
      <c r="C45" s="53"/>
      <c r="D45" s="53"/>
      <c r="E45" s="53"/>
      <c r="F45" s="129" t="str">
        <f t="shared" si="3"/>
        <v/>
      </c>
      <c r="G45" s="53"/>
      <c r="H45" s="129" t="str">
        <f t="shared" si="4"/>
        <v/>
      </c>
      <c r="I45" s="55">
        <f t="shared" si="5"/>
        <v>0</v>
      </c>
    </row>
    <row r="46" spans="2:9" x14ac:dyDescent="0.25">
      <c r="B46" s="34" t="s">
        <v>179</v>
      </c>
      <c r="C46" s="53">
        <f>SUM(C47:C51)</f>
        <v>0</v>
      </c>
      <c r="D46" s="53">
        <f>SUM(D47:D51)</f>
        <v>0</v>
      </c>
      <c r="E46" s="53">
        <f>SUM(E47:E51)</f>
        <v>0</v>
      </c>
      <c r="F46" s="129" t="str">
        <f t="shared" si="3"/>
        <v/>
      </c>
      <c r="G46" s="53">
        <f>SUM(G47:G51)</f>
        <v>0</v>
      </c>
      <c r="H46" s="129" t="str">
        <f t="shared" si="4"/>
        <v/>
      </c>
      <c r="I46" s="55">
        <f t="shared" si="5"/>
        <v>0</v>
      </c>
    </row>
    <row r="47" spans="2:9" x14ac:dyDescent="0.25">
      <c r="B47" s="56" t="s">
        <v>180</v>
      </c>
      <c r="C47" s="53"/>
      <c r="D47" s="53"/>
      <c r="E47" s="53"/>
      <c r="F47" s="129" t="str">
        <f t="shared" si="3"/>
        <v/>
      </c>
      <c r="G47" s="53"/>
      <c r="H47" s="129" t="str">
        <f t="shared" si="4"/>
        <v/>
      </c>
      <c r="I47" s="55">
        <f t="shared" si="5"/>
        <v>0</v>
      </c>
    </row>
    <row r="48" spans="2:9" x14ac:dyDescent="0.25">
      <c r="B48" s="56" t="s">
        <v>181</v>
      </c>
      <c r="C48" s="53"/>
      <c r="D48" s="53"/>
      <c r="E48" s="53"/>
      <c r="F48" s="129" t="str">
        <f t="shared" si="3"/>
        <v/>
      </c>
      <c r="G48" s="53"/>
      <c r="H48" s="129" t="str">
        <f t="shared" si="4"/>
        <v/>
      </c>
      <c r="I48" s="55">
        <f t="shared" si="5"/>
        <v>0</v>
      </c>
    </row>
    <row r="49" spans="2:9" x14ac:dyDescent="0.25">
      <c r="B49" s="56" t="s">
        <v>182</v>
      </c>
      <c r="C49" s="53"/>
      <c r="D49" s="53"/>
      <c r="E49" s="53"/>
      <c r="F49" s="129" t="str">
        <f t="shared" si="3"/>
        <v/>
      </c>
      <c r="G49" s="53"/>
      <c r="H49" s="129" t="str">
        <f t="shared" si="4"/>
        <v/>
      </c>
      <c r="I49" s="55">
        <f t="shared" si="5"/>
        <v>0</v>
      </c>
    </row>
    <row r="50" spans="2:9" x14ac:dyDescent="0.25">
      <c r="B50" s="56" t="s">
        <v>183</v>
      </c>
      <c r="C50" s="53"/>
      <c r="D50" s="53"/>
      <c r="E50" s="53"/>
      <c r="F50" s="129" t="str">
        <f t="shared" si="3"/>
        <v/>
      </c>
      <c r="G50" s="53"/>
      <c r="H50" s="129" t="str">
        <f t="shared" si="4"/>
        <v/>
      </c>
      <c r="I50" s="55">
        <f t="shared" si="5"/>
        <v>0</v>
      </c>
    </row>
    <row r="51" spans="2:9" x14ac:dyDescent="0.25">
      <c r="B51" s="56" t="s">
        <v>184</v>
      </c>
      <c r="C51" s="53"/>
      <c r="D51" s="53"/>
      <c r="E51" s="53"/>
      <c r="F51" s="129" t="str">
        <f t="shared" si="3"/>
        <v/>
      </c>
      <c r="G51" s="53"/>
      <c r="H51" s="129" t="str">
        <f t="shared" si="4"/>
        <v/>
      </c>
      <c r="I51" s="55">
        <f t="shared" si="5"/>
        <v>0</v>
      </c>
    </row>
    <row r="52" spans="2:9" x14ac:dyDescent="0.25">
      <c r="B52" s="33" t="s">
        <v>185</v>
      </c>
      <c r="C52" s="53">
        <f>C53+C56+C60+C61+C71</f>
        <v>0</v>
      </c>
      <c r="D52" s="53">
        <f>D53+D56+D60+D61+D71</f>
        <v>0</v>
      </c>
      <c r="E52" s="53">
        <f>E53+E56+E60+E61+E71</f>
        <v>0</v>
      </c>
      <c r="F52" s="129" t="str">
        <f t="shared" si="3"/>
        <v/>
      </c>
      <c r="G52" s="53">
        <f>G53+G56+G60+G61+G71</f>
        <v>0</v>
      </c>
      <c r="H52" s="129" t="str">
        <f t="shared" si="4"/>
        <v/>
      </c>
      <c r="I52" s="55">
        <f t="shared" si="5"/>
        <v>0</v>
      </c>
    </row>
    <row r="53" spans="2:9" x14ac:dyDescent="0.25">
      <c r="B53" s="34" t="s">
        <v>186</v>
      </c>
      <c r="C53" s="53">
        <f>SUM(C54:C55)</f>
        <v>0</v>
      </c>
      <c r="D53" s="53">
        <f>SUM(D54:D55)</f>
        <v>0</v>
      </c>
      <c r="E53" s="53">
        <f>SUM(E54:E55)</f>
        <v>0</v>
      </c>
      <c r="F53" s="129" t="str">
        <f t="shared" si="3"/>
        <v/>
      </c>
      <c r="G53" s="53">
        <f>SUM(G54:G55)</f>
        <v>0</v>
      </c>
      <c r="H53" s="129" t="str">
        <f t="shared" si="4"/>
        <v/>
      </c>
      <c r="I53" s="55">
        <f t="shared" si="5"/>
        <v>0</v>
      </c>
    </row>
    <row r="54" spans="2:9" x14ac:dyDescent="0.25">
      <c r="B54" s="56" t="s">
        <v>187</v>
      </c>
      <c r="C54" s="53"/>
      <c r="D54" s="53"/>
      <c r="E54" s="53"/>
      <c r="F54" s="129" t="str">
        <f t="shared" si="3"/>
        <v/>
      </c>
      <c r="G54" s="53"/>
      <c r="H54" s="129" t="str">
        <f t="shared" si="4"/>
        <v/>
      </c>
      <c r="I54" s="55">
        <f t="shared" si="5"/>
        <v>0</v>
      </c>
    </row>
    <row r="55" spans="2:9" x14ac:dyDescent="0.25">
      <c r="B55" s="56" t="s">
        <v>188</v>
      </c>
      <c r="C55" s="53"/>
      <c r="D55" s="53"/>
      <c r="E55" s="53"/>
      <c r="F55" s="129" t="str">
        <f t="shared" si="3"/>
        <v/>
      </c>
      <c r="G55" s="53"/>
      <c r="H55" s="129" t="str">
        <f t="shared" si="4"/>
        <v/>
      </c>
      <c r="I55" s="55">
        <f t="shared" si="5"/>
        <v>0</v>
      </c>
    </row>
    <row r="56" spans="2:9" x14ac:dyDescent="0.25">
      <c r="B56" s="34" t="s">
        <v>189</v>
      </c>
      <c r="C56" s="53">
        <f>SUM(C57:C59)</f>
        <v>0</v>
      </c>
      <c r="D56" s="53">
        <f>SUM(D57:D59)</f>
        <v>0</v>
      </c>
      <c r="E56" s="53">
        <f>SUM(E57:E59)</f>
        <v>0</v>
      </c>
      <c r="F56" s="129" t="str">
        <f t="shared" si="3"/>
        <v/>
      </c>
      <c r="G56" s="53">
        <f>SUM(G57:G59)</f>
        <v>0</v>
      </c>
      <c r="H56" s="129" t="str">
        <f t="shared" si="4"/>
        <v/>
      </c>
      <c r="I56" s="55">
        <f t="shared" si="5"/>
        <v>0</v>
      </c>
    </row>
    <row r="57" spans="2:9" x14ac:dyDescent="0.25">
      <c r="B57" s="56" t="s">
        <v>190</v>
      </c>
      <c r="C57" s="53"/>
      <c r="D57" s="53"/>
      <c r="E57" s="53"/>
      <c r="F57" s="129" t="str">
        <f t="shared" si="3"/>
        <v/>
      </c>
      <c r="G57" s="53"/>
      <c r="H57" s="129" t="str">
        <f t="shared" si="4"/>
        <v/>
      </c>
      <c r="I57" s="55">
        <f t="shared" si="5"/>
        <v>0</v>
      </c>
    </row>
    <row r="58" spans="2:9" x14ac:dyDescent="0.25">
      <c r="B58" s="56" t="s">
        <v>191</v>
      </c>
      <c r="C58" s="53"/>
      <c r="D58" s="53"/>
      <c r="E58" s="53"/>
      <c r="F58" s="129" t="str">
        <f t="shared" si="3"/>
        <v/>
      </c>
      <c r="G58" s="53"/>
      <c r="H58" s="129" t="str">
        <f t="shared" si="4"/>
        <v/>
      </c>
      <c r="I58" s="55">
        <f t="shared" si="5"/>
        <v>0</v>
      </c>
    </row>
    <row r="59" spans="2:9" x14ac:dyDescent="0.25">
      <c r="B59" s="56" t="s">
        <v>192</v>
      </c>
      <c r="C59" s="53"/>
      <c r="D59" s="53"/>
      <c r="E59" s="53"/>
      <c r="F59" s="129" t="str">
        <f t="shared" si="3"/>
        <v/>
      </c>
      <c r="G59" s="53"/>
      <c r="H59" s="129" t="str">
        <f t="shared" si="4"/>
        <v/>
      </c>
      <c r="I59" s="55">
        <f t="shared" si="5"/>
        <v>0</v>
      </c>
    </row>
    <row r="60" spans="2:9" x14ac:dyDescent="0.25">
      <c r="B60" s="34" t="s">
        <v>193</v>
      </c>
      <c r="C60" s="53"/>
      <c r="D60" s="53"/>
      <c r="E60" s="53"/>
      <c r="F60" s="129" t="str">
        <f t="shared" si="3"/>
        <v/>
      </c>
      <c r="G60" s="53"/>
      <c r="H60" s="129" t="str">
        <f t="shared" si="4"/>
        <v/>
      </c>
      <c r="I60" s="55">
        <f t="shared" si="5"/>
        <v>0</v>
      </c>
    </row>
    <row r="61" spans="2:9" x14ac:dyDescent="0.25">
      <c r="B61" s="34" t="s">
        <v>194</v>
      </c>
      <c r="C61" s="53">
        <f>SUM(C62:C70)</f>
        <v>0</v>
      </c>
      <c r="D61" s="53">
        <f>SUM(D62:D70)</f>
        <v>0</v>
      </c>
      <c r="E61" s="53">
        <f>SUM(E62:E70)</f>
        <v>0</v>
      </c>
      <c r="F61" s="129" t="str">
        <f t="shared" si="3"/>
        <v/>
      </c>
      <c r="G61" s="53">
        <f>SUM(G62:G70)</f>
        <v>0</v>
      </c>
      <c r="H61" s="129" t="str">
        <f t="shared" si="4"/>
        <v/>
      </c>
      <c r="I61" s="55">
        <f t="shared" si="5"/>
        <v>0</v>
      </c>
    </row>
    <row r="62" spans="2:9" x14ac:dyDescent="0.25">
      <c r="B62" s="56" t="s">
        <v>195</v>
      </c>
      <c r="C62" s="53"/>
      <c r="D62" s="53"/>
      <c r="E62" s="53"/>
      <c r="F62" s="129" t="str">
        <f t="shared" si="3"/>
        <v/>
      </c>
      <c r="G62" s="53"/>
      <c r="H62" s="129" t="str">
        <f t="shared" si="4"/>
        <v/>
      </c>
      <c r="I62" s="55">
        <f t="shared" si="5"/>
        <v>0</v>
      </c>
    </row>
    <row r="63" spans="2:9" x14ac:dyDescent="0.25">
      <c r="B63" s="56" t="s">
        <v>173</v>
      </c>
      <c r="C63" s="53"/>
      <c r="D63" s="53"/>
      <c r="E63" s="53"/>
      <c r="F63" s="129" t="str">
        <f t="shared" si="3"/>
        <v/>
      </c>
      <c r="G63" s="53"/>
      <c r="H63" s="129" t="str">
        <f t="shared" si="4"/>
        <v/>
      </c>
      <c r="I63" s="55">
        <f t="shared" si="5"/>
        <v>0</v>
      </c>
    </row>
    <row r="64" spans="2:9" x14ac:dyDescent="0.25">
      <c r="B64" s="56" t="s">
        <v>174</v>
      </c>
      <c r="C64" s="53"/>
      <c r="D64" s="53"/>
      <c r="E64" s="53"/>
      <c r="F64" s="129" t="str">
        <f t="shared" si="3"/>
        <v/>
      </c>
      <c r="G64" s="53"/>
      <c r="H64" s="129" t="str">
        <f t="shared" si="4"/>
        <v/>
      </c>
      <c r="I64" s="55">
        <f t="shared" si="5"/>
        <v>0</v>
      </c>
    </row>
    <row r="65" spans="2:9" x14ac:dyDescent="0.25">
      <c r="B65" s="56" t="s">
        <v>175</v>
      </c>
      <c r="C65" s="53"/>
      <c r="D65" s="53"/>
      <c r="E65" s="53"/>
      <c r="F65" s="129" t="str">
        <f t="shared" si="3"/>
        <v/>
      </c>
      <c r="G65" s="53"/>
      <c r="H65" s="129" t="str">
        <f t="shared" si="4"/>
        <v/>
      </c>
      <c r="I65" s="55">
        <f t="shared" si="5"/>
        <v>0</v>
      </c>
    </row>
    <row r="66" spans="2:9" x14ac:dyDescent="0.25">
      <c r="B66" s="56" t="s">
        <v>176</v>
      </c>
      <c r="C66" s="53"/>
      <c r="D66" s="53"/>
      <c r="E66" s="53"/>
      <c r="F66" s="129" t="str">
        <f t="shared" si="3"/>
        <v/>
      </c>
      <c r="G66" s="53"/>
      <c r="H66" s="129" t="str">
        <f t="shared" si="4"/>
        <v/>
      </c>
      <c r="I66" s="55">
        <f t="shared" si="5"/>
        <v>0</v>
      </c>
    </row>
    <row r="67" spans="2:9" x14ac:dyDescent="0.25">
      <c r="B67" s="56" t="s">
        <v>177</v>
      </c>
      <c r="C67" s="53"/>
      <c r="D67" s="53"/>
      <c r="E67" s="53"/>
      <c r="F67" s="129" t="str">
        <f t="shared" si="3"/>
        <v/>
      </c>
      <c r="G67" s="53"/>
      <c r="H67" s="129" t="str">
        <f t="shared" si="4"/>
        <v/>
      </c>
      <c r="I67" s="55">
        <f t="shared" si="5"/>
        <v>0</v>
      </c>
    </row>
    <row r="68" spans="2:9" x14ac:dyDescent="0.25">
      <c r="B68" s="56" t="s">
        <v>196</v>
      </c>
      <c r="C68" s="53"/>
      <c r="D68" s="53"/>
      <c r="E68" s="53"/>
      <c r="F68" s="129" t="str">
        <f t="shared" si="3"/>
        <v/>
      </c>
      <c r="G68" s="53"/>
      <c r="H68" s="129" t="str">
        <f t="shared" si="4"/>
        <v/>
      </c>
      <c r="I68" s="55">
        <f t="shared" si="5"/>
        <v>0</v>
      </c>
    </row>
    <row r="69" spans="2:9" x14ac:dyDescent="0.25">
      <c r="B69" s="34" t="s">
        <v>197</v>
      </c>
      <c r="C69" s="53">
        <f>SUM(C70:C73)</f>
        <v>0</v>
      </c>
      <c r="D69" s="53">
        <f>SUM(D70:D73)</f>
        <v>0</v>
      </c>
      <c r="E69" s="53">
        <f>SUM(E70:E73)</f>
        <v>0</v>
      </c>
      <c r="F69" s="129" t="str">
        <f t="shared" si="3"/>
        <v/>
      </c>
      <c r="G69" s="53">
        <f>SUM(G70:G73)</f>
        <v>0</v>
      </c>
      <c r="H69" s="129" t="str">
        <f t="shared" si="4"/>
        <v/>
      </c>
      <c r="I69" s="55">
        <f t="shared" si="5"/>
        <v>0</v>
      </c>
    </row>
    <row r="70" spans="2:9" x14ac:dyDescent="0.25">
      <c r="B70" s="56" t="s">
        <v>198</v>
      </c>
      <c r="C70" s="53"/>
      <c r="D70" s="53"/>
      <c r="E70" s="53"/>
      <c r="F70" s="129" t="str">
        <f t="shared" si="3"/>
        <v/>
      </c>
      <c r="G70" s="53"/>
      <c r="H70" s="129" t="str">
        <f t="shared" si="4"/>
        <v/>
      </c>
      <c r="I70" s="55">
        <f t="shared" si="5"/>
        <v>0</v>
      </c>
    </row>
    <row r="71" spans="2:9" x14ac:dyDescent="0.25">
      <c r="B71" s="56" t="s">
        <v>199</v>
      </c>
      <c r="C71" s="53"/>
      <c r="D71" s="53"/>
      <c r="E71" s="53"/>
      <c r="F71" s="129" t="str">
        <f t="shared" si="3"/>
        <v/>
      </c>
      <c r="G71" s="53"/>
      <c r="H71" s="129" t="str">
        <f t="shared" si="4"/>
        <v/>
      </c>
      <c r="I71" s="55">
        <f t="shared" si="5"/>
        <v>0</v>
      </c>
    </row>
    <row r="72" spans="2:9" x14ac:dyDescent="0.25">
      <c r="B72" s="56" t="s">
        <v>200</v>
      </c>
      <c r="C72" s="53"/>
      <c r="D72" s="53"/>
      <c r="E72" s="53"/>
      <c r="F72" s="129" t="str">
        <f t="shared" si="3"/>
        <v/>
      </c>
      <c r="G72" s="53"/>
      <c r="H72" s="129" t="str">
        <f t="shared" si="4"/>
        <v/>
      </c>
      <c r="I72" s="55">
        <f t="shared" si="5"/>
        <v>0</v>
      </c>
    </row>
    <row r="73" spans="2:9" ht="15.75" customHeight="1" x14ac:dyDescent="0.25">
      <c r="B73" s="73" t="s">
        <v>201</v>
      </c>
      <c r="C73" s="62"/>
      <c r="D73" s="62"/>
      <c r="E73" s="62"/>
      <c r="F73" s="130" t="str">
        <f t="shared" si="3"/>
        <v/>
      </c>
      <c r="G73" s="62"/>
      <c r="H73" s="130" t="str">
        <f t="shared" si="4"/>
        <v/>
      </c>
      <c r="I73" s="64">
        <f t="shared" si="5"/>
        <v>0</v>
      </c>
    </row>
    <row r="74" spans="2:9" x14ac:dyDescent="0.25">
      <c r="F74" t="str">
        <f t="shared" si="3"/>
        <v/>
      </c>
      <c r="G74" s="263" t="s">
        <v>213</v>
      </c>
      <c r="H74" s="263" t="str">
        <f t="shared" si="4"/>
        <v/>
      </c>
      <c r="I74" s="263" t="e">
        <f t="shared" si="5"/>
        <v>#VALUE!</v>
      </c>
    </row>
    <row r="75" spans="2:9" x14ac:dyDescent="0.25">
      <c r="F75" t="str">
        <f t="shared" ref="F75" si="6">IFERROR(ROUND(E75/D75,4),"")</f>
        <v/>
      </c>
      <c r="H75" t="str">
        <f t="shared" ref="H75" si="7">IFERROR(ROUND(G75/D75,4),"")</f>
        <v/>
      </c>
    </row>
  </sheetData>
  <mergeCells count="11">
    <mergeCell ref="G74:I74"/>
    <mergeCell ref="B8:B10"/>
    <mergeCell ref="C8:C10"/>
    <mergeCell ref="D8:D9"/>
    <mergeCell ref="E8:H8"/>
    <mergeCell ref="I8:I9"/>
    <mergeCell ref="B2:I2"/>
    <mergeCell ref="B3:I3"/>
    <mergeCell ref="B4:I4"/>
    <mergeCell ref="B5:I5"/>
    <mergeCell ref="B6:I6"/>
  </mergeCells>
  <pageMargins left="0.25" right="0.25" top="0.75" bottom="0.75" header="0.3" footer="0.3"/>
  <pageSetup paperSize="9" scale="55" fitToHeight="0" orientation="portrait" r:id="rId1"/>
  <ignoredErrors>
    <ignoredError sqref="F11 F12 F13 F14 F17 F22 F32 F38 F46 F52 F53 F54 F55 F56 F61 F69 F74 F75"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853C0C"/>
    <pageSetUpPr fitToPage="1"/>
  </sheetPr>
  <dimension ref="B2:L30"/>
  <sheetViews>
    <sheetView topLeftCell="B8" workbookViewId="0">
      <selection activeCell="B22" sqref="B22:L22"/>
    </sheetView>
  </sheetViews>
  <sheetFormatPr defaultRowHeight="15" x14ac:dyDescent="0.25"/>
  <cols>
    <col min="2" max="2" width="46.42578125" customWidth="1"/>
    <col min="3" max="3" width="16.85546875" customWidth="1"/>
    <col min="4" max="4" width="21.85546875" customWidth="1"/>
    <col min="5" max="5" width="12" customWidth="1"/>
    <col min="6" max="6" width="14.28515625" customWidth="1"/>
    <col min="7" max="7" width="12.42578125" customWidth="1"/>
    <col min="8" max="8" width="12" customWidth="1"/>
    <col min="9" max="9" width="14.28515625" customWidth="1"/>
    <col min="10" max="10" width="12.42578125" customWidth="1"/>
    <col min="11" max="11" width="16.28515625" customWidth="1"/>
    <col min="12" max="12" width="29.14062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126</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L8" s="1" t="s">
        <v>214</v>
      </c>
    </row>
    <row r="9" spans="2:12" x14ac:dyDescent="0.25">
      <c r="B9" s="259" t="s">
        <v>255</v>
      </c>
      <c r="C9" s="257" t="s">
        <v>216</v>
      </c>
      <c r="D9" s="257" t="s">
        <v>217</v>
      </c>
      <c r="E9" s="257" t="s">
        <v>218</v>
      </c>
      <c r="F9" s="257"/>
      <c r="G9" s="257" t="s">
        <v>134</v>
      </c>
      <c r="H9" s="257" t="s">
        <v>219</v>
      </c>
      <c r="I9" s="257"/>
      <c r="J9" s="257" t="s">
        <v>134</v>
      </c>
      <c r="K9" s="7" t="s">
        <v>220</v>
      </c>
      <c r="L9" s="9" t="s">
        <v>221</v>
      </c>
    </row>
    <row r="10" spans="2:12" x14ac:dyDescent="0.25">
      <c r="B10" s="260"/>
      <c r="C10" s="258"/>
      <c r="D10" s="258"/>
      <c r="E10" s="13" t="s">
        <v>135</v>
      </c>
      <c r="F10" s="13" t="s">
        <v>137</v>
      </c>
      <c r="G10" s="258"/>
      <c r="H10" s="13" t="s">
        <v>135</v>
      </c>
      <c r="I10" s="13" t="s">
        <v>137</v>
      </c>
      <c r="J10" s="258"/>
      <c r="K10" s="8" t="s">
        <v>222</v>
      </c>
      <c r="L10" s="10" t="s">
        <v>223</v>
      </c>
    </row>
    <row r="11" spans="2:12" x14ac:dyDescent="0.25">
      <c r="B11" s="260"/>
      <c r="C11" s="11" t="s">
        <v>224</v>
      </c>
      <c r="D11" s="11" t="s">
        <v>225</v>
      </c>
      <c r="E11" s="11"/>
      <c r="F11" s="11" t="s">
        <v>226</v>
      </c>
      <c r="G11" s="11" t="s">
        <v>227</v>
      </c>
      <c r="H11" s="11"/>
      <c r="I11" s="11" t="s">
        <v>228</v>
      </c>
      <c r="J11" s="11" t="s">
        <v>229</v>
      </c>
      <c r="K11" s="11" t="s">
        <v>230</v>
      </c>
      <c r="L11" s="12" t="s">
        <v>231</v>
      </c>
    </row>
    <row r="12" spans="2:12" x14ac:dyDescent="0.25">
      <c r="B12" s="49" t="s">
        <v>242</v>
      </c>
      <c r="C12" s="65">
        <f>C13+C17+C21</f>
        <v>0</v>
      </c>
      <c r="D12" s="65">
        <f>D13+D17+D21</f>
        <v>0</v>
      </c>
      <c r="E12" s="65">
        <f>E13+E17+E21</f>
        <v>0</v>
      </c>
      <c r="F12" s="65">
        <f>F13+F17+F21</f>
        <v>0</v>
      </c>
      <c r="G12" s="65">
        <f t="shared" ref="G12:G21" si="0">D12-F12</f>
        <v>0</v>
      </c>
      <c r="H12" s="65">
        <f>H13+H17+H21</f>
        <v>0</v>
      </c>
      <c r="I12" s="65">
        <f>I13+I17+I21</f>
        <v>0</v>
      </c>
      <c r="J12" s="65">
        <f t="shared" ref="J12:J21" si="1">D12-I12</f>
        <v>0</v>
      </c>
      <c r="K12" s="65">
        <f>K13+K17+K21</f>
        <v>0</v>
      </c>
      <c r="L12" s="66">
        <f t="shared" ref="L12:L21" si="2">IF(MONTH(paramDataBase)=12,F12-I12,0)</f>
        <v>0</v>
      </c>
    </row>
    <row r="13" spans="2:12" x14ac:dyDescent="0.25">
      <c r="B13" s="33" t="s">
        <v>233</v>
      </c>
      <c r="C13" s="31">
        <f>SUM(C14:C16)</f>
        <v>0</v>
      </c>
      <c r="D13" s="31">
        <f>SUM(D14:D16)</f>
        <v>0</v>
      </c>
      <c r="E13" s="31">
        <f>SUM(E14:E16)</f>
        <v>0</v>
      </c>
      <c r="F13" s="31">
        <f>SUM(F14:F16)</f>
        <v>0</v>
      </c>
      <c r="G13" s="31">
        <f t="shared" si="0"/>
        <v>0</v>
      </c>
      <c r="H13" s="31">
        <f>SUM(H14:H16)</f>
        <v>0</v>
      </c>
      <c r="I13" s="31">
        <f>SUM(I14:I16)</f>
        <v>0</v>
      </c>
      <c r="J13" s="31">
        <f t="shared" si="1"/>
        <v>0</v>
      </c>
      <c r="K13" s="31">
        <f>SUM(K14:K16)</f>
        <v>0</v>
      </c>
      <c r="L13" s="32">
        <f t="shared" si="2"/>
        <v>0</v>
      </c>
    </row>
    <row r="14" spans="2:12" x14ac:dyDescent="0.25">
      <c r="B14" s="34" t="s">
        <v>234</v>
      </c>
      <c r="C14" s="31"/>
      <c r="D14" s="31"/>
      <c r="E14" s="31"/>
      <c r="F14" s="31"/>
      <c r="G14" s="31">
        <f t="shared" si="0"/>
        <v>0</v>
      </c>
      <c r="H14" s="31"/>
      <c r="I14" s="31"/>
      <c r="J14" s="31">
        <f t="shared" si="1"/>
        <v>0</v>
      </c>
      <c r="K14" s="31"/>
      <c r="L14" s="32">
        <f t="shared" si="2"/>
        <v>0</v>
      </c>
    </row>
    <row r="15" spans="2:12" x14ac:dyDescent="0.25">
      <c r="B15" s="34" t="s">
        <v>235</v>
      </c>
      <c r="C15" s="31"/>
      <c r="D15" s="31"/>
      <c r="E15" s="31"/>
      <c r="F15" s="31"/>
      <c r="G15" s="31">
        <f t="shared" si="0"/>
        <v>0</v>
      </c>
      <c r="H15" s="31"/>
      <c r="I15" s="31"/>
      <c r="J15" s="31">
        <f t="shared" si="1"/>
        <v>0</v>
      </c>
      <c r="K15" s="31"/>
      <c r="L15" s="32">
        <f t="shared" si="2"/>
        <v>0</v>
      </c>
    </row>
    <row r="16" spans="2:12" x14ac:dyDescent="0.25">
      <c r="B16" s="34" t="s">
        <v>236</v>
      </c>
      <c r="C16" s="31"/>
      <c r="D16" s="31"/>
      <c r="E16" s="31"/>
      <c r="F16" s="31"/>
      <c r="G16" s="31">
        <f t="shared" si="0"/>
        <v>0</v>
      </c>
      <c r="H16" s="31"/>
      <c r="I16" s="31"/>
      <c r="J16" s="31">
        <f t="shared" si="1"/>
        <v>0</v>
      </c>
      <c r="K16" s="31"/>
      <c r="L16" s="32">
        <f t="shared" si="2"/>
        <v>0</v>
      </c>
    </row>
    <row r="17" spans="2:12" x14ac:dyDescent="0.25">
      <c r="B17" s="33" t="s">
        <v>237</v>
      </c>
      <c r="C17" s="31">
        <f>SUM(C18:C20)</f>
        <v>0</v>
      </c>
      <c r="D17" s="31">
        <f>SUM(D18:D20)</f>
        <v>0</v>
      </c>
      <c r="E17" s="31">
        <f>SUM(E18:E20)</f>
        <v>0</v>
      </c>
      <c r="F17" s="31">
        <f>SUM(F18:F20)</f>
        <v>0</v>
      </c>
      <c r="G17" s="31">
        <f t="shared" si="0"/>
        <v>0</v>
      </c>
      <c r="H17" s="31">
        <f>SUM(H18:H20)</f>
        <v>0</v>
      </c>
      <c r="I17" s="31">
        <f>SUM(I18:I20)</f>
        <v>0</v>
      </c>
      <c r="J17" s="31">
        <f t="shared" si="1"/>
        <v>0</v>
      </c>
      <c r="K17" s="31">
        <f>SUM(K18:K20)</f>
        <v>0</v>
      </c>
      <c r="L17" s="32">
        <f t="shared" si="2"/>
        <v>0</v>
      </c>
    </row>
    <row r="18" spans="2:12" x14ac:dyDescent="0.25">
      <c r="B18" s="34" t="s">
        <v>238</v>
      </c>
      <c r="C18" s="31"/>
      <c r="D18" s="31"/>
      <c r="E18" s="31"/>
      <c r="F18" s="31"/>
      <c r="G18" s="31">
        <f t="shared" si="0"/>
        <v>0</v>
      </c>
      <c r="H18" s="31"/>
      <c r="I18" s="31"/>
      <c r="J18" s="31">
        <f t="shared" si="1"/>
        <v>0</v>
      </c>
      <c r="K18" s="31"/>
      <c r="L18" s="32">
        <f t="shared" si="2"/>
        <v>0</v>
      </c>
    </row>
    <row r="19" spans="2:12" x14ac:dyDescent="0.25">
      <c r="B19" s="34" t="s">
        <v>239</v>
      </c>
      <c r="C19" s="31"/>
      <c r="D19" s="31"/>
      <c r="E19" s="31"/>
      <c r="F19" s="31"/>
      <c r="G19" s="31">
        <f t="shared" si="0"/>
        <v>0</v>
      </c>
      <c r="H19" s="31"/>
      <c r="I19" s="31"/>
      <c r="J19" s="31">
        <f t="shared" si="1"/>
        <v>0</v>
      </c>
      <c r="K19" s="31"/>
      <c r="L19" s="32">
        <f t="shared" si="2"/>
        <v>0</v>
      </c>
    </row>
    <row r="20" spans="2:12" x14ac:dyDescent="0.25">
      <c r="B20" s="34" t="s">
        <v>240</v>
      </c>
      <c r="C20" s="31"/>
      <c r="D20" s="31"/>
      <c r="E20" s="31"/>
      <c r="F20" s="31"/>
      <c r="G20" s="31">
        <f t="shared" si="0"/>
        <v>0</v>
      </c>
      <c r="H20" s="31"/>
      <c r="I20" s="31"/>
      <c r="J20" s="31">
        <f t="shared" si="1"/>
        <v>0</v>
      </c>
      <c r="K20" s="31"/>
      <c r="L20" s="32">
        <f t="shared" si="2"/>
        <v>0</v>
      </c>
    </row>
    <row r="21" spans="2:12" ht="15.75" customHeight="1" x14ac:dyDescent="0.25">
      <c r="B21" s="61" t="s">
        <v>241</v>
      </c>
      <c r="C21" s="22"/>
      <c r="D21" s="22"/>
      <c r="E21" s="22"/>
      <c r="F21" s="22"/>
      <c r="G21" s="22">
        <f t="shared" si="0"/>
        <v>0</v>
      </c>
      <c r="H21" s="22"/>
      <c r="I21" s="22"/>
      <c r="J21" s="22">
        <f t="shared" si="1"/>
        <v>0</v>
      </c>
      <c r="K21" s="22"/>
      <c r="L21" s="23">
        <f t="shared" si="2"/>
        <v>0</v>
      </c>
    </row>
    <row r="22" spans="2:12" x14ac:dyDescent="0.25">
      <c r="B22" s="261" t="str">
        <f ca="1">_xlfn.CONCAT("Fonte: ",paramFonte,". Emissão em ",TEXT(NOW(),"dd/mm/aaaa \à\s hh:mm:ss"))</f>
        <v>Fonte: Sistema MS Excel + SIAPC/PAD, Unidade Responsável: Secretaria da Fazenda / Setor de Contabilidade. Emissão em 09/05/2024 às 09:42:51</v>
      </c>
      <c r="C22" s="261"/>
      <c r="D22" s="261"/>
      <c r="E22" s="261"/>
      <c r="F22" s="261"/>
      <c r="G22" s="261"/>
      <c r="H22" s="261"/>
      <c r="I22" s="261"/>
      <c r="J22" s="261"/>
      <c r="K22" s="261"/>
      <c r="L22" s="261"/>
    </row>
    <row r="28" spans="2:12" x14ac:dyDescent="0.25">
      <c r="B28" s="247" t="str">
        <f>paramNomeContador</f>
        <v>EVERTON DA ROSA</v>
      </c>
      <c r="C28" s="247"/>
      <c r="E28" s="247" t="str">
        <f>paramNomeSecretario</f>
        <v>ANA PAULA RODRIGUES SCHNEIDER SCHMIDT</v>
      </c>
      <c r="F28" s="247"/>
      <c r="G28" s="247"/>
      <c r="H28" s="247"/>
      <c r="I28" s="247"/>
      <c r="K28" s="247" t="str">
        <f>paramNomePrefeito</f>
        <v>JOÃO EDÉCIO GRAEF</v>
      </c>
      <c r="L28" s="247"/>
    </row>
    <row r="29" spans="2:12" x14ac:dyDescent="0.25">
      <c r="B29" s="247" t="str">
        <f>paramCargoContador</f>
        <v>Contador</v>
      </c>
      <c r="C29" s="247"/>
      <c r="E29" s="247" t="str">
        <f>paramCargoSecretario</f>
        <v>Secretária da Fazenda</v>
      </c>
      <c r="F29" s="247"/>
      <c r="G29" s="247"/>
      <c r="H29" s="247"/>
      <c r="I29" s="247"/>
      <c r="K29" s="247" t="str">
        <f>paramCargoPrefeito</f>
        <v>Prefeito Municipal</v>
      </c>
      <c r="L29" s="247"/>
    </row>
    <row r="30" spans="2:12" x14ac:dyDescent="0.25">
      <c r="B30" s="247" t="str">
        <f>_xlfn.CONCAT("CRC ",paramCRCContador)</f>
        <v>CRC 076595/O-3</v>
      </c>
      <c r="C30" s="247"/>
    </row>
  </sheetData>
  <mergeCells count="20">
    <mergeCell ref="E29:I29"/>
    <mergeCell ref="K29:L29"/>
    <mergeCell ref="B30:C30"/>
    <mergeCell ref="H9:I9"/>
    <mergeCell ref="J9:J10"/>
    <mergeCell ref="B22:L22"/>
    <mergeCell ref="B28:C28"/>
    <mergeCell ref="E28:I28"/>
    <mergeCell ref="K28:L28"/>
    <mergeCell ref="B29:C29"/>
    <mergeCell ref="B9:B11"/>
    <mergeCell ref="C9:C10"/>
    <mergeCell ref="D9:D10"/>
    <mergeCell ref="E9:F9"/>
    <mergeCell ref="G9:G10"/>
    <mergeCell ref="B2:L2"/>
    <mergeCell ref="B3:L3"/>
    <mergeCell ref="B4:L4"/>
    <mergeCell ref="B5:L5"/>
    <mergeCell ref="B6:L6"/>
  </mergeCells>
  <pageMargins left="0.25" right="0.25" top="0.75" bottom="0.75" header="0.3" footer="0.3"/>
  <pageSetup paperSize="9" scale="68"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53C0C"/>
    <pageSetUpPr fitToPage="1"/>
  </sheetPr>
  <dimension ref="B2:M217"/>
  <sheetViews>
    <sheetView topLeftCell="A189" workbookViewId="0">
      <selection activeCell="C13" sqref="C13:M203"/>
    </sheetView>
  </sheetViews>
  <sheetFormatPr defaultRowHeight="15" x14ac:dyDescent="0.25"/>
  <cols>
    <col min="2" max="2" width="49.28515625" customWidth="1"/>
    <col min="3" max="5" width="13.5703125" customWidth="1"/>
    <col min="6" max="6" width="14.28515625" customWidth="1"/>
    <col min="7" max="7" width="10.140625" customWidth="1"/>
    <col min="8" max="9" width="13.5703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257</v>
      </c>
      <c r="C8" s="250"/>
      <c r="D8" s="250"/>
      <c r="E8" s="250"/>
      <c r="F8" s="250"/>
      <c r="G8" s="250"/>
      <c r="H8" s="250"/>
      <c r="I8" s="250"/>
      <c r="J8" s="250"/>
      <c r="K8" s="250"/>
      <c r="L8" s="250"/>
      <c r="M8" s="2" t="s">
        <v>129</v>
      </c>
    </row>
    <row r="9" spans="2:13" x14ac:dyDescent="0.25">
      <c r="B9" s="259" t="s">
        <v>258</v>
      </c>
      <c r="C9" s="7" t="s">
        <v>259</v>
      </c>
      <c r="D9" s="7" t="s">
        <v>259</v>
      </c>
      <c r="E9" s="257" t="s">
        <v>218</v>
      </c>
      <c r="F9" s="257"/>
      <c r="G9" s="257"/>
      <c r="H9" s="253" t="s">
        <v>134</v>
      </c>
      <c r="I9" s="257" t="s">
        <v>219</v>
      </c>
      <c r="J9" s="257"/>
      <c r="K9" s="257"/>
      <c r="L9" s="253" t="s">
        <v>134</v>
      </c>
      <c r="M9" s="9" t="s">
        <v>260</v>
      </c>
    </row>
    <row r="10" spans="2:13" x14ac:dyDescent="0.25">
      <c r="B10" s="260"/>
      <c r="C10" s="8" t="s">
        <v>261</v>
      </c>
      <c r="D10" s="8" t="s">
        <v>262</v>
      </c>
      <c r="E10" s="13" t="s">
        <v>135</v>
      </c>
      <c r="F10" s="13" t="s">
        <v>137</v>
      </c>
      <c r="G10" s="13" t="s">
        <v>136</v>
      </c>
      <c r="H10" s="254"/>
      <c r="I10" s="13" t="s">
        <v>135</v>
      </c>
      <c r="J10" s="13" t="s">
        <v>137</v>
      </c>
      <c r="K10" s="13" t="s">
        <v>136</v>
      </c>
      <c r="L10" s="254"/>
      <c r="M10" s="10" t="s">
        <v>223</v>
      </c>
    </row>
    <row r="11" spans="2:13" x14ac:dyDescent="0.25">
      <c r="B11" s="260"/>
      <c r="C11" s="11"/>
      <c r="D11" s="11" t="s">
        <v>138</v>
      </c>
      <c r="E11" s="11"/>
      <c r="F11" s="11" t="s">
        <v>139</v>
      </c>
      <c r="G11" s="11" t="s">
        <v>263</v>
      </c>
      <c r="H11" s="11" t="s">
        <v>264</v>
      </c>
      <c r="I11" s="11"/>
      <c r="J11" s="11" t="s">
        <v>224</v>
      </c>
      <c r="K11" s="11" t="s">
        <v>265</v>
      </c>
      <c r="L11" s="11" t="s">
        <v>266</v>
      </c>
      <c r="M11" s="12" t="s">
        <v>226</v>
      </c>
    </row>
    <row r="12" spans="2:13" x14ac:dyDescent="0.25">
      <c r="B12" s="49" t="s">
        <v>267</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G43" si="0">IFERROR(ROUND(F12/F$206,4),"")</f>
        <v/>
      </c>
      <c r="H12" s="65">
        <f t="shared" ref="H12:H43"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K43" si="2">IFERROR(ROUND(J12/J$206,4),"")</f>
        <v/>
      </c>
      <c r="L12" s="65">
        <f t="shared" ref="L12:L43" si="3">D12-J12</f>
        <v>0</v>
      </c>
      <c r="M12" s="66">
        <f t="shared" ref="M12:M43" si="4">IF(MONTH(paramDataBase)=12,F12-J12,0)</f>
        <v>0</v>
      </c>
    </row>
    <row r="13" spans="2:13" x14ac:dyDescent="0.25">
      <c r="B13" s="33" t="s">
        <v>268</v>
      </c>
      <c r="C13" s="31"/>
      <c r="D13" s="31"/>
      <c r="E13" s="31"/>
      <c r="F13" s="31"/>
      <c r="G13" s="124" t="str">
        <f t="shared" si="0"/>
        <v/>
      </c>
      <c r="H13" s="31">
        <f t="shared" si="1"/>
        <v>0</v>
      </c>
      <c r="I13" s="31"/>
      <c r="J13" s="31"/>
      <c r="K13" s="124" t="str">
        <f t="shared" si="2"/>
        <v/>
      </c>
      <c r="L13" s="31">
        <f t="shared" si="3"/>
        <v>0</v>
      </c>
      <c r="M13" s="32">
        <f t="shared" si="4"/>
        <v>0</v>
      </c>
    </row>
    <row r="14" spans="2:13" x14ac:dyDescent="0.25">
      <c r="B14" s="34" t="s">
        <v>269</v>
      </c>
      <c r="C14" s="31"/>
      <c r="D14" s="31"/>
      <c r="E14" s="31"/>
      <c r="F14" s="31"/>
      <c r="G14" s="124" t="str">
        <f t="shared" si="0"/>
        <v/>
      </c>
      <c r="H14" s="31">
        <f t="shared" si="1"/>
        <v>0</v>
      </c>
      <c r="I14" s="31"/>
      <c r="J14" s="31"/>
      <c r="K14" s="124" t="str">
        <f t="shared" si="2"/>
        <v/>
      </c>
      <c r="L14" s="31">
        <f t="shared" si="3"/>
        <v>0</v>
      </c>
      <c r="M14" s="32">
        <f t="shared" si="4"/>
        <v>0</v>
      </c>
    </row>
    <row r="15" spans="2:13" x14ac:dyDescent="0.25">
      <c r="B15" s="34" t="s">
        <v>270</v>
      </c>
      <c r="C15" s="31"/>
      <c r="D15" s="31"/>
      <c r="E15" s="31"/>
      <c r="F15" s="31"/>
      <c r="G15" s="124" t="str">
        <f t="shared" si="0"/>
        <v/>
      </c>
      <c r="H15" s="31">
        <f t="shared" si="1"/>
        <v>0</v>
      </c>
      <c r="I15" s="31"/>
      <c r="J15" s="31"/>
      <c r="K15" s="124" t="str">
        <f t="shared" si="2"/>
        <v/>
      </c>
      <c r="L15" s="31">
        <f t="shared" si="3"/>
        <v>0</v>
      </c>
      <c r="M15" s="32">
        <f t="shared" si="4"/>
        <v>0</v>
      </c>
    </row>
    <row r="16" spans="2:13" x14ac:dyDescent="0.25">
      <c r="B16" s="34" t="s">
        <v>271</v>
      </c>
      <c r="C16" s="31"/>
      <c r="D16" s="31"/>
      <c r="E16" s="31"/>
      <c r="F16" s="31"/>
      <c r="G16" s="124" t="str">
        <f t="shared" si="0"/>
        <v/>
      </c>
      <c r="H16" s="31">
        <f t="shared" si="1"/>
        <v>0</v>
      </c>
      <c r="I16" s="31"/>
      <c r="J16" s="31"/>
      <c r="K16" s="124" t="str">
        <f t="shared" si="2"/>
        <v/>
      </c>
      <c r="L16" s="31">
        <f t="shared" si="3"/>
        <v>0</v>
      </c>
      <c r="M16" s="32">
        <f t="shared" si="4"/>
        <v>0</v>
      </c>
    </row>
    <row r="17" spans="2:13" x14ac:dyDescent="0.25">
      <c r="B17" s="34" t="s">
        <v>272</v>
      </c>
      <c r="C17" s="31">
        <f>ROUND(C13-SUM(C14:C16),2)</f>
        <v>0</v>
      </c>
      <c r="D17" s="31">
        <f>ROUND(D13-SUM(D14:D16),2)</f>
        <v>0</v>
      </c>
      <c r="E17" s="31">
        <f t="shared" ref="E17:F17" si="5">ROUND(E13-SUM(E14:E16),2)</f>
        <v>0</v>
      </c>
      <c r="F17" s="31">
        <f t="shared" si="5"/>
        <v>0</v>
      </c>
      <c r="G17" s="124" t="str">
        <f t="shared" si="0"/>
        <v/>
      </c>
      <c r="H17" s="31">
        <f t="shared" si="1"/>
        <v>0</v>
      </c>
      <c r="I17" s="31">
        <f t="shared" ref="I17:J17" si="6">ROUND(I13-SUM(I14:I16),2)</f>
        <v>0</v>
      </c>
      <c r="J17" s="31">
        <f t="shared" si="6"/>
        <v>0</v>
      </c>
      <c r="K17" s="124" t="str">
        <f t="shared" si="2"/>
        <v/>
      </c>
      <c r="L17" s="31">
        <f t="shared" si="3"/>
        <v>0</v>
      </c>
      <c r="M17" s="32">
        <f t="shared" si="4"/>
        <v>0</v>
      </c>
    </row>
    <row r="18" spans="2:13" x14ac:dyDescent="0.25">
      <c r="B18" s="33" t="s">
        <v>273</v>
      </c>
      <c r="C18" s="31"/>
      <c r="D18" s="31"/>
      <c r="E18" s="31"/>
      <c r="F18" s="31"/>
      <c r="G18" s="124" t="str">
        <f t="shared" si="0"/>
        <v/>
      </c>
      <c r="H18" s="31">
        <f t="shared" si="1"/>
        <v>0</v>
      </c>
      <c r="I18" s="31"/>
      <c r="J18" s="31"/>
      <c r="K18" s="124" t="str">
        <f t="shared" si="2"/>
        <v/>
      </c>
      <c r="L18" s="31">
        <f t="shared" si="3"/>
        <v>0</v>
      </c>
      <c r="M18" s="32">
        <f t="shared" si="4"/>
        <v>0</v>
      </c>
    </row>
    <row r="19" spans="2:13" x14ac:dyDescent="0.25">
      <c r="B19" s="34" t="s">
        <v>274</v>
      </c>
      <c r="C19" s="31"/>
      <c r="D19" s="31"/>
      <c r="E19" s="31"/>
      <c r="F19" s="31"/>
      <c r="G19" s="124" t="str">
        <f t="shared" si="0"/>
        <v/>
      </c>
      <c r="H19" s="31">
        <f t="shared" si="1"/>
        <v>0</v>
      </c>
      <c r="I19" s="31"/>
      <c r="J19" s="31"/>
      <c r="K19" s="124" t="str">
        <f t="shared" si="2"/>
        <v/>
      </c>
      <c r="L19" s="31">
        <f t="shared" si="3"/>
        <v>0</v>
      </c>
      <c r="M19" s="32">
        <f t="shared" si="4"/>
        <v>0</v>
      </c>
    </row>
    <row r="20" spans="2:13" x14ac:dyDescent="0.25">
      <c r="B20" s="34" t="s">
        <v>275</v>
      </c>
      <c r="C20" s="31"/>
      <c r="D20" s="31"/>
      <c r="E20" s="31"/>
      <c r="F20" s="31"/>
      <c r="G20" s="124" t="str">
        <f t="shared" si="0"/>
        <v/>
      </c>
      <c r="H20" s="31">
        <f t="shared" si="1"/>
        <v>0</v>
      </c>
      <c r="I20" s="31"/>
      <c r="J20" s="31"/>
      <c r="K20" s="124" t="str">
        <f t="shared" si="2"/>
        <v/>
      </c>
      <c r="L20" s="31">
        <f t="shared" si="3"/>
        <v>0</v>
      </c>
      <c r="M20" s="32">
        <f t="shared" si="4"/>
        <v>0</v>
      </c>
    </row>
    <row r="21" spans="2:13" x14ac:dyDescent="0.25">
      <c r="B21" s="34" t="s">
        <v>271</v>
      </c>
      <c r="C21" s="31"/>
      <c r="D21" s="31"/>
      <c r="E21" s="31"/>
      <c r="F21" s="31"/>
      <c r="G21" s="124" t="str">
        <f t="shared" si="0"/>
        <v/>
      </c>
      <c r="H21" s="31">
        <f t="shared" si="1"/>
        <v>0</v>
      </c>
      <c r="I21" s="31"/>
      <c r="J21" s="31"/>
      <c r="K21" s="124" t="str">
        <f t="shared" si="2"/>
        <v/>
      </c>
      <c r="L21" s="31">
        <f t="shared" si="3"/>
        <v>0</v>
      </c>
      <c r="M21" s="32">
        <f t="shared" si="4"/>
        <v>0</v>
      </c>
    </row>
    <row r="22" spans="2:13" x14ac:dyDescent="0.25">
      <c r="B22" s="34" t="s">
        <v>272</v>
      </c>
      <c r="C22" s="31">
        <f>ROUND(C18-SUM(C19:C21),2)</f>
        <v>0</v>
      </c>
      <c r="D22" s="31">
        <f>ROUND(D18-SUM(D19:D21),2)</f>
        <v>0</v>
      </c>
      <c r="E22" s="31">
        <f t="shared" ref="E22:F22" si="7">ROUND(E18-SUM(E19:E21),2)</f>
        <v>0</v>
      </c>
      <c r="F22" s="31">
        <f t="shared" si="7"/>
        <v>0</v>
      </c>
      <c r="G22" s="124" t="str">
        <f t="shared" si="0"/>
        <v/>
      </c>
      <c r="H22" s="31">
        <f t="shared" si="1"/>
        <v>0</v>
      </c>
      <c r="I22" s="31">
        <f t="shared" ref="I22:J22" si="8">ROUND(I18-SUM(I19:I21),2)</f>
        <v>0</v>
      </c>
      <c r="J22" s="31">
        <f t="shared" si="8"/>
        <v>0</v>
      </c>
      <c r="K22" s="124" t="str">
        <f t="shared" si="2"/>
        <v/>
      </c>
      <c r="L22" s="31">
        <f t="shared" si="3"/>
        <v>0</v>
      </c>
      <c r="M22" s="32">
        <f t="shared" si="4"/>
        <v>0</v>
      </c>
    </row>
    <row r="23" spans="2:13" x14ac:dyDescent="0.25">
      <c r="B23" s="33" t="s">
        <v>276</v>
      </c>
      <c r="C23" s="31"/>
      <c r="D23" s="31"/>
      <c r="E23" s="31"/>
      <c r="F23" s="31"/>
      <c r="G23" s="124" t="str">
        <f t="shared" si="0"/>
        <v/>
      </c>
      <c r="H23" s="31">
        <f t="shared" si="1"/>
        <v>0</v>
      </c>
      <c r="I23" s="31"/>
      <c r="J23" s="31"/>
      <c r="K23" s="124" t="str">
        <f t="shared" si="2"/>
        <v/>
      </c>
      <c r="L23" s="31">
        <f t="shared" si="3"/>
        <v>0</v>
      </c>
      <c r="M23" s="32">
        <f t="shared" si="4"/>
        <v>0</v>
      </c>
    </row>
    <row r="24" spans="2:13" x14ac:dyDescent="0.25">
      <c r="B24" s="34" t="s">
        <v>277</v>
      </c>
      <c r="C24" s="31"/>
      <c r="D24" s="31"/>
      <c r="E24" s="31"/>
      <c r="F24" s="31"/>
      <c r="G24" s="124" t="str">
        <f t="shared" si="0"/>
        <v/>
      </c>
      <c r="H24" s="31">
        <f t="shared" si="1"/>
        <v>0</v>
      </c>
      <c r="I24" s="31"/>
      <c r="J24" s="31"/>
      <c r="K24" s="124" t="str">
        <f t="shared" si="2"/>
        <v/>
      </c>
      <c r="L24" s="31">
        <f t="shared" si="3"/>
        <v>0</v>
      </c>
      <c r="M24" s="32">
        <f t="shared" si="4"/>
        <v>0</v>
      </c>
    </row>
    <row r="25" spans="2:13" x14ac:dyDescent="0.25">
      <c r="B25" s="34" t="s">
        <v>278</v>
      </c>
      <c r="C25" s="31"/>
      <c r="D25" s="31"/>
      <c r="E25" s="31"/>
      <c r="F25" s="31"/>
      <c r="G25" s="124" t="str">
        <f t="shared" si="0"/>
        <v/>
      </c>
      <c r="H25" s="31">
        <f t="shared" si="1"/>
        <v>0</v>
      </c>
      <c r="I25" s="31"/>
      <c r="J25" s="31"/>
      <c r="K25" s="124" t="str">
        <f t="shared" si="2"/>
        <v/>
      </c>
      <c r="L25" s="31">
        <f t="shared" si="3"/>
        <v>0</v>
      </c>
      <c r="M25" s="32">
        <f t="shared" si="4"/>
        <v>0</v>
      </c>
    </row>
    <row r="26" spans="2:13" x14ac:dyDescent="0.25">
      <c r="B26" s="34" t="s">
        <v>271</v>
      </c>
      <c r="C26" s="31"/>
      <c r="D26" s="31"/>
      <c r="E26" s="31"/>
      <c r="F26" s="31"/>
      <c r="G26" s="124" t="str">
        <f t="shared" si="0"/>
        <v/>
      </c>
      <c r="H26" s="31">
        <f t="shared" si="1"/>
        <v>0</v>
      </c>
      <c r="I26" s="31"/>
      <c r="J26" s="31"/>
      <c r="K26" s="124" t="str">
        <f t="shared" si="2"/>
        <v/>
      </c>
      <c r="L26" s="31">
        <f t="shared" si="3"/>
        <v>0</v>
      </c>
      <c r="M26" s="32">
        <f t="shared" si="4"/>
        <v>0</v>
      </c>
    </row>
    <row r="27" spans="2:13" x14ac:dyDescent="0.25">
      <c r="B27" s="34" t="s">
        <v>272</v>
      </c>
      <c r="C27" s="31">
        <f>ROUND(C23-SUM(C24:C26),2)</f>
        <v>0</v>
      </c>
      <c r="D27" s="31">
        <f>ROUND(D23-SUM(D24:D26),2)</f>
        <v>0</v>
      </c>
      <c r="E27" s="31">
        <f t="shared" ref="E27:F27" si="9">ROUND(E23-SUM(E24:E26),2)</f>
        <v>0</v>
      </c>
      <c r="F27" s="31">
        <f t="shared" si="9"/>
        <v>0</v>
      </c>
      <c r="G27" s="124" t="str">
        <f t="shared" si="0"/>
        <v/>
      </c>
      <c r="H27" s="31">
        <f t="shared" si="1"/>
        <v>0</v>
      </c>
      <c r="I27" s="31">
        <f t="shared" ref="I27:J27" si="10">ROUND(I23-SUM(I24:I26),2)</f>
        <v>0</v>
      </c>
      <c r="J27" s="31">
        <f t="shared" si="10"/>
        <v>0</v>
      </c>
      <c r="K27" s="124" t="str">
        <f t="shared" si="2"/>
        <v/>
      </c>
      <c r="L27" s="31">
        <f t="shared" si="3"/>
        <v>0</v>
      </c>
      <c r="M27" s="32">
        <f t="shared" si="4"/>
        <v>0</v>
      </c>
    </row>
    <row r="28" spans="2:13" x14ac:dyDescent="0.25">
      <c r="B28" s="33" t="s">
        <v>279</v>
      </c>
      <c r="C28" s="31"/>
      <c r="D28" s="31"/>
      <c r="E28" s="31"/>
      <c r="F28" s="31"/>
      <c r="G28" s="124" t="str">
        <f t="shared" si="0"/>
        <v/>
      </c>
      <c r="H28" s="31">
        <f t="shared" si="1"/>
        <v>0</v>
      </c>
      <c r="I28" s="31"/>
      <c r="J28" s="31"/>
      <c r="K28" s="124" t="str">
        <f t="shared" si="2"/>
        <v/>
      </c>
      <c r="L28" s="31">
        <f t="shared" si="3"/>
        <v>0</v>
      </c>
      <c r="M28" s="32">
        <f t="shared" si="4"/>
        <v>0</v>
      </c>
    </row>
    <row r="29" spans="2:13" x14ac:dyDescent="0.25">
      <c r="B29" s="34" t="s">
        <v>280</v>
      </c>
      <c r="C29" s="31"/>
      <c r="D29" s="31"/>
      <c r="E29" s="31"/>
      <c r="F29" s="31"/>
      <c r="G29" s="124" t="str">
        <f t="shared" si="0"/>
        <v/>
      </c>
      <c r="H29" s="31">
        <f t="shared" si="1"/>
        <v>0</v>
      </c>
      <c r="I29" s="31"/>
      <c r="J29" s="31"/>
      <c r="K29" s="124" t="str">
        <f t="shared" si="2"/>
        <v/>
      </c>
      <c r="L29" s="31">
        <f t="shared" si="3"/>
        <v>0</v>
      </c>
      <c r="M29" s="32">
        <f t="shared" si="4"/>
        <v>0</v>
      </c>
    </row>
    <row r="30" spans="2:13" x14ac:dyDescent="0.25">
      <c r="B30" s="34" t="s">
        <v>271</v>
      </c>
      <c r="C30" s="31"/>
      <c r="D30" s="31"/>
      <c r="E30" s="31"/>
      <c r="F30" s="31"/>
      <c r="G30" s="124" t="str">
        <f t="shared" si="0"/>
        <v/>
      </c>
      <c r="H30" s="31">
        <f t="shared" si="1"/>
        <v>0</v>
      </c>
      <c r="I30" s="31"/>
      <c r="J30" s="31"/>
      <c r="K30" s="124" t="str">
        <f t="shared" si="2"/>
        <v/>
      </c>
      <c r="L30" s="31">
        <f t="shared" si="3"/>
        <v>0</v>
      </c>
      <c r="M30" s="32">
        <f t="shared" si="4"/>
        <v>0</v>
      </c>
    </row>
    <row r="31" spans="2:13" x14ac:dyDescent="0.25">
      <c r="B31" s="34" t="s">
        <v>281</v>
      </c>
      <c r="C31" s="31"/>
      <c r="D31" s="31"/>
      <c r="E31" s="31"/>
      <c r="F31" s="31"/>
      <c r="G31" s="124" t="str">
        <f t="shared" si="0"/>
        <v/>
      </c>
      <c r="H31" s="31">
        <f t="shared" si="1"/>
        <v>0</v>
      </c>
      <c r="I31" s="31"/>
      <c r="J31" s="31"/>
      <c r="K31" s="124" t="str">
        <f t="shared" si="2"/>
        <v/>
      </c>
      <c r="L31" s="31">
        <f t="shared" si="3"/>
        <v>0</v>
      </c>
      <c r="M31" s="32">
        <f t="shared" si="4"/>
        <v>0</v>
      </c>
    </row>
    <row r="32" spans="2:13" x14ac:dyDescent="0.25">
      <c r="B32" s="34" t="s">
        <v>282</v>
      </c>
      <c r="C32" s="31"/>
      <c r="D32" s="31"/>
      <c r="E32" s="31"/>
      <c r="F32" s="31"/>
      <c r="G32" s="124" t="str">
        <f t="shared" si="0"/>
        <v/>
      </c>
      <c r="H32" s="31">
        <f t="shared" si="1"/>
        <v>0</v>
      </c>
      <c r="I32" s="31"/>
      <c r="J32" s="31"/>
      <c r="K32" s="124" t="str">
        <f t="shared" si="2"/>
        <v/>
      </c>
      <c r="L32" s="31">
        <f t="shared" si="3"/>
        <v>0</v>
      </c>
      <c r="M32" s="32">
        <f t="shared" si="4"/>
        <v>0</v>
      </c>
    </row>
    <row r="33" spans="2:13" x14ac:dyDescent="0.25">
      <c r="B33" s="34" t="s">
        <v>283</v>
      </c>
      <c r="C33" s="31"/>
      <c r="D33" s="31"/>
      <c r="E33" s="31"/>
      <c r="F33" s="31"/>
      <c r="G33" s="124" t="str">
        <f t="shared" si="0"/>
        <v/>
      </c>
      <c r="H33" s="31">
        <f t="shared" si="1"/>
        <v>0</v>
      </c>
      <c r="I33" s="31"/>
      <c r="J33" s="31"/>
      <c r="K33" s="124" t="str">
        <f t="shared" si="2"/>
        <v/>
      </c>
      <c r="L33" s="31">
        <f t="shared" si="3"/>
        <v>0</v>
      </c>
      <c r="M33" s="32">
        <f t="shared" si="4"/>
        <v>0</v>
      </c>
    </row>
    <row r="34" spans="2:13" x14ac:dyDescent="0.25">
      <c r="B34" s="34" t="s">
        <v>284</v>
      </c>
      <c r="C34" s="31"/>
      <c r="D34" s="31"/>
      <c r="E34" s="31"/>
      <c r="F34" s="31"/>
      <c r="G34" s="124" t="str">
        <f t="shared" si="0"/>
        <v/>
      </c>
      <c r="H34" s="31">
        <f t="shared" si="1"/>
        <v>0</v>
      </c>
      <c r="I34" s="31"/>
      <c r="J34" s="31"/>
      <c r="K34" s="124" t="str">
        <f t="shared" si="2"/>
        <v/>
      </c>
      <c r="L34" s="31">
        <f t="shared" si="3"/>
        <v>0</v>
      </c>
      <c r="M34" s="32">
        <f t="shared" si="4"/>
        <v>0</v>
      </c>
    </row>
    <row r="35" spans="2:13" x14ac:dyDescent="0.25">
      <c r="B35" s="34" t="s">
        <v>285</v>
      </c>
      <c r="C35" s="31"/>
      <c r="D35" s="31"/>
      <c r="E35" s="31"/>
      <c r="F35" s="31"/>
      <c r="G35" s="124" t="str">
        <f t="shared" si="0"/>
        <v/>
      </c>
      <c r="H35" s="31">
        <f t="shared" si="1"/>
        <v>0</v>
      </c>
      <c r="I35" s="31"/>
      <c r="J35" s="31"/>
      <c r="K35" s="124" t="str">
        <f t="shared" si="2"/>
        <v/>
      </c>
      <c r="L35" s="31">
        <f t="shared" si="3"/>
        <v>0</v>
      </c>
      <c r="M35" s="32">
        <f t="shared" si="4"/>
        <v>0</v>
      </c>
    </row>
    <row r="36" spans="2:13" x14ac:dyDescent="0.25">
      <c r="B36" s="34" t="s">
        <v>286</v>
      </c>
      <c r="C36" s="31"/>
      <c r="D36" s="31"/>
      <c r="E36" s="31"/>
      <c r="F36" s="31"/>
      <c r="G36" s="124" t="str">
        <f t="shared" si="0"/>
        <v/>
      </c>
      <c r="H36" s="31">
        <f t="shared" si="1"/>
        <v>0</v>
      </c>
      <c r="I36" s="31"/>
      <c r="J36" s="31"/>
      <c r="K36" s="124" t="str">
        <f t="shared" si="2"/>
        <v/>
      </c>
      <c r="L36" s="31">
        <f t="shared" si="3"/>
        <v>0</v>
      </c>
      <c r="M36" s="32">
        <f t="shared" si="4"/>
        <v>0</v>
      </c>
    </row>
    <row r="37" spans="2:13" x14ac:dyDescent="0.25">
      <c r="B37" s="34" t="s">
        <v>287</v>
      </c>
      <c r="C37" s="31"/>
      <c r="D37" s="31"/>
      <c r="E37" s="31"/>
      <c r="F37" s="31"/>
      <c r="G37" s="124" t="str">
        <f t="shared" si="0"/>
        <v/>
      </c>
      <c r="H37" s="31">
        <f t="shared" si="1"/>
        <v>0</v>
      </c>
      <c r="I37" s="31"/>
      <c r="J37" s="31"/>
      <c r="K37" s="124" t="str">
        <f t="shared" si="2"/>
        <v/>
      </c>
      <c r="L37" s="31">
        <f t="shared" si="3"/>
        <v>0</v>
      </c>
      <c r="M37" s="32">
        <f t="shared" si="4"/>
        <v>0</v>
      </c>
    </row>
    <row r="38" spans="2:13" x14ac:dyDescent="0.25">
      <c r="B38" s="34" t="s">
        <v>288</v>
      </c>
      <c r="C38" s="31"/>
      <c r="D38" s="31"/>
      <c r="E38" s="31"/>
      <c r="F38" s="31"/>
      <c r="G38" s="124" t="str">
        <f t="shared" si="0"/>
        <v/>
      </c>
      <c r="H38" s="31">
        <f t="shared" si="1"/>
        <v>0</v>
      </c>
      <c r="I38" s="31"/>
      <c r="J38" s="31"/>
      <c r="K38" s="124" t="str">
        <f t="shared" si="2"/>
        <v/>
      </c>
      <c r="L38" s="31">
        <f t="shared" si="3"/>
        <v>0</v>
      </c>
      <c r="M38" s="32">
        <f t="shared" si="4"/>
        <v>0</v>
      </c>
    </row>
    <row r="39" spans="2:13" x14ac:dyDescent="0.25">
      <c r="B39" s="34" t="s">
        <v>289</v>
      </c>
      <c r="C39" s="31"/>
      <c r="D39" s="31"/>
      <c r="E39" s="31"/>
      <c r="F39" s="31"/>
      <c r="G39" s="124" t="str">
        <f t="shared" si="0"/>
        <v/>
      </c>
      <c r="H39" s="31">
        <f t="shared" si="1"/>
        <v>0</v>
      </c>
      <c r="I39" s="31"/>
      <c r="J39" s="31"/>
      <c r="K39" s="124" t="str">
        <f t="shared" si="2"/>
        <v/>
      </c>
      <c r="L39" s="31">
        <f t="shared" si="3"/>
        <v>0</v>
      </c>
      <c r="M39" s="32">
        <f t="shared" si="4"/>
        <v>0</v>
      </c>
    </row>
    <row r="40" spans="2:13" x14ac:dyDescent="0.25">
      <c r="B40" s="34" t="s">
        <v>272</v>
      </c>
      <c r="C40" s="31">
        <f>ROUND(C28-SUM(C29:C39),2)</f>
        <v>0</v>
      </c>
      <c r="D40" s="31">
        <f>ROUND(D28-SUM(D29:D39),2)</f>
        <v>0</v>
      </c>
      <c r="E40" s="31">
        <f t="shared" ref="E40:F40" si="11">ROUND(E28-SUM(E29:E39),2)</f>
        <v>0</v>
      </c>
      <c r="F40" s="31">
        <f t="shared" si="11"/>
        <v>0</v>
      </c>
      <c r="G40" s="124" t="str">
        <f t="shared" si="0"/>
        <v/>
      </c>
      <c r="H40" s="31">
        <f t="shared" si="1"/>
        <v>0</v>
      </c>
      <c r="I40" s="31">
        <f t="shared" ref="I40:J40" si="12">ROUND(I28-SUM(I29:I39),2)</f>
        <v>0</v>
      </c>
      <c r="J40" s="31">
        <f t="shared" si="12"/>
        <v>0</v>
      </c>
      <c r="K40" s="124" t="str">
        <f t="shared" si="2"/>
        <v/>
      </c>
      <c r="L40" s="31">
        <f t="shared" si="3"/>
        <v>0</v>
      </c>
      <c r="M40" s="32">
        <f t="shared" si="4"/>
        <v>0</v>
      </c>
    </row>
    <row r="41" spans="2:13" x14ac:dyDescent="0.25">
      <c r="B41" s="33" t="s">
        <v>290</v>
      </c>
      <c r="C41" s="31"/>
      <c r="D41" s="31"/>
      <c r="E41" s="31"/>
      <c r="F41" s="31"/>
      <c r="G41" s="124" t="str">
        <f t="shared" si="0"/>
        <v/>
      </c>
      <c r="H41" s="31">
        <f t="shared" si="1"/>
        <v>0</v>
      </c>
      <c r="I41" s="31"/>
      <c r="J41" s="31"/>
      <c r="K41" s="124" t="str">
        <f t="shared" si="2"/>
        <v/>
      </c>
      <c r="L41" s="31">
        <f t="shared" si="3"/>
        <v>0</v>
      </c>
      <c r="M41" s="32">
        <f t="shared" si="4"/>
        <v>0</v>
      </c>
    </row>
    <row r="42" spans="2:13" x14ac:dyDescent="0.25">
      <c r="B42" s="34" t="s">
        <v>291</v>
      </c>
      <c r="C42" s="31"/>
      <c r="D42" s="31"/>
      <c r="E42" s="31"/>
      <c r="F42" s="31"/>
      <c r="G42" s="124" t="str">
        <f t="shared" si="0"/>
        <v/>
      </c>
      <c r="H42" s="31">
        <f t="shared" si="1"/>
        <v>0</v>
      </c>
      <c r="I42" s="31"/>
      <c r="J42" s="31"/>
      <c r="K42" s="124" t="str">
        <f t="shared" si="2"/>
        <v/>
      </c>
      <c r="L42" s="31">
        <f t="shared" si="3"/>
        <v>0</v>
      </c>
      <c r="M42" s="32">
        <f t="shared" si="4"/>
        <v>0</v>
      </c>
    </row>
    <row r="43" spans="2:13" x14ac:dyDescent="0.25">
      <c r="B43" s="34" t="s">
        <v>292</v>
      </c>
      <c r="C43" s="31"/>
      <c r="D43" s="31"/>
      <c r="E43" s="31"/>
      <c r="F43" s="31"/>
      <c r="G43" s="124" t="str">
        <f t="shared" si="0"/>
        <v/>
      </c>
      <c r="H43" s="31">
        <f t="shared" si="1"/>
        <v>0</v>
      </c>
      <c r="I43" s="31"/>
      <c r="J43" s="31"/>
      <c r="K43" s="124" t="str">
        <f t="shared" si="2"/>
        <v/>
      </c>
      <c r="L43" s="31">
        <f t="shared" si="3"/>
        <v>0</v>
      </c>
      <c r="M43" s="32">
        <f t="shared" si="4"/>
        <v>0</v>
      </c>
    </row>
    <row r="44" spans="2:13" x14ac:dyDescent="0.25">
      <c r="B44" s="34" t="s">
        <v>293</v>
      </c>
      <c r="C44" s="31"/>
      <c r="D44" s="31"/>
      <c r="E44" s="31"/>
      <c r="F44" s="31"/>
      <c r="G44" s="124" t="str">
        <f t="shared" ref="G44:G75" si="13">IFERROR(ROUND(F44/F$206,4),"")</f>
        <v/>
      </c>
      <c r="H44" s="31">
        <f t="shared" ref="H44:H75" si="14">D44-F44</f>
        <v>0</v>
      </c>
      <c r="I44" s="31"/>
      <c r="J44" s="31"/>
      <c r="K44" s="124" t="str">
        <f t="shared" ref="K44:K75" si="15">IFERROR(ROUND(J44/J$206,4),"")</f>
        <v/>
      </c>
      <c r="L44" s="31">
        <f t="shared" ref="L44:L75" si="16">D44-J44</f>
        <v>0</v>
      </c>
      <c r="M44" s="32">
        <f t="shared" ref="M44:M75" si="17">IF(MONTH(paramDataBase)=12,F44-J44,0)</f>
        <v>0</v>
      </c>
    </row>
    <row r="45" spans="2:13" x14ac:dyDescent="0.25">
      <c r="B45" s="34" t="s">
        <v>271</v>
      </c>
      <c r="C45" s="31"/>
      <c r="D45" s="31"/>
      <c r="E45" s="31"/>
      <c r="F45" s="31"/>
      <c r="G45" s="124" t="str">
        <f t="shared" si="13"/>
        <v/>
      </c>
      <c r="H45" s="31">
        <f t="shared" si="14"/>
        <v>0</v>
      </c>
      <c r="I45" s="31"/>
      <c r="J45" s="31"/>
      <c r="K45" s="124" t="str">
        <f t="shared" si="15"/>
        <v/>
      </c>
      <c r="L45" s="31">
        <f t="shared" si="16"/>
        <v>0</v>
      </c>
      <c r="M45" s="32">
        <f t="shared" si="17"/>
        <v>0</v>
      </c>
    </row>
    <row r="46" spans="2:13" x14ac:dyDescent="0.25">
      <c r="B46" s="34" t="s">
        <v>272</v>
      </c>
      <c r="C46" s="31">
        <f>ROUND(C41-SUM(C42:C45),2)</f>
        <v>0</v>
      </c>
      <c r="D46" s="31">
        <f>ROUND(D41-SUM(D42:D45),2)</f>
        <v>0</v>
      </c>
      <c r="E46" s="31">
        <f t="shared" ref="E46:F46" si="18">ROUND(E41-SUM(E42:E45),2)</f>
        <v>0</v>
      </c>
      <c r="F46" s="31">
        <f t="shared" si="18"/>
        <v>0</v>
      </c>
      <c r="G46" s="124" t="str">
        <f t="shared" si="13"/>
        <v/>
      </c>
      <c r="H46" s="31">
        <f t="shared" si="14"/>
        <v>0</v>
      </c>
      <c r="I46" s="31">
        <f t="shared" ref="I46:J46" si="19">ROUND(I41-SUM(I42:I45),2)</f>
        <v>0</v>
      </c>
      <c r="J46" s="31">
        <f t="shared" si="19"/>
        <v>0</v>
      </c>
      <c r="K46" s="124" t="str">
        <f t="shared" si="15"/>
        <v/>
      </c>
      <c r="L46" s="31">
        <f t="shared" si="16"/>
        <v>0</v>
      </c>
      <c r="M46" s="32">
        <f t="shared" si="17"/>
        <v>0</v>
      </c>
    </row>
    <row r="47" spans="2:13" x14ac:dyDescent="0.25">
      <c r="B47" s="33" t="s">
        <v>294</v>
      </c>
      <c r="C47" s="31"/>
      <c r="D47" s="31"/>
      <c r="E47" s="31"/>
      <c r="F47" s="31"/>
      <c r="G47" s="124" t="str">
        <f t="shared" si="13"/>
        <v/>
      </c>
      <c r="H47" s="31">
        <f t="shared" si="14"/>
        <v>0</v>
      </c>
      <c r="I47" s="31"/>
      <c r="J47" s="31"/>
      <c r="K47" s="124" t="str">
        <f t="shared" si="15"/>
        <v/>
      </c>
      <c r="L47" s="31">
        <f t="shared" si="16"/>
        <v>0</v>
      </c>
      <c r="M47" s="32">
        <f t="shared" si="17"/>
        <v>0</v>
      </c>
    </row>
    <row r="48" spans="2:13" x14ac:dyDescent="0.25">
      <c r="B48" s="34" t="s">
        <v>295</v>
      </c>
      <c r="C48" s="31"/>
      <c r="D48" s="31"/>
      <c r="E48" s="31"/>
      <c r="F48" s="31"/>
      <c r="G48" s="124" t="str">
        <f t="shared" si="13"/>
        <v/>
      </c>
      <c r="H48" s="31">
        <f t="shared" si="14"/>
        <v>0</v>
      </c>
      <c r="I48" s="31"/>
      <c r="J48" s="31"/>
      <c r="K48" s="124" t="str">
        <f t="shared" si="15"/>
        <v/>
      </c>
      <c r="L48" s="31">
        <f t="shared" si="16"/>
        <v>0</v>
      </c>
      <c r="M48" s="32">
        <f t="shared" si="17"/>
        <v>0</v>
      </c>
    </row>
    <row r="49" spans="2:13" x14ac:dyDescent="0.25">
      <c r="B49" s="34" t="s">
        <v>296</v>
      </c>
      <c r="C49" s="31"/>
      <c r="D49" s="31"/>
      <c r="E49" s="31"/>
      <c r="F49" s="31"/>
      <c r="G49" s="124" t="str">
        <f t="shared" si="13"/>
        <v/>
      </c>
      <c r="H49" s="31">
        <f t="shared" si="14"/>
        <v>0</v>
      </c>
      <c r="I49" s="31"/>
      <c r="J49" s="31"/>
      <c r="K49" s="124" t="str">
        <f t="shared" si="15"/>
        <v/>
      </c>
      <c r="L49" s="31">
        <f t="shared" si="16"/>
        <v>0</v>
      </c>
      <c r="M49" s="32">
        <f t="shared" si="17"/>
        <v>0</v>
      </c>
    </row>
    <row r="50" spans="2:13" x14ac:dyDescent="0.25">
      <c r="B50" s="34" t="s">
        <v>297</v>
      </c>
      <c r="C50" s="31"/>
      <c r="D50" s="31"/>
      <c r="E50" s="31"/>
      <c r="F50" s="31"/>
      <c r="G50" s="124" t="str">
        <f t="shared" si="13"/>
        <v/>
      </c>
      <c r="H50" s="31">
        <f t="shared" si="14"/>
        <v>0</v>
      </c>
      <c r="I50" s="31"/>
      <c r="J50" s="31"/>
      <c r="K50" s="124" t="str">
        <f t="shared" si="15"/>
        <v/>
      </c>
      <c r="L50" s="31">
        <f t="shared" si="16"/>
        <v>0</v>
      </c>
      <c r="M50" s="32">
        <f t="shared" si="17"/>
        <v>0</v>
      </c>
    </row>
    <row r="51" spans="2:13" x14ac:dyDescent="0.25">
      <c r="B51" s="34" t="s">
        <v>271</v>
      </c>
      <c r="C51" s="31"/>
      <c r="D51" s="31"/>
      <c r="E51" s="31"/>
      <c r="F51" s="31"/>
      <c r="G51" s="124" t="str">
        <f t="shared" si="13"/>
        <v/>
      </c>
      <c r="H51" s="31">
        <f t="shared" si="14"/>
        <v>0</v>
      </c>
      <c r="I51" s="31"/>
      <c r="J51" s="31"/>
      <c r="K51" s="124" t="str">
        <f t="shared" si="15"/>
        <v/>
      </c>
      <c r="L51" s="31">
        <f t="shared" si="16"/>
        <v>0</v>
      </c>
      <c r="M51" s="32">
        <f t="shared" si="17"/>
        <v>0</v>
      </c>
    </row>
    <row r="52" spans="2:13" x14ac:dyDescent="0.25">
      <c r="B52" s="34" t="s">
        <v>272</v>
      </c>
      <c r="C52" s="31">
        <f>ROUND(C47-SUM(C48:C51),2)</f>
        <v>0</v>
      </c>
      <c r="D52" s="31">
        <f>ROUND(D47-SUM(D48:D51),2)</f>
        <v>0</v>
      </c>
      <c r="E52" s="31">
        <f t="shared" ref="E52:F52" si="20">ROUND(E47-SUM(E48:E51),2)</f>
        <v>0</v>
      </c>
      <c r="F52" s="31">
        <f t="shared" si="20"/>
        <v>0</v>
      </c>
      <c r="G52" s="124" t="str">
        <f t="shared" si="13"/>
        <v/>
      </c>
      <c r="H52" s="31">
        <f t="shared" si="14"/>
        <v>0</v>
      </c>
      <c r="I52" s="31">
        <f t="shared" ref="I52:J52" si="21">ROUND(I47-SUM(I48:I51),2)</f>
        <v>0</v>
      </c>
      <c r="J52" s="31">
        <f t="shared" si="21"/>
        <v>0</v>
      </c>
      <c r="K52" s="124" t="str">
        <f t="shared" si="15"/>
        <v/>
      </c>
      <c r="L52" s="31">
        <f t="shared" si="16"/>
        <v>0</v>
      </c>
      <c r="M52" s="32">
        <f t="shared" si="17"/>
        <v>0</v>
      </c>
    </row>
    <row r="53" spans="2:13" x14ac:dyDescent="0.25">
      <c r="B53" s="33" t="s">
        <v>298</v>
      </c>
      <c r="C53" s="31"/>
      <c r="D53" s="31"/>
      <c r="E53" s="31"/>
      <c r="F53" s="31"/>
      <c r="G53" s="124" t="str">
        <f t="shared" si="13"/>
        <v/>
      </c>
      <c r="H53" s="31">
        <f t="shared" si="14"/>
        <v>0</v>
      </c>
      <c r="I53" s="31"/>
      <c r="J53" s="31"/>
      <c r="K53" s="124" t="str">
        <f t="shared" si="15"/>
        <v/>
      </c>
      <c r="L53" s="31">
        <f t="shared" si="16"/>
        <v>0</v>
      </c>
      <c r="M53" s="32">
        <f t="shared" si="17"/>
        <v>0</v>
      </c>
    </row>
    <row r="54" spans="2:13" x14ac:dyDescent="0.25">
      <c r="B54" s="34" t="s">
        <v>299</v>
      </c>
      <c r="C54" s="31"/>
      <c r="D54" s="31"/>
      <c r="E54" s="31"/>
      <c r="F54" s="31"/>
      <c r="G54" s="124" t="str">
        <f t="shared" si="13"/>
        <v/>
      </c>
      <c r="H54" s="31">
        <f t="shared" si="14"/>
        <v>0</v>
      </c>
      <c r="I54" s="31"/>
      <c r="J54" s="31"/>
      <c r="K54" s="124" t="str">
        <f t="shared" si="15"/>
        <v/>
      </c>
      <c r="L54" s="31">
        <f t="shared" si="16"/>
        <v>0</v>
      </c>
      <c r="M54" s="32">
        <f t="shared" si="17"/>
        <v>0</v>
      </c>
    </row>
    <row r="55" spans="2:13" x14ac:dyDescent="0.25">
      <c r="B55" s="34" t="s">
        <v>300</v>
      </c>
      <c r="C55" s="31"/>
      <c r="D55" s="31"/>
      <c r="E55" s="31"/>
      <c r="F55" s="31"/>
      <c r="G55" s="124" t="str">
        <f t="shared" si="13"/>
        <v/>
      </c>
      <c r="H55" s="31">
        <f t="shared" si="14"/>
        <v>0</v>
      </c>
      <c r="I55" s="31"/>
      <c r="J55" s="31"/>
      <c r="K55" s="124" t="str">
        <f t="shared" si="15"/>
        <v/>
      </c>
      <c r="L55" s="31">
        <f t="shared" si="16"/>
        <v>0</v>
      </c>
      <c r="M55" s="32">
        <f t="shared" si="17"/>
        <v>0</v>
      </c>
    </row>
    <row r="56" spans="2:13" x14ac:dyDescent="0.25">
      <c r="B56" s="34" t="s">
        <v>271</v>
      </c>
      <c r="C56" s="31"/>
      <c r="D56" s="31"/>
      <c r="E56" s="31"/>
      <c r="F56" s="31"/>
      <c r="G56" s="124" t="str">
        <f t="shared" si="13"/>
        <v/>
      </c>
      <c r="H56" s="31">
        <f t="shared" si="14"/>
        <v>0</v>
      </c>
      <c r="I56" s="31"/>
      <c r="J56" s="31"/>
      <c r="K56" s="124" t="str">
        <f t="shared" si="15"/>
        <v/>
      </c>
      <c r="L56" s="31">
        <f t="shared" si="16"/>
        <v>0</v>
      </c>
      <c r="M56" s="32">
        <f t="shared" si="17"/>
        <v>0</v>
      </c>
    </row>
    <row r="57" spans="2:13" x14ac:dyDescent="0.25">
      <c r="B57" s="34" t="s">
        <v>272</v>
      </c>
      <c r="C57" s="31">
        <f>ROUND(C53-SUM(C54:C56),2)</f>
        <v>0</v>
      </c>
      <c r="D57" s="31">
        <f>ROUND(D53-SUM(D54:D56),2)</f>
        <v>0</v>
      </c>
      <c r="E57" s="31">
        <f t="shared" ref="E57:F57" si="22">ROUND(E53-SUM(E54:E56),2)</f>
        <v>0</v>
      </c>
      <c r="F57" s="31">
        <f t="shared" si="22"/>
        <v>0</v>
      </c>
      <c r="G57" s="124" t="str">
        <f t="shared" si="13"/>
        <v/>
      </c>
      <c r="H57" s="31">
        <f t="shared" si="14"/>
        <v>0</v>
      </c>
      <c r="I57" s="31">
        <f t="shared" ref="I57:J57" si="23">ROUND(I53-SUM(I54:I56),2)</f>
        <v>0</v>
      </c>
      <c r="J57" s="31">
        <f t="shared" si="23"/>
        <v>0</v>
      </c>
      <c r="K57" s="124" t="str">
        <f t="shared" si="15"/>
        <v/>
      </c>
      <c r="L57" s="31">
        <f t="shared" si="16"/>
        <v>0</v>
      </c>
      <c r="M57" s="32">
        <f t="shared" si="17"/>
        <v>0</v>
      </c>
    </row>
    <row r="58" spans="2:13" x14ac:dyDescent="0.25">
      <c r="B58" s="33" t="s">
        <v>301</v>
      </c>
      <c r="C58" s="31"/>
      <c r="D58" s="31"/>
      <c r="E58" s="31"/>
      <c r="F58" s="31"/>
      <c r="G58" s="124" t="str">
        <f t="shared" si="13"/>
        <v/>
      </c>
      <c r="H58" s="31">
        <f t="shared" si="14"/>
        <v>0</v>
      </c>
      <c r="I58" s="31"/>
      <c r="J58" s="31"/>
      <c r="K58" s="124" t="str">
        <f t="shared" si="15"/>
        <v/>
      </c>
      <c r="L58" s="31">
        <f t="shared" si="16"/>
        <v>0</v>
      </c>
      <c r="M58" s="32">
        <f t="shared" si="17"/>
        <v>0</v>
      </c>
    </row>
    <row r="59" spans="2:13" x14ac:dyDescent="0.25">
      <c r="B59" s="34" t="s">
        <v>302</v>
      </c>
      <c r="C59" s="31"/>
      <c r="D59" s="31"/>
      <c r="E59" s="31"/>
      <c r="F59" s="31"/>
      <c r="G59" s="124" t="str">
        <f t="shared" si="13"/>
        <v/>
      </c>
      <c r="H59" s="31">
        <f t="shared" si="14"/>
        <v>0</v>
      </c>
      <c r="I59" s="31"/>
      <c r="J59" s="31"/>
      <c r="K59" s="124" t="str">
        <f t="shared" si="15"/>
        <v/>
      </c>
      <c r="L59" s="31">
        <f t="shared" si="16"/>
        <v>0</v>
      </c>
      <c r="M59" s="32">
        <f t="shared" si="17"/>
        <v>0</v>
      </c>
    </row>
    <row r="60" spans="2:13" x14ac:dyDescent="0.25">
      <c r="B60" s="34" t="s">
        <v>303</v>
      </c>
      <c r="C60" s="31"/>
      <c r="D60" s="31"/>
      <c r="E60" s="31"/>
      <c r="F60" s="31"/>
      <c r="G60" s="124" t="str">
        <f t="shared" si="13"/>
        <v/>
      </c>
      <c r="H60" s="31">
        <f t="shared" si="14"/>
        <v>0</v>
      </c>
      <c r="I60" s="31"/>
      <c r="J60" s="31"/>
      <c r="K60" s="124" t="str">
        <f t="shared" si="15"/>
        <v/>
      </c>
      <c r="L60" s="31">
        <f t="shared" si="16"/>
        <v>0</v>
      </c>
      <c r="M60" s="32">
        <f t="shared" si="17"/>
        <v>0</v>
      </c>
    </row>
    <row r="61" spans="2:13" x14ac:dyDescent="0.25">
      <c r="B61" s="34" t="s">
        <v>304</v>
      </c>
      <c r="C61" s="31"/>
      <c r="D61" s="31"/>
      <c r="E61" s="31"/>
      <c r="F61" s="31"/>
      <c r="G61" s="124" t="str">
        <f t="shared" si="13"/>
        <v/>
      </c>
      <c r="H61" s="31">
        <f t="shared" si="14"/>
        <v>0</v>
      </c>
      <c r="I61" s="31"/>
      <c r="J61" s="31"/>
      <c r="K61" s="124" t="str">
        <f t="shared" si="15"/>
        <v/>
      </c>
      <c r="L61" s="31">
        <f t="shared" si="16"/>
        <v>0</v>
      </c>
      <c r="M61" s="32">
        <f t="shared" si="17"/>
        <v>0</v>
      </c>
    </row>
    <row r="62" spans="2:13" x14ac:dyDescent="0.25">
      <c r="B62" s="34" t="s">
        <v>305</v>
      </c>
      <c r="C62" s="31"/>
      <c r="D62" s="31"/>
      <c r="E62" s="31"/>
      <c r="F62" s="31"/>
      <c r="G62" s="124" t="str">
        <f t="shared" si="13"/>
        <v/>
      </c>
      <c r="H62" s="31">
        <f t="shared" si="14"/>
        <v>0</v>
      </c>
      <c r="I62" s="31"/>
      <c r="J62" s="31"/>
      <c r="K62" s="124" t="str">
        <f t="shared" si="15"/>
        <v/>
      </c>
      <c r="L62" s="31">
        <f t="shared" si="16"/>
        <v>0</v>
      </c>
      <c r="M62" s="32">
        <f t="shared" si="17"/>
        <v>0</v>
      </c>
    </row>
    <row r="63" spans="2:13" x14ac:dyDescent="0.25">
      <c r="B63" s="34" t="s">
        <v>271</v>
      </c>
      <c r="C63" s="31"/>
      <c r="D63" s="31"/>
      <c r="E63" s="31"/>
      <c r="F63" s="31"/>
      <c r="G63" s="124" t="str">
        <f t="shared" si="13"/>
        <v/>
      </c>
      <c r="H63" s="31">
        <f t="shared" si="14"/>
        <v>0</v>
      </c>
      <c r="I63" s="31"/>
      <c r="J63" s="31"/>
      <c r="K63" s="124" t="str">
        <f t="shared" si="15"/>
        <v/>
      </c>
      <c r="L63" s="31">
        <f t="shared" si="16"/>
        <v>0</v>
      </c>
      <c r="M63" s="32">
        <f t="shared" si="17"/>
        <v>0</v>
      </c>
    </row>
    <row r="64" spans="2:13" x14ac:dyDescent="0.25">
      <c r="B64" s="34" t="s">
        <v>272</v>
      </c>
      <c r="C64" s="31">
        <f>ROUND(C58-SUM(C59:C63),2)</f>
        <v>0</v>
      </c>
      <c r="D64" s="31">
        <f>ROUND(D58-SUM(D59:D63),2)</f>
        <v>0</v>
      </c>
      <c r="E64" s="31">
        <f t="shared" ref="E64:F64" si="24">ROUND(E58-SUM(E59:E63),2)</f>
        <v>0</v>
      </c>
      <c r="F64" s="31">
        <f t="shared" si="24"/>
        <v>0</v>
      </c>
      <c r="G64" s="124" t="str">
        <f t="shared" si="13"/>
        <v/>
      </c>
      <c r="H64" s="31">
        <f t="shared" si="14"/>
        <v>0</v>
      </c>
      <c r="I64" s="31">
        <f t="shared" ref="I64:J64" si="25">ROUND(I58-SUM(I59:I63),2)</f>
        <v>0</v>
      </c>
      <c r="J64" s="31">
        <f t="shared" si="25"/>
        <v>0</v>
      </c>
      <c r="K64" s="124" t="str">
        <f t="shared" si="15"/>
        <v/>
      </c>
      <c r="L64" s="31">
        <f t="shared" si="16"/>
        <v>0</v>
      </c>
      <c r="M64" s="32">
        <f t="shared" si="17"/>
        <v>0</v>
      </c>
    </row>
    <row r="65" spans="2:13" x14ac:dyDescent="0.25">
      <c r="B65" s="33" t="s">
        <v>306</v>
      </c>
      <c r="C65" s="31"/>
      <c r="D65" s="31"/>
      <c r="E65" s="31"/>
      <c r="F65" s="31"/>
      <c r="G65" s="124" t="str">
        <f t="shared" si="13"/>
        <v/>
      </c>
      <c r="H65" s="31">
        <f t="shared" si="14"/>
        <v>0</v>
      </c>
      <c r="I65" s="31"/>
      <c r="J65" s="31"/>
      <c r="K65" s="124" t="str">
        <f t="shared" si="15"/>
        <v/>
      </c>
      <c r="L65" s="31">
        <f t="shared" si="16"/>
        <v>0</v>
      </c>
      <c r="M65" s="32">
        <f t="shared" si="17"/>
        <v>0</v>
      </c>
    </row>
    <row r="66" spans="2:13" x14ac:dyDescent="0.25">
      <c r="B66" s="34" t="s">
        <v>307</v>
      </c>
      <c r="C66" s="31"/>
      <c r="D66" s="31"/>
      <c r="E66" s="31"/>
      <c r="F66" s="31"/>
      <c r="G66" s="124" t="str">
        <f t="shared" si="13"/>
        <v/>
      </c>
      <c r="H66" s="31">
        <f t="shared" si="14"/>
        <v>0</v>
      </c>
      <c r="I66" s="31"/>
      <c r="J66" s="31"/>
      <c r="K66" s="124" t="str">
        <f t="shared" si="15"/>
        <v/>
      </c>
      <c r="L66" s="31">
        <f t="shared" si="16"/>
        <v>0</v>
      </c>
      <c r="M66" s="32">
        <f t="shared" si="17"/>
        <v>0</v>
      </c>
    </row>
    <row r="67" spans="2:13" x14ac:dyDescent="0.25">
      <c r="B67" s="34" t="s">
        <v>308</v>
      </c>
      <c r="C67" s="31"/>
      <c r="D67" s="31"/>
      <c r="E67" s="31"/>
      <c r="F67" s="31"/>
      <c r="G67" s="124" t="str">
        <f t="shared" si="13"/>
        <v/>
      </c>
      <c r="H67" s="31">
        <f t="shared" si="14"/>
        <v>0</v>
      </c>
      <c r="I67" s="31"/>
      <c r="J67" s="31"/>
      <c r="K67" s="124" t="str">
        <f t="shared" si="15"/>
        <v/>
      </c>
      <c r="L67" s="31">
        <f t="shared" si="16"/>
        <v>0</v>
      </c>
      <c r="M67" s="32">
        <f t="shared" si="17"/>
        <v>0</v>
      </c>
    </row>
    <row r="68" spans="2:13" x14ac:dyDescent="0.25">
      <c r="B68" s="34" t="s">
        <v>309</v>
      </c>
      <c r="C68" s="31"/>
      <c r="D68" s="31"/>
      <c r="E68" s="31"/>
      <c r="F68" s="31"/>
      <c r="G68" s="124" t="str">
        <f t="shared" si="13"/>
        <v/>
      </c>
      <c r="H68" s="31">
        <f t="shared" si="14"/>
        <v>0</v>
      </c>
      <c r="I68" s="31"/>
      <c r="J68" s="31"/>
      <c r="K68" s="124" t="str">
        <f t="shared" si="15"/>
        <v/>
      </c>
      <c r="L68" s="31">
        <f t="shared" si="16"/>
        <v>0</v>
      </c>
      <c r="M68" s="32">
        <f t="shared" si="17"/>
        <v>0</v>
      </c>
    </row>
    <row r="69" spans="2:13" x14ac:dyDescent="0.25">
      <c r="B69" s="34" t="s">
        <v>310</v>
      </c>
      <c r="C69" s="31"/>
      <c r="D69" s="31"/>
      <c r="E69" s="31"/>
      <c r="F69" s="31"/>
      <c r="G69" s="124" t="str">
        <f t="shared" si="13"/>
        <v/>
      </c>
      <c r="H69" s="31">
        <f t="shared" si="14"/>
        <v>0</v>
      </c>
      <c r="I69" s="31"/>
      <c r="J69" s="31"/>
      <c r="K69" s="124" t="str">
        <f t="shared" si="15"/>
        <v/>
      </c>
      <c r="L69" s="31">
        <f t="shared" si="16"/>
        <v>0</v>
      </c>
      <c r="M69" s="32">
        <f t="shared" si="17"/>
        <v>0</v>
      </c>
    </row>
    <row r="70" spans="2:13" x14ac:dyDescent="0.25">
      <c r="B70" s="34" t="s">
        <v>271</v>
      </c>
      <c r="C70" s="31"/>
      <c r="D70" s="31"/>
      <c r="E70" s="31"/>
      <c r="F70" s="31"/>
      <c r="G70" s="124" t="str">
        <f t="shared" si="13"/>
        <v/>
      </c>
      <c r="H70" s="31">
        <f t="shared" si="14"/>
        <v>0</v>
      </c>
      <c r="I70" s="31"/>
      <c r="J70" s="31"/>
      <c r="K70" s="124" t="str">
        <f t="shared" si="15"/>
        <v/>
      </c>
      <c r="L70" s="31">
        <f t="shared" si="16"/>
        <v>0</v>
      </c>
      <c r="M70" s="32">
        <f t="shared" si="17"/>
        <v>0</v>
      </c>
    </row>
    <row r="71" spans="2:13" x14ac:dyDescent="0.25">
      <c r="B71" s="34" t="s">
        <v>272</v>
      </c>
      <c r="C71" s="31">
        <f>ROUND(C65-SUM(C66:C70),2)</f>
        <v>0</v>
      </c>
      <c r="D71" s="31">
        <f>ROUND(D65-SUM(D66:D70),2)</f>
        <v>0</v>
      </c>
      <c r="E71" s="31">
        <f t="shared" ref="E71:F71" si="26">ROUND(E65-SUM(E66:E70),2)</f>
        <v>0</v>
      </c>
      <c r="F71" s="31">
        <f t="shared" si="26"/>
        <v>0</v>
      </c>
      <c r="G71" s="124" t="str">
        <f t="shared" si="13"/>
        <v/>
      </c>
      <c r="H71" s="31">
        <f t="shared" si="14"/>
        <v>0</v>
      </c>
      <c r="I71" s="31">
        <f t="shared" ref="I71:J71" si="27">ROUND(I65-SUM(I66:I70),2)</f>
        <v>0</v>
      </c>
      <c r="J71" s="31">
        <f t="shared" si="27"/>
        <v>0</v>
      </c>
      <c r="K71" s="124" t="str">
        <f t="shared" si="15"/>
        <v/>
      </c>
      <c r="L71" s="31">
        <f t="shared" si="16"/>
        <v>0</v>
      </c>
      <c r="M71" s="32">
        <f t="shared" si="17"/>
        <v>0</v>
      </c>
    </row>
    <row r="72" spans="2:13" x14ac:dyDescent="0.25">
      <c r="B72" s="33" t="s">
        <v>311</v>
      </c>
      <c r="C72" s="31"/>
      <c r="D72" s="31"/>
      <c r="E72" s="31"/>
      <c r="F72" s="31"/>
      <c r="G72" s="124" t="str">
        <f t="shared" si="13"/>
        <v/>
      </c>
      <c r="H72" s="31">
        <f t="shared" si="14"/>
        <v>0</v>
      </c>
      <c r="I72" s="31"/>
      <c r="J72" s="31"/>
      <c r="K72" s="124" t="str">
        <f t="shared" si="15"/>
        <v/>
      </c>
      <c r="L72" s="31">
        <f t="shared" si="16"/>
        <v>0</v>
      </c>
      <c r="M72" s="32">
        <f t="shared" si="17"/>
        <v>0</v>
      </c>
    </row>
    <row r="73" spans="2:13" x14ac:dyDescent="0.25">
      <c r="B73" s="34" t="s">
        <v>312</v>
      </c>
      <c r="C73" s="31"/>
      <c r="D73" s="31"/>
      <c r="E73" s="31"/>
      <c r="F73" s="31"/>
      <c r="G73" s="124" t="str">
        <f t="shared" si="13"/>
        <v/>
      </c>
      <c r="H73" s="31">
        <f t="shared" si="14"/>
        <v>0</v>
      </c>
      <c r="I73" s="31"/>
      <c r="J73" s="31"/>
      <c r="K73" s="124" t="str">
        <f t="shared" si="15"/>
        <v/>
      </c>
      <c r="L73" s="31">
        <f t="shared" si="16"/>
        <v>0</v>
      </c>
      <c r="M73" s="32">
        <f t="shared" si="17"/>
        <v>0</v>
      </c>
    </row>
    <row r="74" spans="2:13" x14ac:dyDescent="0.25">
      <c r="B74" s="34" t="s">
        <v>313</v>
      </c>
      <c r="C74" s="31"/>
      <c r="D74" s="31"/>
      <c r="E74" s="31"/>
      <c r="F74" s="31"/>
      <c r="G74" s="124" t="str">
        <f t="shared" si="13"/>
        <v/>
      </c>
      <c r="H74" s="31">
        <f t="shared" si="14"/>
        <v>0</v>
      </c>
      <c r="I74" s="31"/>
      <c r="J74" s="31"/>
      <c r="K74" s="124" t="str">
        <f t="shared" si="15"/>
        <v/>
      </c>
      <c r="L74" s="31">
        <f t="shared" si="16"/>
        <v>0</v>
      </c>
      <c r="M74" s="32">
        <f t="shared" si="17"/>
        <v>0</v>
      </c>
    </row>
    <row r="75" spans="2:13" x14ac:dyDescent="0.25">
      <c r="B75" s="34" t="s">
        <v>314</v>
      </c>
      <c r="C75" s="31"/>
      <c r="D75" s="31"/>
      <c r="E75" s="31"/>
      <c r="F75" s="31"/>
      <c r="G75" s="124" t="str">
        <f t="shared" si="13"/>
        <v/>
      </c>
      <c r="H75" s="31">
        <f t="shared" si="14"/>
        <v>0</v>
      </c>
      <c r="I75" s="31"/>
      <c r="J75" s="31"/>
      <c r="K75" s="124" t="str">
        <f t="shared" si="15"/>
        <v/>
      </c>
      <c r="L75" s="31">
        <f t="shared" si="16"/>
        <v>0</v>
      </c>
      <c r="M75" s="32">
        <f t="shared" si="17"/>
        <v>0</v>
      </c>
    </row>
    <row r="76" spans="2:13" x14ac:dyDescent="0.25">
      <c r="B76" s="34" t="s">
        <v>315</v>
      </c>
      <c r="C76" s="31"/>
      <c r="D76" s="31"/>
      <c r="E76" s="31"/>
      <c r="F76" s="31"/>
      <c r="G76" s="124" t="str">
        <f t="shared" ref="G76:G107" si="28">IFERROR(ROUND(F76/F$206,4),"")</f>
        <v/>
      </c>
      <c r="H76" s="31">
        <f t="shared" ref="H76:H107" si="29">D76-F76</f>
        <v>0</v>
      </c>
      <c r="I76" s="31"/>
      <c r="J76" s="31"/>
      <c r="K76" s="124" t="str">
        <f t="shared" ref="K76:K107" si="30">IFERROR(ROUND(J76/J$206,4),"")</f>
        <v/>
      </c>
      <c r="L76" s="31">
        <f t="shared" ref="L76:L107" si="31">D76-J76</f>
        <v>0</v>
      </c>
      <c r="M76" s="32">
        <f t="shared" ref="M76:M107" si="32">IF(MONTH(paramDataBase)=12,F76-J76,0)</f>
        <v>0</v>
      </c>
    </row>
    <row r="77" spans="2:13" x14ac:dyDescent="0.25">
      <c r="B77" s="34" t="s">
        <v>316</v>
      </c>
      <c r="C77" s="31"/>
      <c r="D77" s="31"/>
      <c r="E77" s="31"/>
      <c r="F77" s="31"/>
      <c r="G77" s="124" t="str">
        <f t="shared" si="28"/>
        <v/>
      </c>
      <c r="H77" s="31">
        <f t="shared" si="29"/>
        <v>0</v>
      </c>
      <c r="I77" s="31"/>
      <c r="J77" s="31"/>
      <c r="K77" s="124" t="str">
        <f t="shared" si="30"/>
        <v/>
      </c>
      <c r="L77" s="31">
        <f t="shared" si="31"/>
        <v>0</v>
      </c>
      <c r="M77" s="32">
        <f t="shared" si="32"/>
        <v>0</v>
      </c>
    </row>
    <row r="78" spans="2:13" x14ac:dyDescent="0.25">
      <c r="B78" s="34" t="s">
        <v>317</v>
      </c>
      <c r="C78" s="31"/>
      <c r="D78" s="31"/>
      <c r="E78" s="31"/>
      <c r="F78" s="31"/>
      <c r="G78" s="124" t="str">
        <f t="shared" si="28"/>
        <v/>
      </c>
      <c r="H78" s="31">
        <f t="shared" si="29"/>
        <v>0</v>
      </c>
      <c r="I78" s="31"/>
      <c r="J78" s="31"/>
      <c r="K78" s="124" t="str">
        <f t="shared" si="30"/>
        <v/>
      </c>
      <c r="L78" s="31">
        <f t="shared" si="31"/>
        <v>0</v>
      </c>
      <c r="M78" s="32">
        <f t="shared" si="32"/>
        <v>0</v>
      </c>
    </row>
    <row r="79" spans="2:13" x14ac:dyDescent="0.25">
      <c r="B79" s="34" t="s">
        <v>271</v>
      </c>
      <c r="C79" s="31"/>
      <c r="D79" s="31"/>
      <c r="E79" s="31"/>
      <c r="F79" s="31"/>
      <c r="G79" s="124" t="str">
        <f t="shared" si="28"/>
        <v/>
      </c>
      <c r="H79" s="31">
        <f t="shared" si="29"/>
        <v>0</v>
      </c>
      <c r="I79" s="31"/>
      <c r="J79" s="31"/>
      <c r="K79" s="124" t="str">
        <f t="shared" si="30"/>
        <v/>
      </c>
      <c r="L79" s="31">
        <f t="shared" si="31"/>
        <v>0</v>
      </c>
      <c r="M79" s="32">
        <f t="shared" si="32"/>
        <v>0</v>
      </c>
    </row>
    <row r="80" spans="2:13" x14ac:dyDescent="0.25">
      <c r="B80" s="34" t="s">
        <v>272</v>
      </c>
      <c r="C80" s="31">
        <f>ROUND(C72-SUM(C73:C79),2)</f>
        <v>0</v>
      </c>
      <c r="D80" s="31">
        <f>ROUND(D72-SUM(D73:D79),2)</f>
        <v>0</v>
      </c>
      <c r="E80" s="31">
        <f t="shared" ref="E80:F80" si="33">ROUND(E72-SUM(E73:E79),2)</f>
        <v>0</v>
      </c>
      <c r="F80" s="31">
        <f t="shared" si="33"/>
        <v>0</v>
      </c>
      <c r="G80" s="124" t="str">
        <f t="shared" si="28"/>
        <v/>
      </c>
      <c r="H80" s="31">
        <f t="shared" si="29"/>
        <v>0</v>
      </c>
      <c r="I80" s="31">
        <f t="shared" ref="I80:J80" si="34">ROUND(I72-SUM(I73:I79),2)</f>
        <v>0</v>
      </c>
      <c r="J80" s="31">
        <f t="shared" si="34"/>
        <v>0</v>
      </c>
      <c r="K80" s="124" t="str">
        <f t="shared" si="30"/>
        <v/>
      </c>
      <c r="L80" s="31">
        <f t="shared" si="31"/>
        <v>0</v>
      </c>
      <c r="M80" s="32">
        <f t="shared" si="32"/>
        <v>0</v>
      </c>
    </row>
    <row r="81" spans="2:13" x14ac:dyDescent="0.25">
      <c r="B81" s="33" t="s">
        <v>318</v>
      </c>
      <c r="C81" s="31"/>
      <c r="D81" s="31"/>
      <c r="E81" s="31"/>
      <c r="F81" s="31"/>
      <c r="G81" s="124" t="str">
        <f t="shared" si="28"/>
        <v/>
      </c>
      <c r="H81" s="31">
        <f t="shared" si="29"/>
        <v>0</v>
      </c>
      <c r="I81" s="31"/>
      <c r="J81" s="31"/>
      <c r="K81" s="124" t="str">
        <f t="shared" si="30"/>
        <v/>
      </c>
      <c r="L81" s="31">
        <f t="shared" si="31"/>
        <v>0</v>
      </c>
      <c r="M81" s="32">
        <f t="shared" si="32"/>
        <v>0</v>
      </c>
    </row>
    <row r="82" spans="2:13" x14ac:dyDescent="0.25">
      <c r="B82" s="56" t="s">
        <v>319</v>
      </c>
      <c r="C82" s="31"/>
      <c r="D82" s="31"/>
      <c r="E82" s="31"/>
      <c r="F82" s="31"/>
      <c r="G82" s="124" t="str">
        <f t="shared" si="28"/>
        <v/>
      </c>
      <c r="H82" s="31">
        <f t="shared" si="29"/>
        <v>0</v>
      </c>
      <c r="I82" s="31"/>
      <c r="J82" s="31"/>
      <c r="K82" s="124" t="str">
        <f t="shared" si="30"/>
        <v/>
      </c>
      <c r="L82" s="31">
        <f t="shared" si="31"/>
        <v>0</v>
      </c>
      <c r="M82" s="32">
        <f t="shared" si="32"/>
        <v>0</v>
      </c>
    </row>
    <row r="83" spans="2:13" x14ac:dyDescent="0.25">
      <c r="B83" s="56" t="s">
        <v>320</v>
      </c>
      <c r="C83" s="31"/>
      <c r="D83" s="31"/>
      <c r="E83" s="31"/>
      <c r="F83" s="31"/>
      <c r="G83" s="124" t="str">
        <f t="shared" si="28"/>
        <v/>
      </c>
      <c r="H83" s="31">
        <f t="shared" si="29"/>
        <v>0</v>
      </c>
      <c r="I83" s="31"/>
      <c r="J83" s="31"/>
      <c r="K83" s="124" t="str">
        <f t="shared" si="30"/>
        <v/>
      </c>
      <c r="L83" s="31">
        <f t="shared" si="31"/>
        <v>0</v>
      </c>
      <c r="M83" s="32">
        <f t="shared" si="32"/>
        <v>0</v>
      </c>
    </row>
    <row r="84" spans="2:13" x14ac:dyDescent="0.25">
      <c r="B84" s="56" t="s">
        <v>321</v>
      </c>
      <c r="C84" s="31"/>
      <c r="D84" s="31"/>
      <c r="E84" s="31"/>
      <c r="F84" s="31"/>
      <c r="G84" s="124" t="str">
        <f t="shared" si="28"/>
        <v/>
      </c>
      <c r="H84" s="31">
        <f t="shared" si="29"/>
        <v>0</v>
      </c>
      <c r="I84" s="31"/>
      <c r="J84" s="31"/>
      <c r="K84" s="124" t="str">
        <f t="shared" si="30"/>
        <v/>
      </c>
      <c r="L84" s="31">
        <f t="shared" si="31"/>
        <v>0</v>
      </c>
      <c r="M84" s="32">
        <f t="shared" si="32"/>
        <v>0</v>
      </c>
    </row>
    <row r="85" spans="2:13" x14ac:dyDescent="0.25">
      <c r="B85" s="56" t="s">
        <v>322</v>
      </c>
      <c r="C85" s="31"/>
      <c r="D85" s="31"/>
      <c r="E85" s="31"/>
      <c r="F85" s="31"/>
      <c r="G85" s="124" t="str">
        <f t="shared" si="28"/>
        <v/>
      </c>
      <c r="H85" s="31">
        <f t="shared" si="29"/>
        <v>0</v>
      </c>
      <c r="I85" s="31"/>
      <c r="J85" s="31"/>
      <c r="K85" s="124" t="str">
        <f t="shared" si="30"/>
        <v/>
      </c>
      <c r="L85" s="31">
        <f t="shared" si="31"/>
        <v>0</v>
      </c>
      <c r="M85" s="32">
        <f t="shared" si="32"/>
        <v>0</v>
      </c>
    </row>
    <row r="86" spans="2:13" x14ac:dyDescent="0.25">
      <c r="B86" s="56" t="s">
        <v>271</v>
      </c>
      <c r="C86" s="31"/>
      <c r="D86" s="31"/>
      <c r="E86" s="31"/>
      <c r="F86" s="31"/>
      <c r="G86" s="124" t="str">
        <f t="shared" si="28"/>
        <v/>
      </c>
      <c r="H86" s="31">
        <f t="shared" si="29"/>
        <v>0</v>
      </c>
      <c r="I86" s="31"/>
      <c r="J86" s="31"/>
      <c r="K86" s="124" t="str">
        <f t="shared" si="30"/>
        <v/>
      </c>
      <c r="L86" s="31">
        <f t="shared" si="31"/>
        <v>0</v>
      </c>
      <c r="M86" s="32">
        <f t="shared" si="32"/>
        <v>0</v>
      </c>
    </row>
    <row r="87" spans="2:13" x14ac:dyDescent="0.25">
      <c r="B87" s="56" t="s">
        <v>272</v>
      </c>
      <c r="C87" s="31">
        <f>ROUND(C81-SUM(C82:C86),2)</f>
        <v>0</v>
      </c>
      <c r="D87" s="31">
        <f>ROUND(D81-SUM(D82:D86),2)</f>
        <v>0</v>
      </c>
      <c r="E87" s="31">
        <f t="shared" ref="E87:F87" si="35">ROUND(E81-SUM(E82:E86),2)</f>
        <v>0</v>
      </c>
      <c r="F87" s="31">
        <f t="shared" si="35"/>
        <v>0</v>
      </c>
      <c r="G87" s="124" t="str">
        <f t="shared" si="28"/>
        <v/>
      </c>
      <c r="H87" s="31">
        <f t="shared" si="29"/>
        <v>0</v>
      </c>
      <c r="I87" s="31">
        <f t="shared" ref="I87:J87" si="36">ROUND(I81-SUM(I82:I86),2)</f>
        <v>0</v>
      </c>
      <c r="J87" s="31">
        <f t="shared" si="36"/>
        <v>0</v>
      </c>
      <c r="K87" s="124" t="str">
        <f t="shared" si="30"/>
        <v/>
      </c>
      <c r="L87" s="31">
        <f t="shared" si="31"/>
        <v>0</v>
      </c>
      <c r="M87" s="32">
        <f t="shared" si="32"/>
        <v>0</v>
      </c>
    </row>
    <row r="88" spans="2:13" x14ac:dyDescent="0.25">
      <c r="B88" s="33" t="s">
        <v>323</v>
      </c>
      <c r="C88" s="31"/>
      <c r="D88" s="31"/>
      <c r="E88" s="31"/>
      <c r="F88" s="31"/>
      <c r="G88" s="124" t="str">
        <f t="shared" si="28"/>
        <v/>
      </c>
      <c r="H88" s="31">
        <f t="shared" si="29"/>
        <v>0</v>
      </c>
      <c r="I88" s="31"/>
      <c r="J88" s="31"/>
      <c r="K88" s="124" t="str">
        <f t="shared" si="30"/>
        <v/>
      </c>
      <c r="L88" s="31">
        <f t="shared" si="31"/>
        <v>0</v>
      </c>
      <c r="M88" s="32">
        <f t="shared" si="32"/>
        <v>0</v>
      </c>
    </row>
    <row r="89" spans="2:13" x14ac:dyDescent="0.25">
      <c r="B89" s="56" t="s">
        <v>324</v>
      </c>
      <c r="C89" s="31"/>
      <c r="D89" s="31"/>
      <c r="E89" s="31"/>
      <c r="F89" s="31"/>
      <c r="G89" s="124" t="str">
        <f t="shared" si="28"/>
        <v/>
      </c>
      <c r="H89" s="31">
        <f t="shared" si="29"/>
        <v>0</v>
      </c>
      <c r="I89" s="31"/>
      <c r="J89" s="31"/>
      <c r="K89" s="124" t="str">
        <f t="shared" si="30"/>
        <v/>
      </c>
      <c r="L89" s="31">
        <f t="shared" si="31"/>
        <v>0</v>
      </c>
      <c r="M89" s="32">
        <f t="shared" si="32"/>
        <v>0</v>
      </c>
    </row>
    <row r="90" spans="2:13" x14ac:dyDescent="0.25">
      <c r="B90" s="56" t="s">
        <v>325</v>
      </c>
      <c r="C90" s="31"/>
      <c r="D90" s="31"/>
      <c r="E90" s="31"/>
      <c r="F90" s="31"/>
      <c r="G90" s="124" t="str">
        <f t="shared" si="28"/>
        <v/>
      </c>
      <c r="H90" s="31">
        <f t="shared" si="29"/>
        <v>0</v>
      </c>
      <c r="I90" s="31"/>
      <c r="J90" s="31"/>
      <c r="K90" s="124" t="str">
        <f t="shared" si="30"/>
        <v/>
      </c>
      <c r="L90" s="31">
        <f t="shared" si="31"/>
        <v>0</v>
      </c>
      <c r="M90" s="32">
        <f t="shared" si="32"/>
        <v>0</v>
      </c>
    </row>
    <row r="91" spans="2:13" x14ac:dyDescent="0.25">
      <c r="B91" s="56" t="s">
        <v>326</v>
      </c>
      <c r="C91" s="31"/>
      <c r="D91" s="31"/>
      <c r="E91" s="31"/>
      <c r="F91" s="31"/>
      <c r="G91" s="124" t="str">
        <f t="shared" si="28"/>
        <v/>
      </c>
      <c r="H91" s="31">
        <f t="shared" si="29"/>
        <v>0</v>
      </c>
      <c r="I91" s="31"/>
      <c r="J91" s="31"/>
      <c r="K91" s="124" t="str">
        <f t="shared" si="30"/>
        <v/>
      </c>
      <c r="L91" s="31">
        <f t="shared" si="31"/>
        <v>0</v>
      </c>
      <c r="M91" s="32">
        <f t="shared" si="32"/>
        <v>0</v>
      </c>
    </row>
    <row r="92" spans="2:13" x14ac:dyDescent="0.25">
      <c r="B92" s="56" t="s">
        <v>327</v>
      </c>
      <c r="C92" s="31"/>
      <c r="D92" s="31"/>
      <c r="E92" s="31"/>
      <c r="F92" s="31"/>
      <c r="G92" s="124" t="str">
        <f t="shared" si="28"/>
        <v/>
      </c>
      <c r="H92" s="31">
        <f t="shared" si="29"/>
        <v>0</v>
      </c>
      <c r="I92" s="31"/>
      <c r="J92" s="31"/>
      <c r="K92" s="124" t="str">
        <f t="shared" si="30"/>
        <v/>
      </c>
      <c r="L92" s="31">
        <f t="shared" si="31"/>
        <v>0</v>
      </c>
      <c r="M92" s="32">
        <f t="shared" si="32"/>
        <v>0</v>
      </c>
    </row>
    <row r="93" spans="2:13" x14ac:dyDescent="0.25">
      <c r="B93" s="56" t="s">
        <v>328</v>
      </c>
      <c r="C93" s="31"/>
      <c r="D93" s="31"/>
      <c r="E93" s="31"/>
      <c r="F93" s="31"/>
      <c r="G93" s="124" t="str">
        <f t="shared" si="28"/>
        <v/>
      </c>
      <c r="H93" s="31">
        <f t="shared" si="29"/>
        <v>0</v>
      </c>
      <c r="I93" s="31"/>
      <c r="J93" s="31"/>
      <c r="K93" s="124" t="str">
        <f t="shared" si="30"/>
        <v/>
      </c>
      <c r="L93" s="31">
        <f t="shared" si="31"/>
        <v>0</v>
      </c>
      <c r="M93" s="32">
        <f t="shared" si="32"/>
        <v>0</v>
      </c>
    </row>
    <row r="94" spans="2:13" x14ac:dyDescent="0.25">
      <c r="B94" s="56" t="s">
        <v>329</v>
      </c>
      <c r="C94" s="31"/>
      <c r="D94" s="31"/>
      <c r="E94" s="31"/>
      <c r="F94" s="31"/>
      <c r="G94" s="124" t="str">
        <f t="shared" si="28"/>
        <v/>
      </c>
      <c r="H94" s="31">
        <f t="shared" si="29"/>
        <v>0</v>
      </c>
      <c r="I94" s="31"/>
      <c r="J94" s="31"/>
      <c r="K94" s="124" t="str">
        <f t="shared" si="30"/>
        <v/>
      </c>
      <c r="L94" s="31">
        <f t="shared" si="31"/>
        <v>0</v>
      </c>
      <c r="M94" s="32">
        <f t="shared" si="32"/>
        <v>0</v>
      </c>
    </row>
    <row r="95" spans="2:13" x14ac:dyDescent="0.25">
      <c r="B95" s="56" t="s">
        <v>330</v>
      </c>
      <c r="C95" s="31"/>
      <c r="D95" s="31"/>
      <c r="E95" s="31"/>
      <c r="F95" s="31"/>
      <c r="G95" s="124" t="str">
        <f t="shared" si="28"/>
        <v/>
      </c>
      <c r="H95" s="31">
        <f t="shared" si="29"/>
        <v>0</v>
      </c>
      <c r="I95" s="31"/>
      <c r="J95" s="31"/>
      <c r="K95" s="124" t="str">
        <f t="shared" si="30"/>
        <v/>
      </c>
      <c r="L95" s="31">
        <f t="shared" si="31"/>
        <v>0</v>
      </c>
      <c r="M95" s="32">
        <f t="shared" si="32"/>
        <v>0</v>
      </c>
    </row>
    <row r="96" spans="2:13" x14ac:dyDescent="0.25">
      <c r="B96" s="56" t="s">
        <v>331</v>
      </c>
      <c r="C96" s="31"/>
      <c r="D96" s="31"/>
      <c r="E96" s="31"/>
      <c r="F96" s="31"/>
      <c r="G96" s="124" t="str">
        <f t="shared" si="28"/>
        <v/>
      </c>
      <c r="H96" s="31">
        <f t="shared" si="29"/>
        <v>0</v>
      </c>
      <c r="I96" s="31"/>
      <c r="J96" s="31"/>
      <c r="K96" s="124" t="str">
        <f t="shared" si="30"/>
        <v/>
      </c>
      <c r="L96" s="31">
        <f t="shared" si="31"/>
        <v>0</v>
      </c>
      <c r="M96" s="32">
        <f t="shared" si="32"/>
        <v>0</v>
      </c>
    </row>
    <row r="97" spans="2:13" x14ac:dyDescent="0.25">
      <c r="B97" s="56" t="s">
        <v>271</v>
      </c>
      <c r="C97" s="31"/>
      <c r="D97" s="31"/>
      <c r="E97" s="31"/>
      <c r="F97" s="31"/>
      <c r="G97" s="124" t="str">
        <f t="shared" si="28"/>
        <v/>
      </c>
      <c r="H97" s="31">
        <f t="shared" si="29"/>
        <v>0</v>
      </c>
      <c r="I97" s="31"/>
      <c r="J97" s="31"/>
      <c r="K97" s="124" t="str">
        <f t="shared" si="30"/>
        <v/>
      </c>
      <c r="L97" s="31">
        <f t="shared" si="31"/>
        <v>0</v>
      </c>
      <c r="M97" s="32">
        <f t="shared" si="32"/>
        <v>0</v>
      </c>
    </row>
    <row r="98" spans="2:13" x14ac:dyDescent="0.25">
      <c r="B98" s="56" t="s">
        <v>272</v>
      </c>
      <c r="C98" s="31">
        <f>ROUND(C88-SUM(C89:C97),2)</f>
        <v>0</v>
      </c>
      <c r="D98" s="31">
        <f>ROUND(D88-SUM(D89:D97),2)</f>
        <v>0</v>
      </c>
      <c r="E98" s="31">
        <f t="shared" ref="E98:F98" si="37">ROUND(E88-SUM(E89:E97),2)</f>
        <v>0</v>
      </c>
      <c r="F98" s="31">
        <f t="shared" si="37"/>
        <v>0</v>
      </c>
      <c r="G98" s="124" t="str">
        <f t="shared" si="28"/>
        <v/>
      </c>
      <c r="H98" s="31">
        <f t="shared" si="29"/>
        <v>0</v>
      </c>
      <c r="I98" s="31">
        <f t="shared" ref="I98:J98" si="38">ROUND(I88-SUM(I89:I97),2)</f>
        <v>0</v>
      </c>
      <c r="J98" s="31">
        <f t="shared" si="38"/>
        <v>0</v>
      </c>
      <c r="K98" s="124" t="str">
        <f t="shared" si="30"/>
        <v/>
      </c>
      <c r="L98" s="31">
        <f t="shared" si="31"/>
        <v>0</v>
      </c>
      <c r="M98" s="32">
        <f t="shared" si="32"/>
        <v>0</v>
      </c>
    </row>
    <row r="99" spans="2:13" x14ac:dyDescent="0.25">
      <c r="B99" s="33" t="s">
        <v>332</v>
      </c>
      <c r="C99" s="31"/>
      <c r="D99" s="31"/>
      <c r="E99" s="31"/>
      <c r="F99" s="31"/>
      <c r="G99" s="124" t="str">
        <f t="shared" si="28"/>
        <v/>
      </c>
      <c r="H99" s="31">
        <f t="shared" si="29"/>
        <v>0</v>
      </c>
      <c r="I99" s="31"/>
      <c r="J99" s="31"/>
      <c r="K99" s="124" t="str">
        <f t="shared" si="30"/>
        <v/>
      </c>
      <c r="L99" s="31">
        <f t="shared" si="31"/>
        <v>0</v>
      </c>
      <c r="M99" s="32">
        <f t="shared" si="32"/>
        <v>0</v>
      </c>
    </row>
    <row r="100" spans="2:13" x14ac:dyDescent="0.25">
      <c r="B100" s="34" t="s">
        <v>333</v>
      </c>
      <c r="C100" s="31"/>
      <c r="D100" s="31"/>
      <c r="E100" s="31"/>
      <c r="F100" s="31"/>
      <c r="G100" s="124" t="str">
        <f t="shared" si="28"/>
        <v/>
      </c>
      <c r="H100" s="31">
        <f t="shared" si="29"/>
        <v>0</v>
      </c>
      <c r="I100" s="31"/>
      <c r="J100" s="31"/>
      <c r="K100" s="124" t="str">
        <f t="shared" si="30"/>
        <v/>
      </c>
      <c r="L100" s="31">
        <f t="shared" si="31"/>
        <v>0</v>
      </c>
      <c r="M100" s="32">
        <f t="shared" si="32"/>
        <v>0</v>
      </c>
    </row>
    <row r="101" spans="2:13" x14ac:dyDescent="0.25">
      <c r="B101" s="34" t="s">
        <v>334</v>
      </c>
      <c r="C101" s="31"/>
      <c r="D101" s="31"/>
      <c r="E101" s="31"/>
      <c r="F101" s="31"/>
      <c r="G101" s="124" t="str">
        <f t="shared" si="28"/>
        <v/>
      </c>
      <c r="H101" s="31">
        <f t="shared" si="29"/>
        <v>0</v>
      </c>
      <c r="I101" s="31"/>
      <c r="J101" s="31"/>
      <c r="K101" s="124" t="str">
        <f t="shared" si="30"/>
        <v/>
      </c>
      <c r="L101" s="31">
        <f t="shared" si="31"/>
        <v>0</v>
      </c>
      <c r="M101" s="32">
        <f t="shared" si="32"/>
        <v>0</v>
      </c>
    </row>
    <row r="102" spans="2:13" x14ac:dyDescent="0.25">
      <c r="B102" s="34" t="s">
        <v>271</v>
      </c>
      <c r="C102" s="31"/>
      <c r="D102" s="31"/>
      <c r="E102" s="31"/>
      <c r="F102" s="31"/>
      <c r="G102" s="124" t="str">
        <f t="shared" si="28"/>
        <v/>
      </c>
      <c r="H102" s="31">
        <f t="shared" si="29"/>
        <v>0</v>
      </c>
      <c r="I102" s="31"/>
      <c r="J102" s="31"/>
      <c r="K102" s="124" t="str">
        <f t="shared" si="30"/>
        <v/>
      </c>
      <c r="L102" s="31">
        <f t="shared" si="31"/>
        <v>0</v>
      </c>
      <c r="M102" s="32">
        <f t="shared" si="32"/>
        <v>0</v>
      </c>
    </row>
    <row r="103" spans="2:13" x14ac:dyDescent="0.25">
      <c r="B103" s="34" t="s">
        <v>272</v>
      </c>
      <c r="C103" s="31">
        <f>ROUND(C99-SUM(C100:C102),2)</f>
        <v>0</v>
      </c>
      <c r="D103" s="31">
        <f>ROUND(D99-SUM(D100:D102),2)</f>
        <v>0</v>
      </c>
      <c r="E103" s="31">
        <f t="shared" ref="E103:F103" si="39">ROUND(E99-SUM(E100:E102),2)</f>
        <v>0</v>
      </c>
      <c r="F103" s="31">
        <f t="shared" si="39"/>
        <v>0</v>
      </c>
      <c r="G103" s="124" t="str">
        <f t="shared" si="28"/>
        <v/>
      </c>
      <c r="H103" s="31">
        <f t="shared" si="29"/>
        <v>0</v>
      </c>
      <c r="I103" s="31">
        <f t="shared" ref="I103:J103" si="40">ROUND(I99-SUM(I100:I102),2)</f>
        <v>0</v>
      </c>
      <c r="J103" s="31">
        <f t="shared" si="40"/>
        <v>0</v>
      </c>
      <c r="K103" s="124" t="str">
        <f t="shared" si="30"/>
        <v/>
      </c>
      <c r="L103" s="31">
        <f t="shared" si="31"/>
        <v>0</v>
      </c>
      <c r="M103" s="32">
        <f t="shared" si="32"/>
        <v>0</v>
      </c>
    </row>
    <row r="104" spans="2:13" x14ac:dyDescent="0.25">
      <c r="B104" s="33" t="s">
        <v>335</v>
      </c>
      <c r="C104" s="31"/>
      <c r="D104" s="31"/>
      <c r="E104" s="31"/>
      <c r="F104" s="31"/>
      <c r="G104" s="124" t="str">
        <f t="shared" si="28"/>
        <v/>
      </c>
      <c r="H104" s="31">
        <f t="shared" si="29"/>
        <v>0</v>
      </c>
      <c r="I104" s="31"/>
      <c r="J104" s="31"/>
      <c r="K104" s="124" t="str">
        <f t="shared" si="30"/>
        <v/>
      </c>
      <c r="L104" s="31">
        <f t="shared" si="31"/>
        <v>0</v>
      </c>
      <c r="M104" s="32">
        <f t="shared" si="32"/>
        <v>0</v>
      </c>
    </row>
    <row r="105" spans="2:13" x14ac:dyDescent="0.25">
      <c r="B105" s="34" t="s">
        <v>336</v>
      </c>
      <c r="C105" s="31"/>
      <c r="D105" s="31"/>
      <c r="E105" s="31"/>
      <c r="F105" s="31"/>
      <c r="G105" s="124" t="str">
        <f t="shared" si="28"/>
        <v/>
      </c>
      <c r="H105" s="31">
        <f t="shared" si="29"/>
        <v>0</v>
      </c>
      <c r="I105" s="31"/>
      <c r="J105" s="31"/>
      <c r="K105" s="124" t="str">
        <f t="shared" si="30"/>
        <v/>
      </c>
      <c r="L105" s="31">
        <f t="shared" si="31"/>
        <v>0</v>
      </c>
      <c r="M105" s="32">
        <f t="shared" si="32"/>
        <v>0</v>
      </c>
    </row>
    <row r="106" spans="2:13" x14ac:dyDescent="0.25">
      <c r="B106" s="34" t="s">
        <v>337</v>
      </c>
      <c r="C106" s="31"/>
      <c r="D106" s="31"/>
      <c r="E106" s="31"/>
      <c r="F106" s="31"/>
      <c r="G106" s="124" t="str">
        <f t="shared" si="28"/>
        <v/>
      </c>
      <c r="H106" s="31">
        <f t="shared" si="29"/>
        <v>0</v>
      </c>
      <c r="I106" s="31"/>
      <c r="J106" s="31"/>
      <c r="K106" s="124" t="str">
        <f t="shared" si="30"/>
        <v/>
      </c>
      <c r="L106" s="31">
        <f t="shared" si="31"/>
        <v>0</v>
      </c>
      <c r="M106" s="32">
        <f t="shared" si="32"/>
        <v>0</v>
      </c>
    </row>
    <row r="107" spans="2:13" x14ac:dyDescent="0.25">
      <c r="B107" s="34" t="s">
        <v>338</v>
      </c>
      <c r="C107" s="31"/>
      <c r="D107" s="31"/>
      <c r="E107" s="31"/>
      <c r="F107" s="31"/>
      <c r="G107" s="124" t="str">
        <f t="shared" si="28"/>
        <v/>
      </c>
      <c r="H107" s="31">
        <f t="shared" si="29"/>
        <v>0</v>
      </c>
      <c r="I107" s="31"/>
      <c r="J107" s="31"/>
      <c r="K107" s="124" t="str">
        <f t="shared" si="30"/>
        <v/>
      </c>
      <c r="L107" s="31">
        <f t="shared" si="31"/>
        <v>0</v>
      </c>
      <c r="M107" s="32">
        <f t="shared" si="32"/>
        <v>0</v>
      </c>
    </row>
    <row r="108" spans="2:13" x14ac:dyDescent="0.25">
      <c r="B108" s="34" t="s">
        <v>271</v>
      </c>
      <c r="C108" s="31"/>
      <c r="D108" s="31"/>
      <c r="E108" s="31"/>
      <c r="F108" s="31"/>
      <c r="G108" s="124" t="str">
        <f t="shared" ref="G108:G139" si="41">IFERROR(ROUND(F108/F$206,4),"")</f>
        <v/>
      </c>
      <c r="H108" s="31">
        <f t="shared" ref="H108:H139" si="42">D108-F108</f>
        <v>0</v>
      </c>
      <c r="I108" s="31"/>
      <c r="J108" s="31"/>
      <c r="K108" s="124" t="str">
        <f t="shared" ref="K108:K139" si="43">IFERROR(ROUND(J108/J$206,4),"")</f>
        <v/>
      </c>
      <c r="L108" s="31">
        <f t="shared" ref="L108:L139" si="44">D108-J108</f>
        <v>0</v>
      </c>
      <c r="M108" s="32">
        <f t="shared" ref="M108:M139" si="45">IF(MONTH(paramDataBase)=12,F108-J108,0)</f>
        <v>0</v>
      </c>
    </row>
    <row r="109" spans="2:13" x14ac:dyDescent="0.25">
      <c r="B109" s="34" t="s">
        <v>272</v>
      </c>
      <c r="C109" s="31">
        <f>ROUND(C104-SUM(C105:C108),2)</f>
        <v>0</v>
      </c>
      <c r="D109" s="31">
        <f>ROUND(D104-SUM(D105:D108),2)</f>
        <v>0</v>
      </c>
      <c r="E109" s="31">
        <f t="shared" ref="E109:F109" si="46">ROUND(E104-SUM(E105:E108),2)</f>
        <v>0</v>
      </c>
      <c r="F109" s="31">
        <f t="shared" si="46"/>
        <v>0</v>
      </c>
      <c r="G109" s="124" t="str">
        <f t="shared" si="41"/>
        <v/>
      </c>
      <c r="H109" s="31">
        <f t="shared" si="42"/>
        <v>0</v>
      </c>
      <c r="I109" s="31">
        <f t="shared" ref="I109:J109" si="47">ROUND(I104-SUM(I105:I108),2)</f>
        <v>0</v>
      </c>
      <c r="J109" s="31">
        <f t="shared" si="47"/>
        <v>0</v>
      </c>
      <c r="K109" s="124" t="str">
        <f t="shared" si="43"/>
        <v/>
      </c>
      <c r="L109" s="31">
        <f t="shared" si="44"/>
        <v>0</v>
      </c>
      <c r="M109" s="32">
        <f t="shared" si="45"/>
        <v>0</v>
      </c>
    </row>
    <row r="110" spans="2:13" x14ac:dyDescent="0.25">
      <c r="B110" s="33" t="s">
        <v>339</v>
      </c>
      <c r="C110" s="31"/>
      <c r="D110" s="31"/>
      <c r="E110" s="31"/>
      <c r="F110" s="31"/>
      <c r="G110" s="124" t="str">
        <f t="shared" si="41"/>
        <v/>
      </c>
      <c r="H110" s="31">
        <f t="shared" si="42"/>
        <v>0</v>
      </c>
      <c r="I110" s="31"/>
      <c r="J110" s="31"/>
      <c r="K110" s="124" t="str">
        <f t="shared" si="43"/>
        <v/>
      </c>
      <c r="L110" s="31">
        <f t="shared" si="44"/>
        <v>0</v>
      </c>
      <c r="M110" s="32">
        <f t="shared" si="45"/>
        <v>0</v>
      </c>
    </row>
    <row r="111" spans="2:13" x14ac:dyDescent="0.25">
      <c r="B111" s="34" t="s">
        <v>340</v>
      </c>
      <c r="C111" s="31"/>
      <c r="D111" s="31"/>
      <c r="E111" s="31"/>
      <c r="F111" s="31"/>
      <c r="G111" s="124" t="str">
        <f t="shared" si="41"/>
        <v/>
      </c>
      <c r="H111" s="31">
        <f t="shared" si="42"/>
        <v>0</v>
      </c>
      <c r="I111" s="31"/>
      <c r="J111" s="31"/>
      <c r="K111" s="124" t="str">
        <f t="shared" si="43"/>
        <v/>
      </c>
      <c r="L111" s="31">
        <f t="shared" si="44"/>
        <v>0</v>
      </c>
      <c r="M111" s="32">
        <f t="shared" si="45"/>
        <v>0</v>
      </c>
    </row>
    <row r="112" spans="2:13" x14ac:dyDescent="0.25">
      <c r="B112" s="34" t="s">
        <v>341</v>
      </c>
      <c r="C112" s="31"/>
      <c r="D112" s="31"/>
      <c r="E112" s="31"/>
      <c r="F112" s="31"/>
      <c r="G112" s="124" t="str">
        <f t="shared" si="41"/>
        <v/>
      </c>
      <c r="H112" s="31">
        <f t="shared" si="42"/>
        <v>0</v>
      </c>
      <c r="I112" s="31"/>
      <c r="J112" s="31"/>
      <c r="K112" s="124" t="str">
        <f t="shared" si="43"/>
        <v/>
      </c>
      <c r="L112" s="31">
        <f t="shared" si="44"/>
        <v>0</v>
      </c>
      <c r="M112" s="32">
        <f t="shared" si="45"/>
        <v>0</v>
      </c>
    </row>
    <row r="113" spans="2:13" x14ac:dyDescent="0.25">
      <c r="B113" s="34" t="s">
        <v>342</v>
      </c>
      <c r="C113" s="31"/>
      <c r="D113" s="31"/>
      <c r="E113" s="31"/>
      <c r="F113" s="31"/>
      <c r="G113" s="124" t="str">
        <f t="shared" si="41"/>
        <v/>
      </c>
      <c r="H113" s="31">
        <f t="shared" si="42"/>
        <v>0</v>
      </c>
      <c r="I113" s="31"/>
      <c r="J113" s="31"/>
      <c r="K113" s="124" t="str">
        <f t="shared" si="43"/>
        <v/>
      </c>
      <c r="L113" s="31">
        <f t="shared" si="44"/>
        <v>0</v>
      </c>
      <c r="M113" s="32">
        <f t="shared" si="45"/>
        <v>0</v>
      </c>
    </row>
    <row r="114" spans="2:13" x14ac:dyDescent="0.25">
      <c r="B114" s="34" t="s">
        <v>271</v>
      </c>
      <c r="C114" s="31"/>
      <c r="D114" s="31"/>
      <c r="E114" s="31"/>
      <c r="F114" s="31"/>
      <c r="G114" s="124" t="str">
        <f t="shared" si="41"/>
        <v/>
      </c>
      <c r="H114" s="31">
        <f t="shared" si="42"/>
        <v>0</v>
      </c>
      <c r="I114" s="31"/>
      <c r="J114" s="31"/>
      <c r="K114" s="124" t="str">
        <f t="shared" si="43"/>
        <v/>
      </c>
      <c r="L114" s="31">
        <f t="shared" si="44"/>
        <v>0</v>
      </c>
      <c r="M114" s="32">
        <f t="shared" si="45"/>
        <v>0</v>
      </c>
    </row>
    <row r="115" spans="2:13" x14ac:dyDescent="0.25">
      <c r="B115" s="34" t="s">
        <v>272</v>
      </c>
      <c r="C115" s="31">
        <f>ROUND(C110-SUM(C111:C114),2)</f>
        <v>0</v>
      </c>
      <c r="D115" s="31">
        <f>ROUND(D110-SUM(D111:D114),2)</f>
        <v>0</v>
      </c>
      <c r="E115" s="31">
        <f t="shared" ref="E115:F115" si="48">ROUND(E110-SUM(E111:E114),2)</f>
        <v>0</v>
      </c>
      <c r="F115" s="31">
        <f t="shared" si="48"/>
        <v>0</v>
      </c>
      <c r="G115" s="124" t="str">
        <f t="shared" si="41"/>
        <v/>
      </c>
      <c r="H115" s="31">
        <f t="shared" si="42"/>
        <v>0</v>
      </c>
      <c r="I115" s="31">
        <f t="shared" ref="I115:J115" si="49">ROUND(I110-SUM(I111:I114),2)</f>
        <v>0</v>
      </c>
      <c r="J115" s="31">
        <f t="shared" si="49"/>
        <v>0</v>
      </c>
      <c r="K115" s="124" t="str">
        <f t="shared" si="43"/>
        <v/>
      </c>
      <c r="L115" s="31">
        <f t="shared" si="44"/>
        <v>0</v>
      </c>
      <c r="M115" s="32">
        <f t="shared" si="45"/>
        <v>0</v>
      </c>
    </row>
    <row r="116" spans="2:13" x14ac:dyDescent="0.25">
      <c r="B116" s="33" t="s">
        <v>343</v>
      </c>
      <c r="C116" s="31"/>
      <c r="D116" s="31"/>
      <c r="E116" s="31"/>
      <c r="F116" s="31"/>
      <c r="G116" s="124" t="str">
        <f t="shared" si="41"/>
        <v/>
      </c>
      <c r="H116" s="31">
        <f t="shared" si="42"/>
        <v>0</v>
      </c>
      <c r="I116" s="31"/>
      <c r="J116" s="31"/>
      <c r="K116" s="124" t="str">
        <f t="shared" si="43"/>
        <v/>
      </c>
      <c r="L116" s="31">
        <f t="shared" si="44"/>
        <v>0</v>
      </c>
      <c r="M116" s="32">
        <f t="shared" si="45"/>
        <v>0</v>
      </c>
    </row>
    <row r="117" spans="2:13" x14ac:dyDescent="0.25">
      <c r="B117" s="34" t="s">
        <v>344</v>
      </c>
      <c r="C117" s="31"/>
      <c r="D117" s="31"/>
      <c r="E117" s="31"/>
      <c r="F117" s="31"/>
      <c r="G117" s="124" t="str">
        <f t="shared" si="41"/>
        <v/>
      </c>
      <c r="H117" s="31">
        <f t="shared" si="42"/>
        <v>0</v>
      </c>
      <c r="I117" s="31"/>
      <c r="J117" s="31"/>
      <c r="K117" s="124" t="str">
        <f t="shared" si="43"/>
        <v/>
      </c>
      <c r="L117" s="31">
        <f t="shared" si="44"/>
        <v>0</v>
      </c>
      <c r="M117" s="32">
        <f t="shared" si="45"/>
        <v>0</v>
      </c>
    </row>
    <row r="118" spans="2:13" x14ac:dyDescent="0.25">
      <c r="B118" s="34" t="s">
        <v>345</v>
      </c>
      <c r="C118" s="31"/>
      <c r="D118" s="31"/>
      <c r="E118" s="31"/>
      <c r="F118" s="31"/>
      <c r="G118" s="124" t="str">
        <f t="shared" si="41"/>
        <v/>
      </c>
      <c r="H118" s="31">
        <f t="shared" si="42"/>
        <v>0</v>
      </c>
      <c r="I118" s="31"/>
      <c r="J118" s="31"/>
      <c r="K118" s="124" t="str">
        <f t="shared" si="43"/>
        <v/>
      </c>
      <c r="L118" s="31">
        <f t="shared" si="44"/>
        <v>0</v>
      </c>
      <c r="M118" s="32">
        <f t="shared" si="45"/>
        <v>0</v>
      </c>
    </row>
    <row r="119" spans="2:13" x14ac:dyDescent="0.25">
      <c r="B119" s="34" t="s">
        <v>271</v>
      </c>
      <c r="C119" s="31"/>
      <c r="D119" s="31"/>
      <c r="E119" s="31"/>
      <c r="F119" s="31"/>
      <c r="G119" s="124" t="str">
        <f t="shared" si="41"/>
        <v/>
      </c>
      <c r="H119" s="31">
        <f t="shared" si="42"/>
        <v>0</v>
      </c>
      <c r="I119" s="31"/>
      <c r="J119" s="31"/>
      <c r="K119" s="124" t="str">
        <f t="shared" si="43"/>
        <v/>
      </c>
      <c r="L119" s="31">
        <f t="shared" si="44"/>
        <v>0</v>
      </c>
      <c r="M119" s="32">
        <f t="shared" si="45"/>
        <v>0</v>
      </c>
    </row>
    <row r="120" spans="2:13" x14ac:dyDescent="0.25">
      <c r="B120" s="34" t="s">
        <v>272</v>
      </c>
      <c r="C120" s="31">
        <f>ROUND(C116-SUM(C117:C119),2)</f>
        <v>0</v>
      </c>
      <c r="D120" s="31">
        <f>ROUND(D116-SUM(D117:D119),2)</f>
        <v>0</v>
      </c>
      <c r="E120" s="31">
        <f t="shared" ref="E120:F120" si="50">ROUND(E116-SUM(E117:E119),2)</f>
        <v>0</v>
      </c>
      <c r="F120" s="31">
        <f t="shared" si="50"/>
        <v>0</v>
      </c>
      <c r="G120" s="124" t="str">
        <f t="shared" si="41"/>
        <v/>
      </c>
      <c r="H120" s="31">
        <f t="shared" si="42"/>
        <v>0</v>
      </c>
      <c r="I120" s="31">
        <f t="shared" ref="I120:J120" si="51">ROUND(I116-SUM(I117:I119),2)</f>
        <v>0</v>
      </c>
      <c r="J120" s="31">
        <f t="shared" si="51"/>
        <v>0</v>
      </c>
      <c r="K120" s="124" t="str">
        <f t="shared" si="43"/>
        <v/>
      </c>
      <c r="L120" s="31">
        <f t="shared" si="44"/>
        <v>0</v>
      </c>
      <c r="M120" s="32">
        <f t="shared" si="45"/>
        <v>0</v>
      </c>
    </row>
    <row r="121" spans="2:13" x14ac:dyDescent="0.25">
      <c r="B121" s="33" t="s">
        <v>346</v>
      </c>
      <c r="C121" s="31"/>
      <c r="D121" s="31"/>
      <c r="E121" s="31"/>
      <c r="F121" s="31"/>
      <c r="G121" s="124" t="str">
        <f t="shared" si="41"/>
        <v/>
      </c>
      <c r="H121" s="31">
        <f t="shared" si="42"/>
        <v>0</v>
      </c>
      <c r="I121" s="31"/>
      <c r="J121" s="31"/>
      <c r="K121" s="124" t="str">
        <f t="shared" si="43"/>
        <v/>
      </c>
      <c r="L121" s="31">
        <f t="shared" si="44"/>
        <v>0</v>
      </c>
      <c r="M121" s="32">
        <f t="shared" si="45"/>
        <v>0</v>
      </c>
    </row>
    <row r="122" spans="2:13" x14ac:dyDescent="0.25">
      <c r="B122" s="34" t="s">
        <v>347</v>
      </c>
      <c r="C122" s="31"/>
      <c r="D122" s="31"/>
      <c r="E122" s="31"/>
      <c r="F122" s="31"/>
      <c r="G122" s="124" t="str">
        <f t="shared" si="41"/>
        <v/>
      </c>
      <c r="H122" s="31">
        <f t="shared" si="42"/>
        <v>0</v>
      </c>
      <c r="I122" s="31"/>
      <c r="J122" s="31"/>
      <c r="K122" s="124" t="str">
        <f t="shared" si="43"/>
        <v/>
      </c>
      <c r="L122" s="31">
        <f t="shared" si="44"/>
        <v>0</v>
      </c>
      <c r="M122" s="32">
        <f t="shared" si="45"/>
        <v>0</v>
      </c>
    </row>
    <row r="123" spans="2:13" x14ac:dyDescent="0.25">
      <c r="B123" s="34" t="s">
        <v>348</v>
      </c>
      <c r="C123" s="31"/>
      <c r="D123" s="31"/>
      <c r="E123" s="31"/>
      <c r="F123" s="31"/>
      <c r="G123" s="124" t="str">
        <f t="shared" si="41"/>
        <v/>
      </c>
      <c r="H123" s="31">
        <f t="shared" si="42"/>
        <v>0</v>
      </c>
      <c r="I123" s="31"/>
      <c r="J123" s="31"/>
      <c r="K123" s="124" t="str">
        <f t="shared" si="43"/>
        <v/>
      </c>
      <c r="L123" s="31">
        <f t="shared" si="44"/>
        <v>0</v>
      </c>
      <c r="M123" s="32">
        <f t="shared" si="45"/>
        <v>0</v>
      </c>
    </row>
    <row r="124" spans="2:13" x14ac:dyDescent="0.25">
      <c r="B124" s="34" t="s">
        <v>271</v>
      </c>
      <c r="C124" s="31"/>
      <c r="D124" s="31"/>
      <c r="E124" s="31"/>
      <c r="F124" s="31"/>
      <c r="G124" s="124" t="str">
        <f t="shared" si="41"/>
        <v/>
      </c>
      <c r="H124" s="31">
        <f t="shared" si="42"/>
        <v>0</v>
      </c>
      <c r="I124" s="31"/>
      <c r="J124" s="31"/>
      <c r="K124" s="124" t="str">
        <f t="shared" si="43"/>
        <v/>
      </c>
      <c r="L124" s="31">
        <f t="shared" si="44"/>
        <v>0</v>
      </c>
      <c r="M124" s="32">
        <f t="shared" si="45"/>
        <v>0</v>
      </c>
    </row>
    <row r="125" spans="2:13" x14ac:dyDescent="0.25">
      <c r="B125" s="34" t="s">
        <v>272</v>
      </c>
      <c r="C125" s="31">
        <f>ROUND(C121-SUM(C122:C124),2)</f>
        <v>0</v>
      </c>
      <c r="D125" s="31">
        <f>ROUND(D121-SUM(D122:D124),2)</f>
        <v>0</v>
      </c>
      <c r="E125" s="31">
        <f t="shared" ref="E125:F125" si="52">ROUND(E121-SUM(E122:E124),2)</f>
        <v>0</v>
      </c>
      <c r="F125" s="31">
        <f t="shared" si="52"/>
        <v>0</v>
      </c>
      <c r="G125" s="124" t="str">
        <f t="shared" si="41"/>
        <v/>
      </c>
      <c r="H125" s="31">
        <f t="shared" si="42"/>
        <v>0</v>
      </c>
      <c r="I125" s="31">
        <f t="shared" ref="I125:J125" si="53">ROUND(I121-SUM(I122:I124),2)</f>
        <v>0</v>
      </c>
      <c r="J125" s="31">
        <f t="shared" si="53"/>
        <v>0</v>
      </c>
      <c r="K125" s="124" t="str">
        <f t="shared" si="43"/>
        <v/>
      </c>
      <c r="L125" s="31">
        <f t="shared" si="44"/>
        <v>0</v>
      </c>
      <c r="M125" s="32">
        <f t="shared" si="45"/>
        <v>0</v>
      </c>
    </row>
    <row r="126" spans="2:13" x14ac:dyDescent="0.25">
      <c r="B126" s="33" t="s">
        <v>349</v>
      </c>
      <c r="C126" s="31"/>
      <c r="D126" s="31"/>
      <c r="E126" s="31"/>
      <c r="F126" s="31"/>
      <c r="G126" s="124" t="str">
        <f t="shared" si="41"/>
        <v/>
      </c>
      <c r="H126" s="31">
        <f t="shared" si="42"/>
        <v>0</v>
      </c>
      <c r="I126" s="31"/>
      <c r="J126" s="31"/>
      <c r="K126" s="124" t="str">
        <f t="shared" si="43"/>
        <v/>
      </c>
      <c r="L126" s="31">
        <f t="shared" si="44"/>
        <v>0</v>
      </c>
      <c r="M126" s="32">
        <f t="shared" si="45"/>
        <v>0</v>
      </c>
    </row>
    <row r="127" spans="2:13" x14ac:dyDescent="0.25">
      <c r="B127" s="34" t="s">
        <v>350</v>
      </c>
      <c r="C127" s="31"/>
      <c r="D127" s="31"/>
      <c r="E127" s="31"/>
      <c r="F127" s="31"/>
      <c r="G127" s="124" t="str">
        <f t="shared" si="41"/>
        <v/>
      </c>
      <c r="H127" s="31">
        <f t="shared" si="42"/>
        <v>0</v>
      </c>
      <c r="I127" s="31"/>
      <c r="J127" s="31"/>
      <c r="K127" s="124" t="str">
        <f t="shared" si="43"/>
        <v/>
      </c>
      <c r="L127" s="31">
        <f t="shared" si="44"/>
        <v>0</v>
      </c>
      <c r="M127" s="32">
        <f t="shared" si="45"/>
        <v>0</v>
      </c>
    </row>
    <row r="128" spans="2:13" x14ac:dyDescent="0.25">
      <c r="B128" s="34" t="s">
        <v>351</v>
      </c>
      <c r="C128" s="31"/>
      <c r="D128" s="31"/>
      <c r="E128" s="31"/>
      <c r="F128" s="31"/>
      <c r="G128" s="124" t="str">
        <f t="shared" si="41"/>
        <v/>
      </c>
      <c r="H128" s="31">
        <f t="shared" si="42"/>
        <v>0</v>
      </c>
      <c r="I128" s="31"/>
      <c r="J128" s="31"/>
      <c r="K128" s="124" t="str">
        <f t="shared" si="43"/>
        <v/>
      </c>
      <c r="L128" s="31">
        <f t="shared" si="44"/>
        <v>0</v>
      </c>
      <c r="M128" s="32">
        <f t="shared" si="45"/>
        <v>0</v>
      </c>
    </row>
    <row r="129" spans="2:13" x14ac:dyDescent="0.25">
      <c r="B129" s="34" t="s">
        <v>352</v>
      </c>
      <c r="C129" s="31"/>
      <c r="D129" s="31"/>
      <c r="E129" s="31"/>
      <c r="F129" s="31"/>
      <c r="G129" s="124" t="str">
        <f t="shared" si="41"/>
        <v/>
      </c>
      <c r="H129" s="31">
        <f t="shared" si="42"/>
        <v>0</v>
      </c>
      <c r="I129" s="31"/>
      <c r="J129" s="31"/>
      <c r="K129" s="124" t="str">
        <f t="shared" si="43"/>
        <v/>
      </c>
      <c r="L129" s="31">
        <f t="shared" si="44"/>
        <v>0</v>
      </c>
      <c r="M129" s="32">
        <f t="shared" si="45"/>
        <v>0</v>
      </c>
    </row>
    <row r="130" spans="2:13" x14ac:dyDescent="0.25">
      <c r="B130" s="34" t="s">
        <v>353</v>
      </c>
      <c r="C130" s="31"/>
      <c r="D130" s="31"/>
      <c r="E130" s="31"/>
      <c r="F130" s="31"/>
      <c r="G130" s="124" t="str">
        <f t="shared" si="41"/>
        <v/>
      </c>
      <c r="H130" s="31">
        <f t="shared" si="42"/>
        <v>0</v>
      </c>
      <c r="I130" s="31"/>
      <c r="J130" s="31"/>
      <c r="K130" s="124" t="str">
        <f t="shared" si="43"/>
        <v/>
      </c>
      <c r="L130" s="31">
        <f t="shared" si="44"/>
        <v>0</v>
      </c>
      <c r="M130" s="32">
        <f t="shared" si="45"/>
        <v>0</v>
      </c>
    </row>
    <row r="131" spans="2:13" x14ac:dyDescent="0.25">
      <c r="B131" s="34" t="s">
        <v>354</v>
      </c>
      <c r="C131" s="31"/>
      <c r="D131" s="31"/>
      <c r="E131" s="31"/>
      <c r="F131" s="31"/>
      <c r="G131" s="124" t="str">
        <f t="shared" si="41"/>
        <v/>
      </c>
      <c r="H131" s="31">
        <f t="shared" si="42"/>
        <v>0</v>
      </c>
      <c r="I131" s="31"/>
      <c r="J131" s="31"/>
      <c r="K131" s="124" t="str">
        <f t="shared" si="43"/>
        <v/>
      </c>
      <c r="L131" s="31">
        <f t="shared" si="44"/>
        <v>0</v>
      </c>
      <c r="M131" s="32">
        <f t="shared" si="45"/>
        <v>0</v>
      </c>
    </row>
    <row r="132" spans="2:13" x14ac:dyDescent="0.25">
      <c r="B132" s="34" t="s">
        <v>271</v>
      </c>
      <c r="C132" s="31"/>
      <c r="D132" s="31"/>
      <c r="E132" s="31"/>
      <c r="F132" s="31"/>
      <c r="G132" s="124" t="str">
        <f t="shared" si="41"/>
        <v/>
      </c>
      <c r="H132" s="31">
        <f t="shared" si="42"/>
        <v>0</v>
      </c>
      <c r="I132" s="31"/>
      <c r="J132" s="31"/>
      <c r="K132" s="124" t="str">
        <f t="shared" si="43"/>
        <v/>
      </c>
      <c r="L132" s="31">
        <f t="shared" si="44"/>
        <v>0</v>
      </c>
      <c r="M132" s="32">
        <f t="shared" si="45"/>
        <v>0</v>
      </c>
    </row>
    <row r="133" spans="2:13" x14ac:dyDescent="0.25">
      <c r="B133" s="34" t="s">
        <v>272</v>
      </c>
      <c r="C133" s="31">
        <f>ROUND(C126-SUM(C127:C132),2)</f>
        <v>0</v>
      </c>
      <c r="D133" s="31">
        <f>ROUND(D126-SUM(D127:D132),2)</f>
        <v>0</v>
      </c>
      <c r="E133" s="31">
        <f t="shared" ref="E133:F133" si="54">ROUND(E126-SUM(E127:E132),2)</f>
        <v>0</v>
      </c>
      <c r="F133" s="31">
        <f t="shared" si="54"/>
        <v>0</v>
      </c>
      <c r="G133" s="124" t="str">
        <f t="shared" si="41"/>
        <v/>
      </c>
      <c r="H133" s="31">
        <f t="shared" si="42"/>
        <v>0</v>
      </c>
      <c r="I133" s="31">
        <f t="shared" ref="I133:J133" si="55">ROUND(I126-SUM(I127:I132),2)</f>
        <v>0</v>
      </c>
      <c r="J133" s="31">
        <f t="shared" si="55"/>
        <v>0</v>
      </c>
      <c r="K133" s="124" t="str">
        <f t="shared" si="43"/>
        <v/>
      </c>
      <c r="L133" s="31">
        <f t="shared" si="44"/>
        <v>0</v>
      </c>
      <c r="M133" s="32">
        <f t="shared" si="45"/>
        <v>0</v>
      </c>
    </row>
    <row r="134" spans="2:13" x14ac:dyDescent="0.25">
      <c r="B134" s="33" t="s">
        <v>355</v>
      </c>
      <c r="C134" s="31"/>
      <c r="D134" s="31"/>
      <c r="E134" s="31"/>
      <c r="F134" s="31"/>
      <c r="G134" s="124" t="str">
        <f t="shared" si="41"/>
        <v/>
      </c>
      <c r="H134" s="31">
        <f t="shared" si="42"/>
        <v>0</v>
      </c>
      <c r="I134" s="31"/>
      <c r="J134" s="31"/>
      <c r="K134" s="124" t="str">
        <f t="shared" si="43"/>
        <v/>
      </c>
      <c r="L134" s="31">
        <f t="shared" si="44"/>
        <v>0</v>
      </c>
      <c r="M134" s="32">
        <f t="shared" si="45"/>
        <v>0</v>
      </c>
    </row>
    <row r="135" spans="2:13" x14ac:dyDescent="0.25">
      <c r="B135" s="34" t="s">
        <v>356</v>
      </c>
      <c r="C135" s="31"/>
      <c r="D135" s="31"/>
      <c r="E135" s="31"/>
      <c r="F135" s="31"/>
      <c r="G135" s="124" t="str">
        <f t="shared" si="41"/>
        <v/>
      </c>
      <c r="H135" s="31">
        <f t="shared" si="42"/>
        <v>0</v>
      </c>
      <c r="I135" s="31"/>
      <c r="J135" s="31"/>
      <c r="K135" s="124" t="str">
        <f t="shared" si="43"/>
        <v/>
      </c>
      <c r="L135" s="31">
        <f t="shared" si="44"/>
        <v>0</v>
      </c>
      <c r="M135" s="32">
        <f t="shared" si="45"/>
        <v>0</v>
      </c>
    </row>
    <row r="136" spans="2:13" x14ac:dyDescent="0.25">
      <c r="B136" s="34" t="s">
        <v>357</v>
      </c>
      <c r="C136" s="31"/>
      <c r="D136" s="31"/>
      <c r="E136" s="31"/>
      <c r="F136" s="31"/>
      <c r="G136" s="124" t="str">
        <f t="shared" si="41"/>
        <v/>
      </c>
      <c r="H136" s="31">
        <f t="shared" si="42"/>
        <v>0</v>
      </c>
      <c r="I136" s="31"/>
      <c r="J136" s="31"/>
      <c r="K136" s="124" t="str">
        <f t="shared" si="43"/>
        <v/>
      </c>
      <c r="L136" s="31">
        <f t="shared" si="44"/>
        <v>0</v>
      </c>
      <c r="M136" s="32">
        <f t="shared" si="45"/>
        <v>0</v>
      </c>
    </row>
    <row r="137" spans="2:13" x14ac:dyDescent="0.25">
      <c r="B137" s="34" t="s">
        <v>358</v>
      </c>
      <c r="C137" s="31"/>
      <c r="D137" s="31"/>
      <c r="E137" s="31"/>
      <c r="F137" s="31"/>
      <c r="G137" s="124" t="str">
        <f t="shared" si="41"/>
        <v/>
      </c>
      <c r="H137" s="31">
        <f t="shared" si="42"/>
        <v>0</v>
      </c>
      <c r="I137" s="31"/>
      <c r="J137" s="31"/>
      <c r="K137" s="124" t="str">
        <f t="shared" si="43"/>
        <v/>
      </c>
      <c r="L137" s="31">
        <f t="shared" si="44"/>
        <v>0</v>
      </c>
      <c r="M137" s="32">
        <f t="shared" si="45"/>
        <v>0</v>
      </c>
    </row>
    <row r="138" spans="2:13" x14ac:dyDescent="0.25">
      <c r="B138" s="34" t="s">
        <v>271</v>
      </c>
      <c r="C138" s="31"/>
      <c r="D138" s="31"/>
      <c r="E138" s="31"/>
      <c r="F138" s="31"/>
      <c r="G138" s="124" t="str">
        <f t="shared" si="41"/>
        <v/>
      </c>
      <c r="H138" s="31">
        <f t="shared" si="42"/>
        <v>0</v>
      </c>
      <c r="I138" s="31"/>
      <c r="J138" s="31"/>
      <c r="K138" s="124" t="str">
        <f t="shared" si="43"/>
        <v/>
      </c>
      <c r="L138" s="31">
        <f t="shared" si="44"/>
        <v>0</v>
      </c>
      <c r="M138" s="32">
        <f t="shared" si="45"/>
        <v>0</v>
      </c>
    </row>
    <row r="139" spans="2:13" x14ac:dyDescent="0.25">
      <c r="B139" s="34" t="s">
        <v>272</v>
      </c>
      <c r="C139" s="31">
        <f>ROUND(C134-SUM(C135:C138),2)</f>
        <v>0</v>
      </c>
      <c r="D139" s="31">
        <f>ROUND(D134-SUM(D135:D138),2)</f>
        <v>0</v>
      </c>
      <c r="E139" s="31">
        <f t="shared" ref="E139:F139" si="56">ROUND(E134-SUM(E135:E138),2)</f>
        <v>0</v>
      </c>
      <c r="F139" s="31">
        <f t="shared" si="56"/>
        <v>0</v>
      </c>
      <c r="G139" s="124" t="str">
        <f t="shared" si="41"/>
        <v/>
      </c>
      <c r="H139" s="31">
        <f t="shared" si="42"/>
        <v>0</v>
      </c>
      <c r="I139" s="31">
        <f t="shared" ref="I139:J139" si="57">ROUND(I134-SUM(I135:I138),2)</f>
        <v>0</v>
      </c>
      <c r="J139" s="31">
        <f t="shared" si="57"/>
        <v>0</v>
      </c>
      <c r="K139" s="124" t="str">
        <f t="shared" si="43"/>
        <v/>
      </c>
      <c r="L139" s="31">
        <f t="shared" si="44"/>
        <v>0</v>
      </c>
      <c r="M139" s="32">
        <f t="shared" si="45"/>
        <v>0</v>
      </c>
    </row>
    <row r="140" spans="2:13" x14ac:dyDescent="0.25">
      <c r="B140" s="33" t="s">
        <v>359</v>
      </c>
      <c r="C140" s="31"/>
      <c r="D140" s="31"/>
      <c r="E140" s="31"/>
      <c r="F140" s="31"/>
      <c r="G140" s="124" t="str">
        <f t="shared" ref="G140:G171" si="58">IFERROR(ROUND(F140/F$206,4),"")</f>
        <v/>
      </c>
      <c r="H140" s="31">
        <f t="shared" ref="H140:H171" si="59">D140-F140</f>
        <v>0</v>
      </c>
      <c r="I140" s="31"/>
      <c r="J140" s="31"/>
      <c r="K140" s="124" t="str">
        <f t="shared" ref="K140:K171" si="60">IFERROR(ROUND(J140/J$206,4),"")</f>
        <v/>
      </c>
      <c r="L140" s="31">
        <f t="shared" ref="L140:L171" si="61">D140-J140</f>
        <v>0</v>
      </c>
      <c r="M140" s="32">
        <f t="shared" ref="M140:M171" si="62">IF(MONTH(paramDataBase)=12,F140-J140,0)</f>
        <v>0</v>
      </c>
    </row>
    <row r="141" spans="2:13" x14ac:dyDescent="0.25">
      <c r="B141" s="34" t="s">
        <v>360</v>
      </c>
      <c r="C141" s="31"/>
      <c r="D141" s="31"/>
      <c r="E141" s="31"/>
      <c r="F141" s="31"/>
      <c r="G141" s="124" t="str">
        <f t="shared" si="58"/>
        <v/>
      </c>
      <c r="H141" s="31">
        <f t="shared" si="59"/>
        <v>0</v>
      </c>
      <c r="I141" s="31"/>
      <c r="J141" s="31"/>
      <c r="K141" s="124" t="str">
        <f t="shared" si="60"/>
        <v/>
      </c>
      <c r="L141" s="31">
        <f t="shared" si="61"/>
        <v>0</v>
      </c>
      <c r="M141" s="32">
        <f t="shared" si="62"/>
        <v>0</v>
      </c>
    </row>
    <row r="142" spans="2:13" x14ac:dyDescent="0.25">
      <c r="B142" s="34" t="s">
        <v>361</v>
      </c>
      <c r="C142" s="31"/>
      <c r="D142" s="31"/>
      <c r="E142" s="31"/>
      <c r="F142" s="31"/>
      <c r="G142" s="124" t="str">
        <f t="shared" si="58"/>
        <v/>
      </c>
      <c r="H142" s="31">
        <f t="shared" si="59"/>
        <v>0</v>
      </c>
      <c r="I142" s="31"/>
      <c r="J142" s="31"/>
      <c r="K142" s="124" t="str">
        <f t="shared" si="60"/>
        <v/>
      </c>
      <c r="L142" s="31">
        <f t="shared" si="61"/>
        <v>0</v>
      </c>
      <c r="M142" s="32">
        <f t="shared" si="62"/>
        <v>0</v>
      </c>
    </row>
    <row r="143" spans="2:13" x14ac:dyDescent="0.25">
      <c r="B143" s="34" t="s">
        <v>362</v>
      </c>
      <c r="C143" s="31"/>
      <c r="D143" s="31"/>
      <c r="E143" s="31"/>
      <c r="F143" s="31"/>
      <c r="G143" s="124" t="str">
        <f t="shared" si="58"/>
        <v/>
      </c>
      <c r="H143" s="31">
        <f t="shared" si="59"/>
        <v>0</v>
      </c>
      <c r="I143" s="31"/>
      <c r="J143" s="31"/>
      <c r="K143" s="124" t="str">
        <f t="shared" si="60"/>
        <v/>
      </c>
      <c r="L143" s="31">
        <f t="shared" si="61"/>
        <v>0</v>
      </c>
      <c r="M143" s="32">
        <f t="shared" si="62"/>
        <v>0</v>
      </c>
    </row>
    <row r="144" spans="2:13" x14ac:dyDescent="0.25">
      <c r="B144" s="34" t="s">
        <v>363</v>
      </c>
      <c r="C144" s="31"/>
      <c r="D144" s="31"/>
      <c r="E144" s="31"/>
      <c r="F144" s="31"/>
      <c r="G144" s="124" t="str">
        <f t="shared" si="58"/>
        <v/>
      </c>
      <c r="H144" s="31">
        <f t="shared" si="59"/>
        <v>0</v>
      </c>
      <c r="I144" s="31"/>
      <c r="J144" s="31"/>
      <c r="K144" s="124" t="str">
        <f t="shared" si="60"/>
        <v/>
      </c>
      <c r="L144" s="31">
        <f t="shared" si="61"/>
        <v>0</v>
      </c>
      <c r="M144" s="32">
        <f t="shared" si="62"/>
        <v>0</v>
      </c>
    </row>
    <row r="145" spans="2:13" x14ac:dyDescent="0.25">
      <c r="B145" s="34" t="s">
        <v>364</v>
      </c>
      <c r="C145" s="31"/>
      <c r="D145" s="31"/>
      <c r="E145" s="31"/>
      <c r="F145" s="31"/>
      <c r="G145" s="124" t="str">
        <f t="shared" si="58"/>
        <v/>
      </c>
      <c r="H145" s="31">
        <f t="shared" si="59"/>
        <v>0</v>
      </c>
      <c r="I145" s="31"/>
      <c r="J145" s="31"/>
      <c r="K145" s="124" t="str">
        <f t="shared" si="60"/>
        <v/>
      </c>
      <c r="L145" s="31">
        <f t="shared" si="61"/>
        <v>0</v>
      </c>
      <c r="M145" s="32">
        <f t="shared" si="62"/>
        <v>0</v>
      </c>
    </row>
    <row r="146" spans="2:13" x14ac:dyDescent="0.25">
      <c r="B146" s="34" t="s">
        <v>271</v>
      </c>
      <c r="C146" s="31"/>
      <c r="D146" s="31"/>
      <c r="E146" s="31"/>
      <c r="F146" s="31"/>
      <c r="G146" s="124" t="str">
        <f t="shared" si="58"/>
        <v/>
      </c>
      <c r="H146" s="31">
        <f t="shared" si="59"/>
        <v>0</v>
      </c>
      <c r="I146" s="31"/>
      <c r="J146" s="31"/>
      <c r="K146" s="124" t="str">
        <f t="shared" si="60"/>
        <v/>
      </c>
      <c r="L146" s="31">
        <f t="shared" si="61"/>
        <v>0</v>
      </c>
      <c r="M146" s="32">
        <f t="shared" si="62"/>
        <v>0</v>
      </c>
    </row>
    <row r="147" spans="2:13" x14ac:dyDescent="0.25">
      <c r="B147" s="34" t="s">
        <v>272</v>
      </c>
      <c r="C147" s="31">
        <f>ROUND(C140-SUM(C141:C146),2)</f>
        <v>0</v>
      </c>
      <c r="D147" s="31">
        <f>ROUND(D140-SUM(D141:D146),2)</f>
        <v>0</v>
      </c>
      <c r="E147" s="31">
        <f t="shared" ref="E147:F147" si="63">ROUND(E140-SUM(E141:E146),2)</f>
        <v>0</v>
      </c>
      <c r="F147" s="31">
        <f t="shared" si="63"/>
        <v>0</v>
      </c>
      <c r="G147" s="124" t="str">
        <f t="shared" si="58"/>
        <v/>
      </c>
      <c r="H147" s="31">
        <f t="shared" si="59"/>
        <v>0</v>
      </c>
      <c r="I147" s="31">
        <f t="shared" ref="I147:J147" si="64">ROUND(I140-SUM(I141:I146),2)</f>
        <v>0</v>
      </c>
      <c r="J147" s="31">
        <f t="shared" si="64"/>
        <v>0</v>
      </c>
      <c r="K147" s="124" t="str">
        <f t="shared" si="60"/>
        <v/>
      </c>
      <c r="L147" s="31">
        <f t="shared" si="61"/>
        <v>0</v>
      </c>
      <c r="M147" s="32">
        <f t="shared" si="62"/>
        <v>0</v>
      </c>
    </row>
    <row r="148" spans="2:13" x14ac:dyDescent="0.25">
      <c r="B148" s="33" t="s">
        <v>365</v>
      </c>
      <c r="C148" s="31"/>
      <c r="D148" s="31"/>
      <c r="E148" s="31"/>
      <c r="F148" s="31"/>
      <c r="G148" s="124" t="str">
        <f t="shared" si="58"/>
        <v/>
      </c>
      <c r="H148" s="31">
        <f t="shared" si="59"/>
        <v>0</v>
      </c>
      <c r="I148" s="31"/>
      <c r="J148" s="31"/>
      <c r="K148" s="124" t="str">
        <f t="shared" si="60"/>
        <v/>
      </c>
      <c r="L148" s="31">
        <f t="shared" si="61"/>
        <v>0</v>
      </c>
      <c r="M148" s="32">
        <f t="shared" si="62"/>
        <v>0</v>
      </c>
    </row>
    <row r="149" spans="2:13" x14ac:dyDescent="0.25">
      <c r="B149" s="34" t="s">
        <v>366</v>
      </c>
      <c r="C149" s="31"/>
      <c r="D149" s="31"/>
      <c r="E149" s="31"/>
      <c r="F149" s="31"/>
      <c r="G149" s="124" t="str">
        <f t="shared" si="58"/>
        <v/>
      </c>
      <c r="H149" s="31">
        <f t="shared" si="59"/>
        <v>0</v>
      </c>
      <c r="I149" s="31"/>
      <c r="J149" s="31"/>
      <c r="K149" s="124" t="str">
        <f t="shared" si="60"/>
        <v/>
      </c>
      <c r="L149" s="31">
        <f t="shared" si="61"/>
        <v>0</v>
      </c>
      <c r="M149" s="32">
        <f t="shared" si="62"/>
        <v>0</v>
      </c>
    </row>
    <row r="150" spans="2:13" x14ac:dyDescent="0.25">
      <c r="B150" s="34" t="s">
        <v>367</v>
      </c>
      <c r="C150" s="31"/>
      <c r="D150" s="31"/>
      <c r="E150" s="31"/>
      <c r="F150" s="31"/>
      <c r="G150" s="124" t="str">
        <f t="shared" si="58"/>
        <v/>
      </c>
      <c r="H150" s="31">
        <f t="shared" si="59"/>
        <v>0</v>
      </c>
      <c r="I150" s="31"/>
      <c r="J150" s="31"/>
      <c r="K150" s="124" t="str">
        <f t="shared" si="60"/>
        <v/>
      </c>
      <c r="L150" s="31">
        <f t="shared" si="61"/>
        <v>0</v>
      </c>
      <c r="M150" s="32">
        <f t="shared" si="62"/>
        <v>0</v>
      </c>
    </row>
    <row r="151" spans="2:13" x14ac:dyDescent="0.25">
      <c r="B151" s="34" t="s">
        <v>271</v>
      </c>
      <c r="C151" s="31"/>
      <c r="D151" s="31"/>
      <c r="E151" s="31"/>
      <c r="F151" s="31"/>
      <c r="G151" s="124" t="str">
        <f t="shared" si="58"/>
        <v/>
      </c>
      <c r="H151" s="31">
        <f t="shared" si="59"/>
        <v>0</v>
      </c>
      <c r="I151" s="31"/>
      <c r="J151" s="31"/>
      <c r="K151" s="124" t="str">
        <f t="shared" si="60"/>
        <v/>
      </c>
      <c r="L151" s="31">
        <f t="shared" si="61"/>
        <v>0</v>
      </c>
      <c r="M151" s="32">
        <f t="shared" si="62"/>
        <v>0</v>
      </c>
    </row>
    <row r="152" spans="2:13" x14ac:dyDescent="0.25">
      <c r="B152" s="34" t="s">
        <v>272</v>
      </c>
      <c r="C152" s="31">
        <f>ROUND(C148-SUM(C149:C151),2)</f>
        <v>0</v>
      </c>
      <c r="D152" s="31">
        <f>ROUND(D148-SUM(D149:D151),2)</f>
        <v>0</v>
      </c>
      <c r="E152" s="31">
        <f t="shared" ref="E152:F152" si="65">ROUND(E148-SUM(E149:E151),2)</f>
        <v>0</v>
      </c>
      <c r="F152" s="31">
        <f t="shared" si="65"/>
        <v>0</v>
      </c>
      <c r="G152" s="124" t="str">
        <f t="shared" si="58"/>
        <v/>
      </c>
      <c r="H152" s="31">
        <f t="shared" si="59"/>
        <v>0</v>
      </c>
      <c r="I152" s="31">
        <f t="shared" ref="I152:J152" si="66">ROUND(I148-SUM(I149:I151),2)</f>
        <v>0</v>
      </c>
      <c r="J152" s="31">
        <f t="shared" si="66"/>
        <v>0</v>
      </c>
      <c r="K152" s="124" t="str">
        <f t="shared" si="60"/>
        <v/>
      </c>
      <c r="L152" s="31">
        <f t="shared" si="61"/>
        <v>0</v>
      </c>
      <c r="M152" s="32">
        <f t="shared" si="62"/>
        <v>0</v>
      </c>
    </row>
    <row r="153" spans="2:13" x14ac:dyDescent="0.25">
      <c r="B153" s="33" t="s">
        <v>368</v>
      </c>
      <c r="C153" s="31"/>
      <c r="D153" s="31"/>
      <c r="E153" s="31"/>
      <c r="F153" s="31"/>
      <c r="G153" s="124" t="str">
        <f t="shared" si="58"/>
        <v/>
      </c>
      <c r="H153" s="31">
        <f t="shared" si="59"/>
        <v>0</v>
      </c>
      <c r="I153" s="31"/>
      <c r="J153" s="31"/>
      <c r="K153" s="124" t="str">
        <f t="shared" si="60"/>
        <v/>
      </c>
      <c r="L153" s="31">
        <f t="shared" si="61"/>
        <v>0</v>
      </c>
      <c r="M153" s="32">
        <f t="shared" si="62"/>
        <v>0</v>
      </c>
    </row>
    <row r="154" spans="2:13" x14ac:dyDescent="0.25">
      <c r="B154" s="34" t="s">
        <v>369</v>
      </c>
      <c r="C154" s="31"/>
      <c r="D154" s="31"/>
      <c r="E154" s="31"/>
      <c r="F154" s="31"/>
      <c r="G154" s="124" t="str">
        <f t="shared" si="58"/>
        <v/>
      </c>
      <c r="H154" s="31">
        <f t="shared" si="59"/>
        <v>0</v>
      </c>
      <c r="I154" s="31"/>
      <c r="J154" s="31"/>
      <c r="K154" s="124" t="str">
        <f t="shared" si="60"/>
        <v/>
      </c>
      <c r="L154" s="31">
        <f t="shared" si="61"/>
        <v>0</v>
      </c>
      <c r="M154" s="32">
        <f t="shared" si="62"/>
        <v>0</v>
      </c>
    </row>
    <row r="155" spans="2:13" x14ac:dyDescent="0.25">
      <c r="B155" s="34" t="s">
        <v>370</v>
      </c>
      <c r="C155" s="31"/>
      <c r="D155" s="31"/>
      <c r="E155" s="31"/>
      <c r="F155" s="31"/>
      <c r="G155" s="124" t="str">
        <f t="shared" si="58"/>
        <v/>
      </c>
      <c r="H155" s="31">
        <f t="shared" si="59"/>
        <v>0</v>
      </c>
      <c r="I155" s="31"/>
      <c r="J155" s="31"/>
      <c r="K155" s="124" t="str">
        <f t="shared" si="60"/>
        <v/>
      </c>
      <c r="L155" s="31">
        <f t="shared" si="61"/>
        <v>0</v>
      </c>
      <c r="M155" s="32">
        <f t="shared" si="62"/>
        <v>0</v>
      </c>
    </row>
    <row r="156" spans="2:13" x14ac:dyDescent="0.25">
      <c r="B156" s="34" t="s">
        <v>371</v>
      </c>
      <c r="C156" s="31"/>
      <c r="D156" s="31"/>
      <c r="E156" s="31"/>
      <c r="F156" s="31"/>
      <c r="G156" s="124" t="str">
        <f t="shared" si="58"/>
        <v/>
      </c>
      <c r="H156" s="31">
        <f t="shared" si="59"/>
        <v>0</v>
      </c>
      <c r="I156" s="31"/>
      <c r="J156" s="31"/>
      <c r="K156" s="124" t="str">
        <f t="shared" si="60"/>
        <v/>
      </c>
      <c r="L156" s="31">
        <f t="shared" si="61"/>
        <v>0</v>
      </c>
      <c r="M156" s="32">
        <f t="shared" si="62"/>
        <v>0</v>
      </c>
    </row>
    <row r="157" spans="2:13" x14ac:dyDescent="0.25">
      <c r="B157" s="34" t="s">
        <v>372</v>
      </c>
      <c r="C157" s="31"/>
      <c r="D157" s="31"/>
      <c r="E157" s="31"/>
      <c r="F157" s="31"/>
      <c r="G157" s="124" t="str">
        <f t="shared" si="58"/>
        <v/>
      </c>
      <c r="H157" s="31">
        <f t="shared" si="59"/>
        <v>0</v>
      </c>
      <c r="I157" s="31"/>
      <c r="J157" s="31"/>
      <c r="K157" s="124" t="str">
        <f t="shared" si="60"/>
        <v/>
      </c>
      <c r="L157" s="31">
        <f t="shared" si="61"/>
        <v>0</v>
      </c>
      <c r="M157" s="32">
        <f t="shared" si="62"/>
        <v>0</v>
      </c>
    </row>
    <row r="158" spans="2:13" x14ac:dyDescent="0.25">
      <c r="B158" s="34" t="s">
        <v>373</v>
      </c>
      <c r="C158" s="31"/>
      <c r="D158" s="31"/>
      <c r="E158" s="31"/>
      <c r="F158" s="31"/>
      <c r="G158" s="124" t="str">
        <f t="shared" si="58"/>
        <v/>
      </c>
      <c r="H158" s="31">
        <f t="shared" si="59"/>
        <v>0</v>
      </c>
      <c r="I158" s="31"/>
      <c r="J158" s="31"/>
      <c r="K158" s="124" t="str">
        <f t="shared" si="60"/>
        <v/>
      </c>
      <c r="L158" s="31">
        <f t="shared" si="61"/>
        <v>0</v>
      </c>
      <c r="M158" s="32">
        <f t="shared" si="62"/>
        <v>0</v>
      </c>
    </row>
    <row r="159" spans="2:13" x14ac:dyDescent="0.25">
      <c r="B159" s="34" t="s">
        <v>271</v>
      </c>
      <c r="C159" s="31"/>
      <c r="D159" s="31"/>
      <c r="E159" s="31"/>
      <c r="F159" s="31"/>
      <c r="G159" s="124" t="str">
        <f t="shared" si="58"/>
        <v/>
      </c>
      <c r="H159" s="31">
        <f t="shared" si="59"/>
        <v>0</v>
      </c>
      <c r="I159" s="31"/>
      <c r="J159" s="31"/>
      <c r="K159" s="124" t="str">
        <f t="shared" si="60"/>
        <v/>
      </c>
      <c r="L159" s="31">
        <f t="shared" si="61"/>
        <v>0</v>
      </c>
      <c r="M159" s="32">
        <f t="shared" si="62"/>
        <v>0</v>
      </c>
    </row>
    <row r="160" spans="2:13" x14ac:dyDescent="0.25">
      <c r="B160" s="34" t="s">
        <v>272</v>
      </c>
      <c r="C160" s="31">
        <f>ROUND(C153-SUM(C154:C159),2)</f>
        <v>0</v>
      </c>
      <c r="D160" s="31">
        <f>ROUND(D153-SUM(D154:D159),2)</f>
        <v>0</v>
      </c>
      <c r="E160" s="31">
        <f t="shared" ref="E160:F160" si="67">ROUND(E153-SUM(E154:E159),2)</f>
        <v>0</v>
      </c>
      <c r="F160" s="31">
        <f t="shared" si="67"/>
        <v>0</v>
      </c>
      <c r="G160" s="124" t="str">
        <f t="shared" si="58"/>
        <v/>
      </c>
      <c r="H160" s="31">
        <f t="shared" si="59"/>
        <v>0</v>
      </c>
      <c r="I160" s="31">
        <f t="shared" ref="I160:J160" si="68">ROUND(I153-SUM(I154:I159),2)</f>
        <v>0</v>
      </c>
      <c r="J160" s="31">
        <f t="shared" si="68"/>
        <v>0</v>
      </c>
      <c r="K160" s="124" t="str">
        <f t="shared" si="60"/>
        <v/>
      </c>
      <c r="L160" s="31">
        <f t="shared" si="61"/>
        <v>0</v>
      </c>
      <c r="M160" s="32">
        <f t="shared" si="62"/>
        <v>0</v>
      </c>
    </row>
    <row r="161" spans="2:13" x14ac:dyDescent="0.25">
      <c r="B161" s="33" t="s">
        <v>374</v>
      </c>
      <c r="C161" s="31"/>
      <c r="D161" s="31"/>
      <c r="E161" s="31"/>
      <c r="F161" s="31"/>
      <c r="G161" s="124" t="str">
        <f t="shared" si="58"/>
        <v/>
      </c>
      <c r="H161" s="31">
        <f t="shared" si="59"/>
        <v>0</v>
      </c>
      <c r="I161" s="31"/>
      <c r="J161" s="31"/>
      <c r="K161" s="124" t="str">
        <f t="shared" si="60"/>
        <v/>
      </c>
      <c r="L161" s="31">
        <f t="shared" si="61"/>
        <v>0</v>
      </c>
      <c r="M161" s="32">
        <f t="shared" si="62"/>
        <v>0</v>
      </c>
    </row>
    <row r="162" spans="2:13" x14ac:dyDescent="0.25">
      <c r="B162" s="34" t="s">
        <v>375</v>
      </c>
      <c r="C162" s="31"/>
      <c r="D162" s="31"/>
      <c r="E162" s="31"/>
      <c r="F162" s="31"/>
      <c r="G162" s="124" t="str">
        <f t="shared" si="58"/>
        <v/>
      </c>
      <c r="H162" s="31">
        <f t="shared" si="59"/>
        <v>0</v>
      </c>
      <c r="I162" s="31"/>
      <c r="J162" s="31"/>
      <c r="K162" s="124" t="str">
        <f t="shared" si="60"/>
        <v/>
      </c>
      <c r="L162" s="31">
        <f t="shared" si="61"/>
        <v>0</v>
      </c>
      <c r="M162" s="32">
        <f t="shared" si="62"/>
        <v>0</v>
      </c>
    </row>
    <row r="163" spans="2:13" x14ac:dyDescent="0.25">
      <c r="B163" s="34" t="s">
        <v>376</v>
      </c>
      <c r="C163" s="31"/>
      <c r="D163" s="31"/>
      <c r="E163" s="31"/>
      <c r="F163" s="31"/>
      <c r="G163" s="124" t="str">
        <f t="shared" si="58"/>
        <v/>
      </c>
      <c r="H163" s="31">
        <f t="shared" si="59"/>
        <v>0</v>
      </c>
      <c r="I163" s="31"/>
      <c r="J163" s="31"/>
      <c r="K163" s="124" t="str">
        <f t="shared" si="60"/>
        <v/>
      </c>
      <c r="L163" s="31">
        <f t="shared" si="61"/>
        <v>0</v>
      </c>
      <c r="M163" s="32">
        <f t="shared" si="62"/>
        <v>0</v>
      </c>
    </row>
    <row r="164" spans="2:13" x14ac:dyDescent="0.25">
      <c r="B164" s="34" t="s">
        <v>377</v>
      </c>
      <c r="C164" s="31"/>
      <c r="D164" s="31"/>
      <c r="E164" s="31"/>
      <c r="F164" s="31"/>
      <c r="G164" s="124" t="str">
        <f t="shared" si="58"/>
        <v/>
      </c>
      <c r="H164" s="31">
        <f t="shared" si="59"/>
        <v>0</v>
      </c>
      <c r="I164" s="31"/>
      <c r="J164" s="31"/>
      <c r="K164" s="124" t="str">
        <f t="shared" si="60"/>
        <v/>
      </c>
      <c r="L164" s="31">
        <f t="shared" si="61"/>
        <v>0</v>
      </c>
      <c r="M164" s="32">
        <f t="shared" si="62"/>
        <v>0</v>
      </c>
    </row>
    <row r="165" spans="2:13" x14ac:dyDescent="0.25">
      <c r="B165" s="34" t="s">
        <v>378</v>
      </c>
      <c r="C165" s="31"/>
      <c r="D165" s="31"/>
      <c r="E165" s="31"/>
      <c r="F165" s="31"/>
      <c r="G165" s="124" t="str">
        <f t="shared" si="58"/>
        <v/>
      </c>
      <c r="H165" s="31">
        <f t="shared" si="59"/>
        <v>0</v>
      </c>
      <c r="I165" s="31"/>
      <c r="J165" s="31"/>
      <c r="K165" s="124" t="str">
        <f t="shared" si="60"/>
        <v/>
      </c>
      <c r="L165" s="31">
        <f t="shared" si="61"/>
        <v>0</v>
      </c>
      <c r="M165" s="32">
        <f t="shared" si="62"/>
        <v>0</v>
      </c>
    </row>
    <row r="166" spans="2:13" x14ac:dyDescent="0.25">
      <c r="B166" s="34" t="s">
        <v>379</v>
      </c>
      <c r="C166" s="31"/>
      <c r="D166" s="31"/>
      <c r="E166" s="31"/>
      <c r="F166" s="31"/>
      <c r="G166" s="124" t="str">
        <f t="shared" si="58"/>
        <v/>
      </c>
      <c r="H166" s="31">
        <f t="shared" si="59"/>
        <v>0</v>
      </c>
      <c r="I166" s="31"/>
      <c r="J166" s="31"/>
      <c r="K166" s="124" t="str">
        <f t="shared" si="60"/>
        <v/>
      </c>
      <c r="L166" s="31">
        <f t="shared" si="61"/>
        <v>0</v>
      </c>
      <c r="M166" s="32">
        <f t="shared" si="62"/>
        <v>0</v>
      </c>
    </row>
    <row r="167" spans="2:13" x14ac:dyDescent="0.25">
      <c r="B167" s="34" t="s">
        <v>271</v>
      </c>
      <c r="C167" s="31"/>
      <c r="D167" s="31"/>
      <c r="E167" s="31"/>
      <c r="F167" s="31"/>
      <c r="G167" s="124" t="str">
        <f t="shared" si="58"/>
        <v/>
      </c>
      <c r="H167" s="31">
        <f t="shared" si="59"/>
        <v>0</v>
      </c>
      <c r="I167" s="31"/>
      <c r="J167" s="31"/>
      <c r="K167" s="124" t="str">
        <f t="shared" si="60"/>
        <v/>
      </c>
      <c r="L167" s="31">
        <f t="shared" si="61"/>
        <v>0</v>
      </c>
      <c r="M167" s="32">
        <f t="shared" si="62"/>
        <v>0</v>
      </c>
    </row>
    <row r="168" spans="2:13" x14ac:dyDescent="0.25">
      <c r="B168" s="34" t="s">
        <v>272</v>
      </c>
      <c r="C168" s="31">
        <f>ROUND(C161-SUM(C162:C167),2)</f>
        <v>0</v>
      </c>
      <c r="D168" s="31">
        <f>ROUND(D161-SUM(D162:D167),2)</f>
        <v>0</v>
      </c>
      <c r="E168" s="31">
        <f t="shared" ref="E168:F168" si="69">ROUND(E161-SUM(E162:E167),2)</f>
        <v>0</v>
      </c>
      <c r="F168" s="31">
        <f t="shared" si="69"/>
        <v>0</v>
      </c>
      <c r="G168" s="124" t="str">
        <f t="shared" si="58"/>
        <v/>
      </c>
      <c r="H168" s="31">
        <f t="shared" si="59"/>
        <v>0</v>
      </c>
      <c r="I168" s="31">
        <f t="shared" ref="I168:J168" si="70">ROUND(I161-SUM(I162:I167),2)</f>
        <v>0</v>
      </c>
      <c r="J168" s="31">
        <f t="shared" si="70"/>
        <v>0</v>
      </c>
      <c r="K168" s="124" t="str">
        <f t="shared" si="60"/>
        <v/>
      </c>
      <c r="L168" s="31">
        <f t="shared" si="61"/>
        <v>0</v>
      </c>
      <c r="M168" s="32">
        <f t="shared" si="62"/>
        <v>0</v>
      </c>
    </row>
    <row r="169" spans="2:13" x14ac:dyDescent="0.25">
      <c r="B169" s="33" t="s">
        <v>380</v>
      </c>
      <c r="C169" s="31"/>
      <c r="D169" s="31"/>
      <c r="E169" s="31"/>
      <c r="F169" s="31"/>
      <c r="G169" s="124" t="str">
        <f t="shared" si="58"/>
        <v/>
      </c>
      <c r="H169" s="31">
        <f t="shared" si="59"/>
        <v>0</v>
      </c>
      <c r="I169" s="31"/>
      <c r="J169" s="31"/>
      <c r="K169" s="124" t="str">
        <f t="shared" si="60"/>
        <v/>
      </c>
      <c r="L169" s="31">
        <f t="shared" si="61"/>
        <v>0</v>
      </c>
      <c r="M169" s="32">
        <f t="shared" si="62"/>
        <v>0</v>
      </c>
    </row>
    <row r="170" spans="2:13" x14ac:dyDescent="0.25">
      <c r="B170" s="34" t="s">
        <v>381</v>
      </c>
      <c r="C170" s="31"/>
      <c r="D170" s="31"/>
      <c r="E170" s="31"/>
      <c r="F170" s="31"/>
      <c r="G170" s="124" t="str">
        <f t="shared" si="58"/>
        <v/>
      </c>
      <c r="H170" s="31">
        <f t="shared" si="59"/>
        <v>0</v>
      </c>
      <c r="I170" s="31"/>
      <c r="J170" s="31"/>
      <c r="K170" s="124" t="str">
        <f t="shared" si="60"/>
        <v/>
      </c>
      <c r="L170" s="31">
        <f t="shared" si="61"/>
        <v>0</v>
      </c>
      <c r="M170" s="32">
        <f t="shared" si="62"/>
        <v>0</v>
      </c>
    </row>
    <row r="171" spans="2:13" x14ac:dyDescent="0.25">
      <c r="B171" s="34" t="s">
        <v>382</v>
      </c>
      <c r="C171" s="31"/>
      <c r="D171" s="31"/>
      <c r="E171" s="31"/>
      <c r="F171" s="31"/>
      <c r="G171" s="124" t="str">
        <f t="shared" si="58"/>
        <v/>
      </c>
      <c r="H171" s="31">
        <f t="shared" si="59"/>
        <v>0</v>
      </c>
      <c r="I171" s="31"/>
      <c r="J171" s="31"/>
      <c r="K171" s="124" t="str">
        <f t="shared" si="60"/>
        <v/>
      </c>
      <c r="L171" s="31">
        <f t="shared" si="61"/>
        <v>0</v>
      </c>
      <c r="M171" s="32">
        <f t="shared" si="62"/>
        <v>0</v>
      </c>
    </row>
    <row r="172" spans="2:13" x14ac:dyDescent="0.25">
      <c r="B172" s="34" t="s">
        <v>271</v>
      </c>
      <c r="C172" s="31"/>
      <c r="D172" s="31"/>
      <c r="E172" s="31"/>
      <c r="F172" s="31"/>
      <c r="G172" s="124" t="str">
        <f t="shared" ref="G172:G203" si="71">IFERROR(ROUND(F172/F$206,4),"")</f>
        <v/>
      </c>
      <c r="H172" s="31">
        <f t="shared" ref="H172:H205" si="72">D172-F172</f>
        <v>0</v>
      </c>
      <c r="I172" s="31"/>
      <c r="J172" s="31"/>
      <c r="K172" s="124" t="str">
        <f t="shared" ref="K172:K203" si="73">IFERROR(ROUND(J172/J$206,4),"")</f>
        <v/>
      </c>
      <c r="L172" s="31">
        <f t="shared" ref="L172:L205" si="74">D172-J172</f>
        <v>0</v>
      </c>
      <c r="M172" s="32">
        <f t="shared" ref="M172:M206" si="75">IF(MONTH(paramDataBase)=12,F172-J172,0)</f>
        <v>0</v>
      </c>
    </row>
    <row r="173" spans="2:13" x14ac:dyDescent="0.25">
      <c r="B173" s="34" t="s">
        <v>272</v>
      </c>
      <c r="C173" s="31">
        <f>ROUND(C169-SUM(C170:C172),2)</f>
        <v>0</v>
      </c>
      <c r="D173" s="31">
        <f>ROUND(D169-SUM(D170:D172),2)</f>
        <v>0</v>
      </c>
      <c r="E173" s="31">
        <f t="shared" ref="E173:F173" si="76">ROUND(E169-SUM(E170:E172),2)</f>
        <v>0</v>
      </c>
      <c r="F173" s="31">
        <f t="shared" si="76"/>
        <v>0</v>
      </c>
      <c r="G173" s="124" t="str">
        <f t="shared" si="71"/>
        <v/>
      </c>
      <c r="H173" s="31">
        <f t="shared" si="72"/>
        <v>0</v>
      </c>
      <c r="I173" s="31">
        <f t="shared" ref="I173:J173" si="77">ROUND(I169-SUM(I170:I172),2)</f>
        <v>0</v>
      </c>
      <c r="J173" s="31">
        <f t="shared" si="77"/>
        <v>0</v>
      </c>
      <c r="K173" s="124" t="str">
        <f t="shared" si="73"/>
        <v/>
      </c>
      <c r="L173" s="31">
        <f t="shared" si="74"/>
        <v>0</v>
      </c>
      <c r="M173" s="32">
        <f t="shared" si="75"/>
        <v>0</v>
      </c>
    </row>
    <row r="174" spans="2:13" x14ac:dyDescent="0.25">
      <c r="B174" s="33" t="s">
        <v>383</v>
      </c>
      <c r="C174" s="31"/>
      <c r="D174" s="31"/>
      <c r="E174" s="31"/>
      <c r="F174" s="31"/>
      <c r="G174" s="124" t="str">
        <f t="shared" si="71"/>
        <v/>
      </c>
      <c r="H174" s="31">
        <f t="shared" si="72"/>
        <v>0</v>
      </c>
      <c r="I174" s="31"/>
      <c r="J174" s="31"/>
      <c r="K174" s="124" t="str">
        <f t="shared" si="73"/>
        <v/>
      </c>
      <c r="L174" s="31">
        <f t="shared" si="74"/>
        <v>0</v>
      </c>
      <c r="M174" s="32">
        <f t="shared" si="75"/>
        <v>0</v>
      </c>
    </row>
    <row r="175" spans="2:13" x14ac:dyDescent="0.25">
      <c r="B175" s="34" t="s">
        <v>384</v>
      </c>
      <c r="C175" s="31"/>
      <c r="D175" s="31"/>
      <c r="E175" s="31"/>
      <c r="F175" s="31"/>
      <c r="G175" s="124" t="str">
        <f t="shared" si="71"/>
        <v/>
      </c>
      <c r="H175" s="31">
        <f t="shared" si="72"/>
        <v>0</v>
      </c>
      <c r="I175" s="31"/>
      <c r="J175" s="31"/>
      <c r="K175" s="124" t="str">
        <f t="shared" si="73"/>
        <v/>
      </c>
      <c r="L175" s="31">
        <f t="shared" si="74"/>
        <v>0</v>
      </c>
      <c r="M175" s="32">
        <f t="shared" si="75"/>
        <v>0</v>
      </c>
    </row>
    <row r="176" spans="2:13" x14ac:dyDescent="0.25">
      <c r="B176" s="34" t="s">
        <v>385</v>
      </c>
      <c r="C176" s="31"/>
      <c r="D176" s="31"/>
      <c r="E176" s="31"/>
      <c r="F176" s="31"/>
      <c r="G176" s="124" t="str">
        <f t="shared" si="71"/>
        <v/>
      </c>
      <c r="H176" s="31">
        <f t="shared" si="72"/>
        <v>0</v>
      </c>
      <c r="I176" s="31"/>
      <c r="J176" s="31"/>
      <c r="K176" s="124" t="str">
        <f t="shared" si="73"/>
        <v/>
      </c>
      <c r="L176" s="31">
        <f t="shared" si="74"/>
        <v>0</v>
      </c>
      <c r="M176" s="32">
        <f t="shared" si="75"/>
        <v>0</v>
      </c>
    </row>
    <row r="177" spans="2:13" x14ac:dyDescent="0.25">
      <c r="B177" s="34" t="s">
        <v>386</v>
      </c>
      <c r="C177" s="31"/>
      <c r="D177" s="31"/>
      <c r="E177" s="31"/>
      <c r="F177" s="31"/>
      <c r="G177" s="124" t="str">
        <f t="shared" si="71"/>
        <v/>
      </c>
      <c r="H177" s="31">
        <f t="shared" si="72"/>
        <v>0</v>
      </c>
      <c r="I177" s="31"/>
      <c r="J177" s="31"/>
      <c r="K177" s="124" t="str">
        <f t="shared" si="73"/>
        <v/>
      </c>
      <c r="L177" s="31">
        <f t="shared" si="74"/>
        <v>0</v>
      </c>
      <c r="M177" s="32">
        <f t="shared" si="75"/>
        <v>0</v>
      </c>
    </row>
    <row r="178" spans="2:13" x14ac:dyDescent="0.25">
      <c r="B178" s="34" t="s">
        <v>387</v>
      </c>
      <c r="C178" s="31"/>
      <c r="D178" s="31"/>
      <c r="E178" s="31"/>
      <c r="F178" s="31"/>
      <c r="G178" s="124" t="str">
        <f t="shared" si="71"/>
        <v/>
      </c>
      <c r="H178" s="31">
        <f t="shared" si="72"/>
        <v>0</v>
      </c>
      <c r="I178" s="31"/>
      <c r="J178" s="31"/>
      <c r="K178" s="124" t="str">
        <f t="shared" si="73"/>
        <v/>
      </c>
      <c r="L178" s="31">
        <f t="shared" si="74"/>
        <v>0</v>
      </c>
      <c r="M178" s="32">
        <f t="shared" si="75"/>
        <v>0</v>
      </c>
    </row>
    <row r="179" spans="2:13" x14ac:dyDescent="0.25">
      <c r="B179" s="34" t="s">
        <v>271</v>
      </c>
      <c r="C179" s="31"/>
      <c r="D179" s="31"/>
      <c r="E179" s="31"/>
      <c r="F179" s="31"/>
      <c r="G179" s="124" t="str">
        <f t="shared" si="71"/>
        <v/>
      </c>
      <c r="H179" s="31">
        <f t="shared" si="72"/>
        <v>0</v>
      </c>
      <c r="I179" s="31"/>
      <c r="J179" s="31"/>
      <c r="K179" s="124" t="str">
        <f t="shared" si="73"/>
        <v/>
      </c>
      <c r="L179" s="31">
        <f t="shared" si="74"/>
        <v>0</v>
      </c>
      <c r="M179" s="32">
        <f t="shared" si="75"/>
        <v>0</v>
      </c>
    </row>
    <row r="180" spans="2:13" x14ac:dyDescent="0.25">
      <c r="B180" s="34" t="s">
        <v>272</v>
      </c>
      <c r="C180" s="31">
        <f>ROUND(C174-SUM(C175:C179),2)</f>
        <v>0</v>
      </c>
      <c r="D180" s="31">
        <f>ROUND(D174-SUM(D175:D179),2)</f>
        <v>0</v>
      </c>
      <c r="E180" s="31">
        <f t="shared" ref="E180:F180" si="78">ROUND(E174-SUM(E175:E179),2)</f>
        <v>0</v>
      </c>
      <c r="F180" s="31">
        <f t="shared" si="78"/>
        <v>0</v>
      </c>
      <c r="G180" s="124" t="str">
        <f t="shared" si="71"/>
        <v/>
      </c>
      <c r="H180" s="31">
        <f t="shared" si="72"/>
        <v>0</v>
      </c>
      <c r="I180" s="31">
        <f t="shared" ref="I180:J180" si="79">ROUND(I174-SUM(I175:I179),2)</f>
        <v>0</v>
      </c>
      <c r="J180" s="31">
        <f t="shared" si="79"/>
        <v>0</v>
      </c>
      <c r="K180" s="124" t="str">
        <f t="shared" si="73"/>
        <v/>
      </c>
      <c r="L180" s="31">
        <f t="shared" si="74"/>
        <v>0</v>
      </c>
      <c r="M180" s="32">
        <f t="shared" si="75"/>
        <v>0</v>
      </c>
    </row>
    <row r="181" spans="2:13" x14ac:dyDescent="0.25">
      <c r="B181" s="33" t="s">
        <v>388</v>
      </c>
      <c r="C181" s="31"/>
      <c r="D181" s="31"/>
      <c r="E181" s="31"/>
      <c r="F181" s="31"/>
      <c r="G181" s="124" t="str">
        <f t="shared" si="71"/>
        <v/>
      </c>
      <c r="H181" s="31">
        <f t="shared" si="72"/>
        <v>0</v>
      </c>
      <c r="I181" s="31"/>
      <c r="J181" s="31"/>
      <c r="K181" s="124" t="str">
        <f t="shared" si="73"/>
        <v/>
      </c>
      <c r="L181" s="31">
        <f t="shared" si="74"/>
        <v>0</v>
      </c>
      <c r="M181" s="32">
        <f t="shared" si="75"/>
        <v>0</v>
      </c>
    </row>
    <row r="182" spans="2:13" x14ac:dyDescent="0.25">
      <c r="B182" s="34" t="s">
        <v>389</v>
      </c>
      <c r="C182" s="31"/>
      <c r="D182" s="31"/>
      <c r="E182" s="31"/>
      <c r="F182" s="31"/>
      <c r="G182" s="124" t="str">
        <f t="shared" si="71"/>
        <v/>
      </c>
      <c r="H182" s="31">
        <f t="shared" si="72"/>
        <v>0</v>
      </c>
      <c r="I182" s="31"/>
      <c r="J182" s="31"/>
      <c r="K182" s="124" t="str">
        <f t="shared" si="73"/>
        <v/>
      </c>
      <c r="L182" s="31">
        <f t="shared" si="74"/>
        <v>0</v>
      </c>
      <c r="M182" s="32">
        <f t="shared" si="75"/>
        <v>0</v>
      </c>
    </row>
    <row r="183" spans="2:13" x14ac:dyDescent="0.25">
      <c r="B183" s="34" t="s">
        <v>390</v>
      </c>
      <c r="C183" s="31"/>
      <c r="D183" s="31"/>
      <c r="E183" s="31"/>
      <c r="F183" s="31"/>
      <c r="G183" s="124" t="str">
        <f t="shared" si="71"/>
        <v/>
      </c>
      <c r="H183" s="31">
        <f t="shared" si="72"/>
        <v>0</v>
      </c>
      <c r="I183" s="31"/>
      <c r="J183" s="31"/>
      <c r="K183" s="124" t="str">
        <f t="shared" si="73"/>
        <v/>
      </c>
      <c r="L183" s="31">
        <f t="shared" si="74"/>
        <v>0</v>
      </c>
      <c r="M183" s="32">
        <f t="shared" si="75"/>
        <v>0</v>
      </c>
    </row>
    <row r="184" spans="2:13" x14ac:dyDescent="0.25">
      <c r="B184" s="34" t="s">
        <v>391</v>
      </c>
      <c r="C184" s="31"/>
      <c r="D184" s="31"/>
      <c r="E184" s="31"/>
      <c r="F184" s="31"/>
      <c r="G184" s="124" t="str">
        <f t="shared" si="71"/>
        <v/>
      </c>
      <c r="H184" s="31">
        <f t="shared" si="72"/>
        <v>0</v>
      </c>
      <c r="I184" s="31"/>
      <c r="J184" s="31"/>
      <c r="K184" s="124" t="str">
        <f t="shared" si="73"/>
        <v/>
      </c>
      <c r="L184" s="31">
        <f t="shared" si="74"/>
        <v>0</v>
      </c>
      <c r="M184" s="32">
        <f t="shared" si="75"/>
        <v>0</v>
      </c>
    </row>
    <row r="185" spans="2:13" x14ac:dyDescent="0.25">
      <c r="B185" s="34" t="s">
        <v>392</v>
      </c>
      <c r="C185" s="31"/>
      <c r="D185" s="31"/>
      <c r="E185" s="31"/>
      <c r="F185" s="31"/>
      <c r="G185" s="124" t="str">
        <f t="shared" si="71"/>
        <v/>
      </c>
      <c r="H185" s="31">
        <f t="shared" si="72"/>
        <v>0</v>
      </c>
      <c r="I185" s="31"/>
      <c r="J185" s="31"/>
      <c r="K185" s="124" t="str">
        <f t="shared" si="73"/>
        <v/>
      </c>
      <c r="L185" s="31">
        <f t="shared" si="74"/>
        <v>0</v>
      </c>
      <c r="M185" s="32">
        <f t="shared" si="75"/>
        <v>0</v>
      </c>
    </row>
    <row r="186" spans="2:13" x14ac:dyDescent="0.25">
      <c r="B186" s="34" t="s">
        <v>393</v>
      </c>
      <c r="C186" s="31"/>
      <c r="D186" s="31"/>
      <c r="E186" s="31"/>
      <c r="F186" s="31"/>
      <c r="G186" s="124" t="str">
        <f t="shared" si="71"/>
        <v/>
      </c>
      <c r="H186" s="31">
        <f t="shared" si="72"/>
        <v>0</v>
      </c>
      <c r="I186" s="31"/>
      <c r="J186" s="31"/>
      <c r="K186" s="124" t="str">
        <f t="shared" si="73"/>
        <v/>
      </c>
      <c r="L186" s="31">
        <f t="shared" si="74"/>
        <v>0</v>
      </c>
      <c r="M186" s="32">
        <f t="shared" si="75"/>
        <v>0</v>
      </c>
    </row>
    <row r="187" spans="2:13" x14ac:dyDescent="0.25">
      <c r="B187" s="34" t="s">
        <v>271</v>
      </c>
      <c r="C187" s="31"/>
      <c r="D187" s="31"/>
      <c r="E187" s="31"/>
      <c r="F187" s="31"/>
      <c r="G187" s="124" t="str">
        <f t="shared" si="71"/>
        <v/>
      </c>
      <c r="H187" s="31">
        <f t="shared" si="72"/>
        <v>0</v>
      </c>
      <c r="I187" s="31"/>
      <c r="J187" s="31"/>
      <c r="K187" s="124" t="str">
        <f t="shared" si="73"/>
        <v/>
      </c>
      <c r="L187" s="31">
        <f t="shared" si="74"/>
        <v>0</v>
      </c>
      <c r="M187" s="32">
        <f t="shared" si="75"/>
        <v>0</v>
      </c>
    </row>
    <row r="188" spans="2:13" x14ac:dyDescent="0.25">
      <c r="B188" s="34" t="s">
        <v>272</v>
      </c>
      <c r="C188" s="31">
        <f>ROUND(C181-SUM(C182:C187),2)</f>
        <v>0</v>
      </c>
      <c r="D188" s="31">
        <f>ROUND(D181-SUM(D182:D187),2)</f>
        <v>0</v>
      </c>
      <c r="E188" s="31">
        <f t="shared" ref="E188:F188" si="80">ROUND(E181-SUM(E182:E187),2)</f>
        <v>0</v>
      </c>
      <c r="F188" s="31">
        <f t="shared" si="80"/>
        <v>0</v>
      </c>
      <c r="G188" s="124" t="str">
        <f t="shared" si="71"/>
        <v/>
      </c>
      <c r="H188" s="31">
        <f t="shared" si="72"/>
        <v>0</v>
      </c>
      <c r="I188" s="31">
        <f t="shared" ref="I188:J188" si="81">ROUND(I181-SUM(I182:I187),2)</f>
        <v>0</v>
      </c>
      <c r="J188" s="31">
        <f t="shared" si="81"/>
        <v>0</v>
      </c>
      <c r="K188" s="124" t="str">
        <f t="shared" si="73"/>
        <v/>
      </c>
      <c r="L188" s="31">
        <f t="shared" si="74"/>
        <v>0</v>
      </c>
      <c r="M188" s="32">
        <f t="shared" si="75"/>
        <v>0</v>
      </c>
    </row>
    <row r="189" spans="2:13" x14ac:dyDescent="0.25">
      <c r="B189" s="33" t="s">
        <v>394</v>
      </c>
      <c r="C189" s="31"/>
      <c r="D189" s="31"/>
      <c r="E189" s="31"/>
      <c r="F189" s="31"/>
      <c r="G189" s="124" t="str">
        <f t="shared" si="71"/>
        <v/>
      </c>
      <c r="H189" s="31">
        <f t="shared" si="72"/>
        <v>0</v>
      </c>
      <c r="I189" s="31"/>
      <c r="J189" s="31"/>
      <c r="K189" s="124" t="str">
        <f t="shared" si="73"/>
        <v/>
      </c>
      <c r="L189" s="31">
        <f t="shared" si="74"/>
        <v>0</v>
      </c>
      <c r="M189" s="32">
        <f t="shared" si="75"/>
        <v>0</v>
      </c>
    </row>
    <row r="190" spans="2:13" x14ac:dyDescent="0.25">
      <c r="B190" s="34" t="s">
        <v>395</v>
      </c>
      <c r="C190" s="31"/>
      <c r="D190" s="31"/>
      <c r="E190" s="31"/>
      <c r="F190" s="31"/>
      <c r="G190" s="124" t="str">
        <f t="shared" si="71"/>
        <v/>
      </c>
      <c r="H190" s="31">
        <f t="shared" si="72"/>
        <v>0</v>
      </c>
      <c r="I190" s="31"/>
      <c r="J190" s="31"/>
      <c r="K190" s="124" t="str">
        <f t="shared" si="73"/>
        <v/>
      </c>
      <c r="L190" s="31">
        <f t="shared" si="74"/>
        <v>0</v>
      </c>
      <c r="M190" s="32">
        <f t="shared" si="75"/>
        <v>0</v>
      </c>
    </row>
    <row r="191" spans="2:13" x14ac:dyDescent="0.25">
      <c r="B191" s="34" t="s">
        <v>396</v>
      </c>
      <c r="C191" s="31"/>
      <c r="D191" s="31"/>
      <c r="E191" s="31"/>
      <c r="F191" s="31"/>
      <c r="G191" s="124" t="str">
        <f t="shared" si="71"/>
        <v/>
      </c>
      <c r="H191" s="31">
        <f t="shared" si="72"/>
        <v>0</v>
      </c>
      <c r="I191" s="31"/>
      <c r="J191" s="31"/>
      <c r="K191" s="124" t="str">
        <f t="shared" si="73"/>
        <v/>
      </c>
      <c r="L191" s="31">
        <f t="shared" si="74"/>
        <v>0</v>
      </c>
      <c r="M191" s="32">
        <f t="shared" si="75"/>
        <v>0</v>
      </c>
    </row>
    <row r="192" spans="2:13" x14ac:dyDescent="0.25">
      <c r="B192" s="34" t="s">
        <v>397</v>
      </c>
      <c r="C192" s="31"/>
      <c r="D192" s="31"/>
      <c r="E192" s="31"/>
      <c r="F192" s="31"/>
      <c r="G192" s="124" t="str">
        <f t="shared" si="71"/>
        <v/>
      </c>
      <c r="H192" s="31">
        <f t="shared" si="72"/>
        <v>0</v>
      </c>
      <c r="I192" s="31"/>
      <c r="J192" s="31"/>
      <c r="K192" s="124" t="str">
        <f t="shared" si="73"/>
        <v/>
      </c>
      <c r="L192" s="31">
        <f t="shared" si="74"/>
        <v>0</v>
      </c>
      <c r="M192" s="32">
        <f t="shared" si="75"/>
        <v>0</v>
      </c>
    </row>
    <row r="193" spans="2:13" x14ac:dyDescent="0.25">
      <c r="B193" s="34" t="s">
        <v>271</v>
      </c>
      <c r="C193" s="31"/>
      <c r="D193" s="31"/>
      <c r="E193" s="31"/>
      <c r="F193" s="31"/>
      <c r="G193" s="124" t="str">
        <f t="shared" si="71"/>
        <v/>
      </c>
      <c r="H193" s="31">
        <f t="shared" si="72"/>
        <v>0</v>
      </c>
      <c r="I193" s="31"/>
      <c r="J193" s="31"/>
      <c r="K193" s="124" t="str">
        <f t="shared" si="73"/>
        <v/>
      </c>
      <c r="L193" s="31">
        <f t="shared" si="74"/>
        <v>0</v>
      </c>
      <c r="M193" s="32">
        <f t="shared" si="75"/>
        <v>0</v>
      </c>
    </row>
    <row r="194" spans="2:13" x14ac:dyDescent="0.25">
      <c r="B194" s="34" t="s">
        <v>272</v>
      </c>
      <c r="C194" s="31">
        <f>ROUND(C189-SUM(C190:C193),2)</f>
        <v>0</v>
      </c>
      <c r="D194" s="31">
        <f>ROUND(D189-SUM(D190:D193),2)</f>
        <v>0</v>
      </c>
      <c r="E194" s="31">
        <f t="shared" ref="E194:F194" si="82">ROUND(E189-SUM(E190:E193),2)</f>
        <v>0</v>
      </c>
      <c r="F194" s="31">
        <f t="shared" si="82"/>
        <v>0</v>
      </c>
      <c r="G194" s="124" t="str">
        <f t="shared" si="71"/>
        <v/>
      </c>
      <c r="H194" s="31">
        <f t="shared" si="72"/>
        <v>0</v>
      </c>
      <c r="I194" s="31">
        <f t="shared" ref="I194:J194" si="83">ROUND(I189-SUM(I190:I193),2)</f>
        <v>0</v>
      </c>
      <c r="J194" s="31">
        <f t="shared" si="83"/>
        <v>0</v>
      </c>
      <c r="K194" s="124" t="str">
        <f t="shared" si="73"/>
        <v/>
      </c>
      <c r="L194" s="31">
        <f t="shared" si="74"/>
        <v>0</v>
      </c>
      <c r="M194" s="32">
        <f t="shared" si="75"/>
        <v>0</v>
      </c>
    </row>
    <row r="195" spans="2:13" x14ac:dyDescent="0.25">
      <c r="B195" s="33" t="s">
        <v>398</v>
      </c>
      <c r="C195" s="31"/>
      <c r="D195" s="31"/>
      <c r="E195" s="31"/>
      <c r="F195" s="31"/>
      <c r="G195" s="124" t="str">
        <f t="shared" si="71"/>
        <v/>
      </c>
      <c r="H195" s="31">
        <f t="shared" si="72"/>
        <v>0</v>
      </c>
      <c r="I195" s="31"/>
      <c r="J195" s="31"/>
      <c r="K195" s="124" t="str">
        <f t="shared" si="73"/>
        <v/>
      </c>
      <c r="L195" s="31">
        <f t="shared" si="74"/>
        <v>0</v>
      </c>
      <c r="M195" s="32">
        <f t="shared" si="75"/>
        <v>0</v>
      </c>
    </row>
    <row r="196" spans="2:13" x14ac:dyDescent="0.25">
      <c r="B196" s="34" t="s">
        <v>399</v>
      </c>
      <c r="C196" s="31"/>
      <c r="D196" s="31"/>
      <c r="E196" s="31"/>
      <c r="F196" s="31"/>
      <c r="G196" s="124" t="str">
        <f t="shared" si="71"/>
        <v/>
      </c>
      <c r="H196" s="31">
        <f t="shared" si="72"/>
        <v>0</v>
      </c>
      <c r="I196" s="31"/>
      <c r="J196" s="31"/>
      <c r="K196" s="124" t="str">
        <f t="shared" si="73"/>
        <v/>
      </c>
      <c r="L196" s="31">
        <f t="shared" si="74"/>
        <v>0</v>
      </c>
      <c r="M196" s="32">
        <f t="shared" si="75"/>
        <v>0</v>
      </c>
    </row>
    <row r="197" spans="2:13" x14ac:dyDescent="0.25">
      <c r="B197" s="34" t="s">
        <v>400</v>
      </c>
      <c r="C197" s="31"/>
      <c r="D197" s="31"/>
      <c r="E197" s="31"/>
      <c r="F197" s="31"/>
      <c r="G197" s="124" t="str">
        <f t="shared" si="71"/>
        <v/>
      </c>
      <c r="H197" s="31">
        <f t="shared" si="72"/>
        <v>0</v>
      </c>
      <c r="I197" s="31"/>
      <c r="J197" s="31"/>
      <c r="K197" s="124" t="str">
        <f t="shared" si="73"/>
        <v/>
      </c>
      <c r="L197" s="31">
        <f t="shared" si="74"/>
        <v>0</v>
      </c>
      <c r="M197" s="32">
        <f t="shared" si="75"/>
        <v>0</v>
      </c>
    </row>
    <row r="198" spans="2:13" x14ac:dyDescent="0.25">
      <c r="B198" s="34" t="s">
        <v>401</v>
      </c>
      <c r="C198" s="31"/>
      <c r="D198" s="31"/>
      <c r="E198" s="31"/>
      <c r="F198" s="31"/>
      <c r="G198" s="124" t="str">
        <f t="shared" si="71"/>
        <v/>
      </c>
      <c r="H198" s="31">
        <f t="shared" si="72"/>
        <v>0</v>
      </c>
      <c r="I198" s="31"/>
      <c r="J198" s="31"/>
      <c r="K198" s="124" t="str">
        <f t="shared" si="73"/>
        <v/>
      </c>
      <c r="L198" s="31">
        <f t="shared" si="74"/>
        <v>0</v>
      </c>
      <c r="M198" s="32">
        <f t="shared" si="75"/>
        <v>0</v>
      </c>
    </row>
    <row r="199" spans="2:13" x14ac:dyDescent="0.25">
      <c r="B199" s="34" t="s">
        <v>402</v>
      </c>
      <c r="C199" s="31"/>
      <c r="D199" s="31"/>
      <c r="E199" s="31"/>
      <c r="F199" s="31"/>
      <c r="G199" s="124" t="str">
        <f t="shared" si="71"/>
        <v/>
      </c>
      <c r="H199" s="31">
        <f t="shared" si="72"/>
        <v>0</v>
      </c>
      <c r="I199" s="31"/>
      <c r="J199" s="31"/>
      <c r="K199" s="124" t="str">
        <f t="shared" si="73"/>
        <v/>
      </c>
      <c r="L199" s="31">
        <f t="shared" si="74"/>
        <v>0</v>
      </c>
      <c r="M199" s="32">
        <f t="shared" si="75"/>
        <v>0</v>
      </c>
    </row>
    <row r="200" spans="2:13" x14ac:dyDescent="0.25">
      <c r="B200" s="34" t="s">
        <v>403</v>
      </c>
      <c r="C200" s="31"/>
      <c r="D200" s="31"/>
      <c r="E200" s="31"/>
      <c r="F200" s="31"/>
      <c r="G200" s="124" t="str">
        <f t="shared" si="71"/>
        <v/>
      </c>
      <c r="H200" s="31">
        <f t="shared" si="72"/>
        <v>0</v>
      </c>
      <c r="I200" s="31"/>
      <c r="J200" s="31"/>
      <c r="K200" s="124" t="str">
        <f t="shared" si="73"/>
        <v/>
      </c>
      <c r="L200" s="31">
        <f t="shared" si="74"/>
        <v>0</v>
      </c>
      <c r="M200" s="32">
        <f t="shared" si="75"/>
        <v>0</v>
      </c>
    </row>
    <row r="201" spans="2:13" x14ac:dyDescent="0.25">
      <c r="B201" s="34" t="s">
        <v>404</v>
      </c>
      <c r="C201" s="31"/>
      <c r="D201" s="31"/>
      <c r="E201" s="31"/>
      <c r="F201" s="31"/>
      <c r="G201" s="124" t="str">
        <f t="shared" si="71"/>
        <v/>
      </c>
      <c r="H201" s="31">
        <f t="shared" si="72"/>
        <v>0</v>
      </c>
      <c r="I201" s="31"/>
      <c r="J201" s="31"/>
      <c r="K201" s="124" t="str">
        <f t="shared" si="73"/>
        <v/>
      </c>
      <c r="L201" s="31">
        <f t="shared" si="74"/>
        <v>0</v>
      </c>
      <c r="M201" s="32">
        <f t="shared" si="75"/>
        <v>0</v>
      </c>
    </row>
    <row r="202" spans="2:13" x14ac:dyDescent="0.25">
      <c r="B202" s="34" t="s">
        <v>405</v>
      </c>
      <c r="C202" s="31"/>
      <c r="D202" s="31"/>
      <c r="E202" s="31"/>
      <c r="F202" s="31"/>
      <c r="G202" s="124" t="str">
        <f t="shared" si="71"/>
        <v/>
      </c>
      <c r="H202" s="31">
        <f t="shared" si="72"/>
        <v>0</v>
      </c>
      <c r="I202" s="31"/>
      <c r="J202" s="31"/>
      <c r="K202" s="124" t="str">
        <f t="shared" si="73"/>
        <v/>
      </c>
      <c r="L202" s="31">
        <f t="shared" si="74"/>
        <v>0</v>
      </c>
      <c r="M202" s="32">
        <f t="shared" si="75"/>
        <v>0</v>
      </c>
    </row>
    <row r="203" spans="2:13" x14ac:dyDescent="0.25">
      <c r="B203" s="34" t="s">
        <v>272</v>
      </c>
      <c r="C203" s="31">
        <f>ROUND(C195-SUM(C196:C202),2)</f>
        <v>0</v>
      </c>
      <c r="D203" s="31">
        <f>ROUND(D195-SUM(D196:D202),2)</f>
        <v>0</v>
      </c>
      <c r="E203" s="31">
        <f t="shared" ref="E203:F203" si="84">ROUND(E195-SUM(E196:E202),2)</f>
        <v>0</v>
      </c>
      <c r="F203" s="31">
        <f t="shared" si="84"/>
        <v>0</v>
      </c>
      <c r="G203" s="124" t="str">
        <f t="shared" si="71"/>
        <v/>
      </c>
      <c r="H203" s="31">
        <f t="shared" si="72"/>
        <v>0</v>
      </c>
      <c r="I203" s="31">
        <f t="shared" ref="I203:J203" si="85">ROUND(I195-SUM(I196:I202),2)</f>
        <v>0</v>
      </c>
      <c r="J203" s="31">
        <f t="shared" si="85"/>
        <v>0</v>
      </c>
      <c r="K203" s="124" t="str">
        <f t="shared" si="73"/>
        <v/>
      </c>
      <c r="L203" s="31">
        <f t="shared" si="74"/>
        <v>0</v>
      </c>
      <c r="M203" s="32">
        <f t="shared" si="75"/>
        <v>0</v>
      </c>
    </row>
    <row r="204" spans="2:13" x14ac:dyDescent="0.25">
      <c r="B204" s="57" t="s">
        <v>241</v>
      </c>
      <c r="C204" s="31"/>
      <c r="D204" s="31"/>
      <c r="E204" s="31"/>
      <c r="F204" s="31"/>
      <c r="G204" s="124" t="str">
        <f t="shared" ref="G204:G206" si="86">IFERROR(ROUND(F204/F$206,4),"")</f>
        <v/>
      </c>
      <c r="H204" s="31">
        <f t="shared" si="72"/>
        <v>0</v>
      </c>
      <c r="I204" s="31"/>
      <c r="J204" s="31"/>
      <c r="K204" s="124" t="str">
        <f t="shared" ref="K204:K206" si="87">IFERROR(ROUND(J204/J$206,4),"")</f>
        <v/>
      </c>
      <c r="L204" s="31">
        <f t="shared" si="74"/>
        <v>0</v>
      </c>
      <c r="M204" s="32">
        <f t="shared" si="75"/>
        <v>0</v>
      </c>
    </row>
    <row r="205" spans="2:13" x14ac:dyDescent="0.25">
      <c r="B205" s="76" t="s">
        <v>406</v>
      </c>
      <c r="C205" s="68">
        <f>'RREO A2 Intra'!C205</f>
        <v>0</v>
      </c>
      <c r="D205" s="68">
        <f>'RREO A2 Intra'!D205</f>
        <v>0</v>
      </c>
      <c r="E205" s="68">
        <f>'RREO A2 Intra'!E205</f>
        <v>0</v>
      </c>
      <c r="F205" s="68">
        <f>'RREO A2 Intra'!F205</f>
        <v>0</v>
      </c>
      <c r="G205" s="126" t="str">
        <f t="shared" si="86"/>
        <v/>
      </c>
      <c r="H205" s="68">
        <f t="shared" si="72"/>
        <v>0</v>
      </c>
      <c r="I205" s="68">
        <f>'RREO A2 Intra'!I205</f>
        <v>0</v>
      </c>
      <c r="J205" s="68">
        <f>'RREO A2 Intra'!J205</f>
        <v>0</v>
      </c>
      <c r="K205" s="126" t="str">
        <f t="shared" si="87"/>
        <v/>
      </c>
      <c r="L205" s="68">
        <f t="shared" si="74"/>
        <v>0</v>
      </c>
      <c r="M205" s="69">
        <f t="shared" si="75"/>
        <v>0</v>
      </c>
    </row>
    <row r="206" spans="2:13" ht="15.75" customHeight="1" x14ac:dyDescent="0.25">
      <c r="B206" s="16" t="s">
        <v>407</v>
      </c>
      <c r="C206" s="17">
        <f>C12+C205</f>
        <v>0</v>
      </c>
      <c r="D206" s="17">
        <f>D12+D205</f>
        <v>0</v>
      </c>
      <c r="E206" s="17">
        <f>E12+E205</f>
        <v>0</v>
      </c>
      <c r="F206" s="17">
        <f>F12+F205</f>
        <v>0</v>
      </c>
      <c r="G206" s="127" t="str">
        <f t="shared" si="86"/>
        <v/>
      </c>
      <c r="H206" s="17">
        <f>H12+H205</f>
        <v>0</v>
      </c>
      <c r="I206" s="17">
        <f>I12+I205</f>
        <v>0</v>
      </c>
      <c r="J206" s="17">
        <f>J12+J205</f>
        <v>0</v>
      </c>
      <c r="K206" s="127" t="str">
        <f t="shared" si="87"/>
        <v/>
      </c>
      <c r="L206" s="17">
        <f>L12+L205</f>
        <v>0</v>
      </c>
      <c r="M206" s="18">
        <f t="shared" si="75"/>
        <v>0</v>
      </c>
    </row>
    <row r="207" spans="2:13" x14ac:dyDescent="0.25">
      <c r="B207" s="261" t="str">
        <f ca="1">_xlfn.CONCAT("Fonte: ",paramFonte,". Emissão em ",TEXT(NOW(),"dd/mm/aaaa \à\s hh:mm:ss"))</f>
        <v>Fonte: Sistema MS Excel + SIAPC/PAD, Unidade Responsável: Secretaria da Fazenda / Setor de Contabilidade. Emissão em 09/05/2024 às 09:42:51</v>
      </c>
      <c r="C207" s="261"/>
      <c r="D207" s="261"/>
      <c r="E207" s="261"/>
      <c r="F207" s="261"/>
      <c r="G207" s="261"/>
      <c r="H207" s="261"/>
      <c r="I207" s="261"/>
      <c r="J207" s="261"/>
      <c r="K207" s="261"/>
      <c r="L207" s="261"/>
      <c r="M207" s="261"/>
    </row>
    <row r="209" spans="2:13" x14ac:dyDescent="0.25">
      <c r="B209" t="s">
        <v>253</v>
      </c>
    </row>
    <row r="210" spans="2:13" x14ac:dyDescent="0.25">
      <c r="B210" s="247" t="str">
        <f>IFERROR(_xlfn.CONCAT(_xlfn._xlws.FILTER(tblNotasExplicativas[Nota Com Separador],tblNotasExplicativas[Demonstrativo]="RREO A2")),"")</f>
        <v/>
      </c>
      <c r="C210" s="247"/>
      <c r="D210" s="247"/>
      <c r="E210" s="247"/>
      <c r="F210" s="247"/>
      <c r="G210" s="247"/>
      <c r="H210" s="247"/>
      <c r="I210" s="247"/>
      <c r="J210" s="247"/>
      <c r="K210" s="247"/>
      <c r="L210" s="247"/>
      <c r="M210" s="247"/>
    </row>
    <row r="215" spans="2:13" x14ac:dyDescent="0.25">
      <c r="B215" s="247" t="str">
        <f>paramNomeContador</f>
        <v>EVERTON DA ROSA</v>
      </c>
      <c r="C215" s="247"/>
      <c r="E215" s="247" t="str">
        <f>paramNomeSecretario</f>
        <v>ANA PAULA RODRIGUES SCHNEIDER SCHMIDT</v>
      </c>
      <c r="F215" s="247"/>
      <c r="G215" s="247"/>
      <c r="H215" s="247"/>
      <c r="J215" s="247" t="str">
        <f>paramNomePrefeito</f>
        <v>JOÃO EDÉCIO GRAEF</v>
      </c>
      <c r="K215" s="247"/>
      <c r="L215" s="247"/>
      <c r="M215" s="247"/>
    </row>
    <row r="216" spans="2:13" x14ac:dyDescent="0.25">
      <c r="B216" s="247" t="str">
        <f>paramCargoContador</f>
        <v>Contador</v>
      </c>
      <c r="C216" s="247"/>
      <c r="E216" s="247" t="str">
        <f>paramCargoSecretario</f>
        <v>Secretária da Fazenda</v>
      </c>
      <c r="F216" s="247"/>
      <c r="G216" s="247"/>
      <c r="H216" s="247"/>
      <c r="J216" s="247" t="str">
        <f>paramCargoPrefeito</f>
        <v>Prefeito Municipal</v>
      </c>
      <c r="K216" s="247"/>
      <c r="L216" s="247"/>
      <c r="M216" s="247"/>
    </row>
    <row r="217" spans="2:13" x14ac:dyDescent="0.25">
      <c r="B217" s="247" t="str">
        <f>_xlfn.CONCAT("CRC ",paramCRCContador)</f>
        <v>CRC 076595/O-3</v>
      </c>
      <c r="C217" s="247"/>
    </row>
  </sheetData>
  <mergeCells count="20">
    <mergeCell ref="B210:M210"/>
    <mergeCell ref="B215:C215"/>
    <mergeCell ref="B216:C216"/>
    <mergeCell ref="B217:C217"/>
    <mergeCell ref="E215:H215"/>
    <mergeCell ref="E216:H216"/>
    <mergeCell ref="J215:M215"/>
    <mergeCell ref="J216:M216"/>
    <mergeCell ref="B207:M207"/>
    <mergeCell ref="B2:M2"/>
    <mergeCell ref="B3:M3"/>
    <mergeCell ref="B4:M4"/>
    <mergeCell ref="B5:M5"/>
    <mergeCell ref="B6:M6"/>
    <mergeCell ref="B8:L8"/>
    <mergeCell ref="B9:B11"/>
    <mergeCell ref="E9:G9"/>
    <mergeCell ref="H9:H10"/>
    <mergeCell ref="I9:K9"/>
    <mergeCell ref="L9:L10"/>
  </mergeCells>
  <pageMargins left="0.23622047244094491" right="0.23622047244094491" top="0.74803149606299213" bottom="0.74803149606299213" header="0.31496062992125984" footer="0.31496062992125984"/>
  <pageSetup paperSize="9" scale="72" fitToHeight="0" orientation="landscape" r:id="rId1"/>
  <ignoredErrors>
    <ignoredError sqref="G12 K12 G13 K13 G14 K14 G17 K17 G18 K18 G23 K23 G28 K28 G41 K41 G47 K47 G53 K53 G58 K58 G65 K65 G72 K72 G81 K81 G88 K88 G99 K99 G104 K104 G110 K110 G116 K116 G121 K121 G126 K126 G134 K134 G140 K140 G148 K148 G153 K153 G161 K161 G169 K169 G174 K174 G181 K181 G189 K189 G195 K195 K205 G206 K20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853C0C"/>
    <pageSetUpPr fitToPage="1"/>
  </sheetPr>
  <dimension ref="B2:M216"/>
  <sheetViews>
    <sheetView topLeftCell="A171" workbookViewId="0">
      <selection activeCell="B202" sqref="B202"/>
    </sheetView>
  </sheetViews>
  <sheetFormatPr defaultRowHeight="15" x14ac:dyDescent="0.25"/>
  <cols>
    <col min="2" max="2" width="49.28515625" customWidth="1"/>
    <col min="3" max="4" width="13.5703125" customWidth="1"/>
    <col min="5" max="5" width="12.42578125" customWidth="1"/>
    <col min="6" max="6" width="14.28515625" customWidth="1"/>
    <col min="7" max="7" width="10.140625" customWidth="1"/>
    <col min="8" max="8" width="13.5703125" customWidth="1"/>
    <col min="9" max="9" width="12.42578125" customWidth="1"/>
    <col min="10" max="10" width="14.28515625" customWidth="1"/>
    <col min="11" max="11" width="10.140625" customWidth="1"/>
    <col min="12" max="12" width="13.5703125" customWidth="1"/>
    <col min="13" max="13" width="18.7109375"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247"/>
    </row>
    <row r="4" spans="2:13" x14ac:dyDescent="0.25">
      <c r="B4" s="248" t="s">
        <v>256</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7" spans="2:13" ht="15.75" customHeight="1" x14ac:dyDescent="0.25"/>
    <row r="8" spans="2:13" x14ac:dyDescent="0.25">
      <c r="B8" s="259" t="s">
        <v>408</v>
      </c>
      <c r="C8" s="7" t="s">
        <v>259</v>
      </c>
      <c r="D8" s="7" t="s">
        <v>259</v>
      </c>
      <c r="E8" s="257" t="s">
        <v>218</v>
      </c>
      <c r="F8" s="257"/>
      <c r="G8" s="257"/>
      <c r="H8" s="253" t="s">
        <v>134</v>
      </c>
      <c r="I8" s="257" t="s">
        <v>219</v>
      </c>
      <c r="J8" s="257"/>
      <c r="K8" s="257"/>
      <c r="L8" s="253" t="s">
        <v>134</v>
      </c>
      <c r="M8" s="9" t="s">
        <v>260</v>
      </c>
    </row>
    <row r="9" spans="2:13" x14ac:dyDescent="0.25">
      <c r="B9" s="260"/>
      <c r="C9" s="8" t="s">
        <v>261</v>
      </c>
      <c r="D9" s="8" t="s">
        <v>262</v>
      </c>
      <c r="E9" s="13" t="s">
        <v>135</v>
      </c>
      <c r="F9" s="13" t="s">
        <v>137</v>
      </c>
      <c r="G9" s="13" t="s">
        <v>136</v>
      </c>
      <c r="H9" s="254"/>
      <c r="I9" s="13" t="s">
        <v>135</v>
      </c>
      <c r="J9" s="13" t="s">
        <v>137</v>
      </c>
      <c r="K9" s="13" t="s">
        <v>136</v>
      </c>
      <c r="L9" s="254"/>
      <c r="M9" s="10" t="s">
        <v>223</v>
      </c>
    </row>
    <row r="10" spans="2:13" x14ac:dyDescent="0.25">
      <c r="B10" s="260"/>
      <c r="C10" s="8"/>
      <c r="D10" s="8" t="s">
        <v>138</v>
      </c>
      <c r="E10" s="8"/>
      <c r="F10" s="8" t="s">
        <v>139</v>
      </c>
      <c r="G10" s="8" t="s">
        <v>409</v>
      </c>
      <c r="H10" s="8" t="s">
        <v>264</v>
      </c>
      <c r="I10" s="8"/>
      <c r="J10" s="8" t="s">
        <v>224</v>
      </c>
      <c r="K10" s="8" t="s">
        <v>410</v>
      </c>
      <c r="L10" s="8" t="s">
        <v>266</v>
      </c>
      <c r="M10" s="10" t="s">
        <v>226</v>
      </c>
    </row>
    <row r="11" spans="2:13" x14ac:dyDescent="0.25">
      <c r="B11" s="260"/>
      <c r="C11" s="11"/>
      <c r="D11" s="11"/>
      <c r="E11" s="11"/>
      <c r="F11" s="11"/>
      <c r="G11" s="11"/>
      <c r="H11" s="11"/>
      <c r="I11" s="11"/>
      <c r="J11" s="11"/>
      <c r="K11" s="11"/>
      <c r="L11" s="11"/>
      <c r="M11" s="12"/>
    </row>
    <row r="12" spans="2:13" x14ac:dyDescent="0.25">
      <c r="B12" s="49" t="s">
        <v>406</v>
      </c>
      <c r="C12" s="65">
        <f>C13+C18+C23+C28+C41+C47+C53+C58+C65+C72+C81+C88+C99+C104+C110+C116+C121+C126+C134+C140+C148+C153+C161+C169+C174+C181+C189+C195+C204</f>
        <v>0</v>
      </c>
      <c r="D12" s="65">
        <f>D13+D18+D23+D28+D41+D47+D53+D58+D65+D72+D81+D88+D99+D104+D110+D116+D121+D126+D134+D140+D148+D153+D161+D169+D174+D181+D189+D195+D204</f>
        <v>0</v>
      </c>
      <c r="E12" s="65">
        <f>E13+E18+E23+E28+E41+E47+E53+E58+E65+E72+E81+E88+E99+E104+E110+E116+E121+E126+E134+E140+E148+E153+E161+E169+E174+E181+E189+E195</f>
        <v>0</v>
      </c>
      <c r="F12" s="65">
        <f>F13+F18+F23+F28+F41+F47+F53+F58+F65+F72+F81+F88+F99+F104+F110+F116+F121+F126+F134+F140+F148+F153+F161+F169+F174+F181+F189+F195</f>
        <v>0</v>
      </c>
      <c r="G12" s="125" t="str">
        <f t="shared" ref="G12" si="0">IFERROR(ROUND(F12/F$205,4),"")</f>
        <v/>
      </c>
      <c r="H12" s="65">
        <f t="shared" ref="H12:H75" si="1">D12-F12</f>
        <v>0</v>
      </c>
      <c r="I12" s="65">
        <f>I13+I18+I23+I28+I41+I47+I53+I58+I65+I72+I81+I88+I99+I104+I110+I116+I121+I126+I134+I140+I148+I153+I161+I169+I174+I181+I189+I195</f>
        <v>0</v>
      </c>
      <c r="J12" s="65">
        <f>J13+J18+J23+J28+J41+J47+J53+J58+J65+J72+J81+J88+J99+J104+J110+J116+J121+J126+J134+J140+J148+J153+J161+J169+J174+J181+J189+J195</f>
        <v>0</v>
      </c>
      <c r="K12" s="125" t="str">
        <f t="shared" ref="K12" si="2">IFERROR(ROUND(J12/J$205,4),"")</f>
        <v/>
      </c>
      <c r="L12" s="65">
        <f t="shared" ref="L12:L75" si="3">D12-J12</f>
        <v>0</v>
      </c>
      <c r="M12" s="66">
        <f t="shared" ref="M12:M75" si="4">IF(MONTH(paramDataBase)=12,F12-J12,0)</f>
        <v>0</v>
      </c>
    </row>
    <row r="13" spans="2:13" x14ac:dyDescent="0.25">
      <c r="B13" s="33" t="s">
        <v>268</v>
      </c>
      <c r="C13" s="31"/>
      <c r="D13" s="31"/>
      <c r="E13" s="31"/>
      <c r="F13" s="31"/>
      <c r="G13" s="124" t="str">
        <f t="shared" ref="G13:G76" si="5">IFERROR(ROUND(F13/F$207,4),"")</f>
        <v/>
      </c>
      <c r="H13" s="31">
        <f t="shared" si="1"/>
        <v>0</v>
      </c>
      <c r="I13" s="31"/>
      <c r="J13" s="31"/>
      <c r="K13" s="124" t="str">
        <f t="shared" ref="K13:K76" si="6">IFERROR(ROUND(J13/J$207,4),"")</f>
        <v/>
      </c>
      <c r="L13" s="31">
        <f t="shared" si="3"/>
        <v>0</v>
      </c>
      <c r="M13" s="32">
        <f t="shared" si="4"/>
        <v>0</v>
      </c>
    </row>
    <row r="14" spans="2:13" x14ac:dyDescent="0.25">
      <c r="B14" s="34" t="s">
        <v>269</v>
      </c>
      <c r="C14" s="31"/>
      <c r="D14" s="31"/>
      <c r="E14" s="31"/>
      <c r="F14" s="31"/>
      <c r="G14" s="124" t="str">
        <f t="shared" si="5"/>
        <v/>
      </c>
      <c r="H14" s="31">
        <f t="shared" si="1"/>
        <v>0</v>
      </c>
      <c r="I14" s="31"/>
      <c r="J14" s="31"/>
      <c r="K14" s="124" t="str">
        <f t="shared" si="6"/>
        <v/>
      </c>
      <c r="L14" s="31">
        <f t="shared" si="3"/>
        <v>0</v>
      </c>
      <c r="M14" s="32">
        <f t="shared" si="4"/>
        <v>0</v>
      </c>
    </row>
    <row r="15" spans="2:13" x14ac:dyDescent="0.25">
      <c r="B15" s="34" t="s">
        <v>270</v>
      </c>
      <c r="C15" s="31"/>
      <c r="D15" s="31"/>
      <c r="E15" s="31"/>
      <c r="F15" s="31"/>
      <c r="G15" s="124" t="str">
        <f t="shared" si="5"/>
        <v/>
      </c>
      <c r="H15" s="31">
        <f t="shared" si="1"/>
        <v>0</v>
      </c>
      <c r="I15" s="31"/>
      <c r="J15" s="31"/>
      <c r="K15" s="124" t="str">
        <f t="shared" si="6"/>
        <v/>
      </c>
      <c r="L15" s="31">
        <f t="shared" si="3"/>
        <v>0</v>
      </c>
      <c r="M15" s="32">
        <f t="shared" si="4"/>
        <v>0</v>
      </c>
    </row>
    <row r="16" spans="2:13" x14ac:dyDescent="0.25">
      <c r="B16" s="34" t="s">
        <v>271</v>
      </c>
      <c r="C16" s="31"/>
      <c r="D16" s="31"/>
      <c r="E16" s="31"/>
      <c r="F16" s="31"/>
      <c r="G16" s="124" t="str">
        <f t="shared" si="5"/>
        <v/>
      </c>
      <c r="H16" s="31">
        <f t="shared" si="1"/>
        <v>0</v>
      </c>
      <c r="I16" s="31"/>
      <c r="J16" s="31"/>
      <c r="K16" s="124" t="str">
        <f t="shared" si="6"/>
        <v/>
      </c>
      <c r="L16" s="31">
        <f t="shared" si="3"/>
        <v>0</v>
      </c>
      <c r="M16" s="32">
        <f t="shared" si="4"/>
        <v>0</v>
      </c>
    </row>
    <row r="17" spans="2:13" x14ac:dyDescent="0.25">
      <c r="B17" s="34" t="s">
        <v>272</v>
      </c>
      <c r="C17" s="31">
        <f>ROUND(C13-SUM(C14:C16),2)</f>
        <v>0</v>
      </c>
      <c r="D17" s="31">
        <f>ROUND(D13-SUM(D14:D16),2)</f>
        <v>0</v>
      </c>
      <c r="E17" s="31">
        <f t="shared" ref="E17:F17" si="7">ROUND(E13-SUM(E14:E16),2)</f>
        <v>0</v>
      </c>
      <c r="F17" s="31">
        <f t="shared" si="7"/>
        <v>0</v>
      </c>
      <c r="G17" s="124" t="str">
        <f t="shared" si="5"/>
        <v/>
      </c>
      <c r="H17" s="31">
        <f t="shared" si="1"/>
        <v>0</v>
      </c>
      <c r="I17" s="31">
        <f t="shared" ref="I17:J17" si="8">ROUND(I13-SUM(I14:I16),2)</f>
        <v>0</v>
      </c>
      <c r="J17" s="31">
        <f t="shared" si="8"/>
        <v>0</v>
      </c>
      <c r="K17" s="124" t="str">
        <f t="shared" si="6"/>
        <v/>
      </c>
      <c r="L17" s="31">
        <f t="shared" si="3"/>
        <v>0</v>
      </c>
      <c r="M17" s="32">
        <f t="shared" si="4"/>
        <v>0</v>
      </c>
    </row>
    <row r="18" spans="2:13" x14ac:dyDescent="0.25">
      <c r="B18" s="33" t="s">
        <v>273</v>
      </c>
      <c r="C18" s="31"/>
      <c r="D18" s="31"/>
      <c r="E18" s="31"/>
      <c r="F18" s="31"/>
      <c r="G18" s="124" t="str">
        <f t="shared" si="5"/>
        <v/>
      </c>
      <c r="H18" s="31">
        <f t="shared" si="1"/>
        <v>0</v>
      </c>
      <c r="I18" s="31"/>
      <c r="J18" s="31"/>
      <c r="K18" s="124" t="str">
        <f t="shared" si="6"/>
        <v/>
      </c>
      <c r="L18" s="31">
        <f t="shared" si="3"/>
        <v>0</v>
      </c>
      <c r="M18" s="32">
        <f t="shared" si="4"/>
        <v>0</v>
      </c>
    </row>
    <row r="19" spans="2:13" x14ac:dyDescent="0.25">
      <c r="B19" s="34" t="s">
        <v>274</v>
      </c>
      <c r="C19" s="31"/>
      <c r="D19" s="31"/>
      <c r="E19" s="31"/>
      <c r="F19" s="31"/>
      <c r="G19" s="124" t="str">
        <f t="shared" si="5"/>
        <v/>
      </c>
      <c r="H19" s="31">
        <f t="shared" si="1"/>
        <v>0</v>
      </c>
      <c r="I19" s="31"/>
      <c r="J19" s="31"/>
      <c r="K19" s="124" t="str">
        <f t="shared" si="6"/>
        <v/>
      </c>
      <c r="L19" s="31">
        <f t="shared" si="3"/>
        <v>0</v>
      </c>
      <c r="M19" s="32">
        <f t="shared" si="4"/>
        <v>0</v>
      </c>
    </row>
    <row r="20" spans="2:13" x14ac:dyDescent="0.25">
      <c r="B20" s="34" t="s">
        <v>275</v>
      </c>
      <c r="C20" s="31"/>
      <c r="D20" s="31"/>
      <c r="E20" s="31"/>
      <c r="F20" s="31"/>
      <c r="G20" s="124" t="str">
        <f t="shared" si="5"/>
        <v/>
      </c>
      <c r="H20" s="31">
        <f t="shared" si="1"/>
        <v>0</v>
      </c>
      <c r="I20" s="31"/>
      <c r="J20" s="31"/>
      <c r="K20" s="124" t="str">
        <f t="shared" si="6"/>
        <v/>
      </c>
      <c r="L20" s="31">
        <f t="shared" si="3"/>
        <v>0</v>
      </c>
      <c r="M20" s="32">
        <f t="shared" si="4"/>
        <v>0</v>
      </c>
    </row>
    <row r="21" spans="2:13" x14ac:dyDescent="0.25">
      <c r="B21" s="34" t="s">
        <v>271</v>
      </c>
      <c r="C21" s="31"/>
      <c r="D21" s="31"/>
      <c r="E21" s="31"/>
      <c r="F21" s="31"/>
      <c r="G21" s="124" t="str">
        <f t="shared" si="5"/>
        <v/>
      </c>
      <c r="H21" s="31">
        <f t="shared" si="1"/>
        <v>0</v>
      </c>
      <c r="I21" s="31"/>
      <c r="J21" s="31"/>
      <c r="K21" s="124" t="str">
        <f t="shared" si="6"/>
        <v/>
      </c>
      <c r="L21" s="31">
        <f t="shared" si="3"/>
        <v>0</v>
      </c>
      <c r="M21" s="32">
        <f t="shared" si="4"/>
        <v>0</v>
      </c>
    </row>
    <row r="22" spans="2:13" x14ac:dyDescent="0.25">
      <c r="B22" s="34" t="s">
        <v>272</v>
      </c>
      <c r="C22" s="31">
        <f>ROUND(C18-SUM(C19:C21),2)</f>
        <v>0</v>
      </c>
      <c r="D22" s="31">
        <f>ROUND(D18-SUM(D19:D21),2)</f>
        <v>0</v>
      </c>
      <c r="E22" s="31">
        <f t="shared" ref="E22:F22" si="9">ROUND(E18-SUM(E19:E21),2)</f>
        <v>0</v>
      </c>
      <c r="F22" s="31">
        <f t="shared" si="9"/>
        <v>0</v>
      </c>
      <c r="G22" s="124" t="str">
        <f t="shared" si="5"/>
        <v/>
      </c>
      <c r="H22" s="31">
        <f t="shared" si="1"/>
        <v>0</v>
      </c>
      <c r="I22" s="31">
        <f t="shared" ref="I22:J22" si="10">ROUND(I18-SUM(I19:I21),2)</f>
        <v>0</v>
      </c>
      <c r="J22" s="31">
        <f t="shared" si="10"/>
        <v>0</v>
      </c>
      <c r="K22" s="124" t="str">
        <f t="shared" si="6"/>
        <v/>
      </c>
      <c r="L22" s="31">
        <f t="shared" si="3"/>
        <v>0</v>
      </c>
      <c r="M22" s="32">
        <f t="shared" si="4"/>
        <v>0</v>
      </c>
    </row>
    <row r="23" spans="2:13" x14ac:dyDescent="0.25">
      <c r="B23" s="33" t="s">
        <v>276</v>
      </c>
      <c r="C23" s="31"/>
      <c r="D23" s="31"/>
      <c r="E23" s="31"/>
      <c r="F23" s="31"/>
      <c r="G23" s="124" t="str">
        <f t="shared" si="5"/>
        <v/>
      </c>
      <c r="H23" s="31">
        <f t="shared" si="1"/>
        <v>0</v>
      </c>
      <c r="I23" s="31"/>
      <c r="J23" s="31"/>
      <c r="K23" s="124" t="str">
        <f t="shared" si="6"/>
        <v/>
      </c>
      <c r="L23" s="31">
        <f t="shared" si="3"/>
        <v>0</v>
      </c>
      <c r="M23" s="32">
        <f t="shared" si="4"/>
        <v>0</v>
      </c>
    </row>
    <row r="24" spans="2:13" x14ac:dyDescent="0.25">
      <c r="B24" s="34" t="s">
        <v>277</v>
      </c>
      <c r="C24" s="31"/>
      <c r="D24" s="31"/>
      <c r="E24" s="31"/>
      <c r="F24" s="31"/>
      <c r="G24" s="124" t="str">
        <f t="shared" si="5"/>
        <v/>
      </c>
      <c r="H24" s="31">
        <f t="shared" si="1"/>
        <v>0</v>
      </c>
      <c r="I24" s="31"/>
      <c r="J24" s="31"/>
      <c r="K24" s="124" t="str">
        <f t="shared" si="6"/>
        <v/>
      </c>
      <c r="L24" s="31">
        <f t="shared" si="3"/>
        <v>0</v>
      </c>
      <c r="M24" s="32">
        <f t="shared" si="4"/>
        <v>0</v>
      </c>
    </row>
    <row r="25" spans="2:13" x14ac:dyDescent="0.25">
      <c r="B25" s="34" t="s">
        <v>278</v>
      </c>
      <c r="C25" s="31"/>
      <c r="D25" s="31"/>
      <c r="E25" s="31"/>
      <c r="F25" s="31"/>
      <c r="G25" s="124" t="str">
        <f t="shared" si="5"/>
        <v/>
      </c>
      <c r="H25" s="31">
        <f t="shared" si="1"/>
        <v>0</v>
      </c>
      <c r="I25" s="31"/>
      <c r="J25" s="31"/>
      <c r="K25" s="124" t="str">
        <f t="shared" si="6"/>
        <v/>
      </c>
      <c r="L25" s="31">
        <f t="shared" si="3"/>
        <v>0</v>
      </c>
      <c r="M25" s="32">
        <f t="shared" si="4"/>
        <v>0</v>
      </c>
    </row>
    <row r="26" spans="2:13" x14ac:dyDescent="0.25">
      <c r="B26" s="34" t="s">
        <v>271</v>
      </c>
      <c r="C26" s="31"/>
      <c r="D26" s="31"/>
      <c r="E26" s="31"/>
      <c r="F26" s="31"/>
      <c r="G26" s="124" t="str">
        <f t="shared" si="5"/>
        <v/>
      </c>
      <c r="H26" s="31">
        <f t="shared" si="1"/>
        <v>0</v>
      </c>
      <c r="I26" s="31"/>
      <c r="J26" s="31"/>
      <c r="K26" s="124" t="str">
        <f t="shared" si="6"/>
        <v/>
      </c>
      <c r="L26" s="31">
        <f t="shared" si="3"/>
        <v>0</v>
      </c>
      <c r="M26" s="32">
        <f t="shared" si="4"/>
        <v>0</v>
      </c>
    </row>
    <row r="27" spans="2:13" x14ac:dyDescent="0.25">
      <c r="B27" s="34" t="s">
        <v>272</v>
      </c>
      <c r="C27" s="31">
        <f>ROUND(C23-SUM(C24:C26),2)</f>
        <v>0</v>
      </c>
      <c r="D27" s="31">
        <f>ROUND(D23-SUM(D24:D26),2)</f>
        <v>0</v>
      </c>
      <c r="E27" s="31">
        <f t="shared" ref="E27:F27" si="11">ROUND(E23-SUM(E24:E26),2)</f>
        <v>0</v>
      </c>
      <c r="F27" s="31">
        <f t="shared" si="11"/>
        <v>0</v>
      </c>
      <c r="G27" s="124" t="str">
        <f t="shared" si="5"/>
        <v/>
      </c>
      <c r="H27" s="31">
        <f t="shared" si="1"/>
        <v>0</v>
      </c>
      <c r="I27" s="31">
        <f t="shared" ref="I27:J27" si="12">ROUND(I23-SUM(I24:I26),2)</f>
        <v>0</v>
      </c>
      <c r="J27" s="31">
        <f t="shared" si="12"/>
        <v>0</v>
      </c>
      <c r="K27" s="124" t="str">
        <f t="shared" si="6"/>
        <v/>
      </c>
      <c r="L27" s="31">
        <f t="shared" si="3"/>
        <v>0</v>
      </c>
      <c r="M27" s="32">
        <f t="shared" si="4"/>
        <v>0</v>
      </c>
    </row>
    <row r="28" spans="2:13" x14ac:dyDescent="0.25">
      <c r="B28" s="33" t="s">
        <v>279</v>
      </c>
      <c r="C28" s="31"/>
      <c r="D28" s="31"/>
      <c r="E28" s="31"/>
      <c r="F28" s="31"/>
      <c r="G28" s="124" t="str">
        <f t="shared" si="5"/>
        <v/>
      </c>
      <c r="H28" s="31">
        <f t="shared" si="1"/>
        <v>0</v>
      </c>
      <c r="I28" s="31"/>
      <c r="J28" s="31"/>
      <c r="K28" s="124" t="str">
        <f t="shared" si="6"/>
        <v/>
      </c>
      <c r="L28" s="31">
        <f t="shared" si="3"/>
        <v>0</v>
      </c>
      <c r="M28" s="32">
        <f t="shared" si="4"/>
        <v>0</v>
      </c>
    </row>
    <row r="29" spans="2:13" x14ac:dyDescent="0.25">
      <c r="B29" s="34" t="s">
        <v>280</v>
      </c>
      <c r="C29" s="31"/>
      <c r="D29" s="31"/>
      <c r="E29" s="31"/>
      <c r="F29" s="31"/>
      <c r="G29" s="124" t="str">
        <f t="shared" si="5"/>
        <v/>
      </c>
      <c r="H29" s="31">
        <f t="shared" si="1"/>
        <v>0</v>
      </c>
      <c r="I29" s="31"/>
      <c r="J29" s="31"/>
      <c r="K29" s="124" t="str">
        <f t="shared" si="6"/>
        <v/>
      </c>
      <c r="L29" s="31">
        <f t="shared" si="3"/>
        <v>0</v>
      </c>
      <c r="M29" s="32">
        <f t="shared" si="4"/>
        <v>0</v>
      </c>
    </row>
    <row r="30" spans="2:13" x14ac:dyDescent="0.25">
      <c r="B30" s="34" t="s">
        <v>271</v>
      </c>
      <c r="C30" s="31"/>
      <c r="D30" s="31"/>
      <c r="E30" s="31"/>
      <c r="F30" s="31"/>
      <c r="G30" s="124" t="str">
        <f t="shared" si="5"/>
        <v/>
      </c>
      <c r="H30" s="31">
        <f t="shared" si="1"/>
        <v>0</v>
      </c>
      <c r="I30" s="31"/>
      <c r="J30" s="31"/>
      <c r="K30" s="124" t="str">
        <f t="shared" si="6"/>
        <v/>
      </c>
      <c r="L30" s="31">
        <f t="shared" si="3"/>
        <v>0</v>
      </c>
      <c r="M30" s="32">
        <f t="shared" si="4"/>
        <v>0</v>
      </c>
    </row>
    <row r="31" spans="2:13" x14ac:dyDescent="0.25">
      <c r="B31" s="34" t="s">
        <v>281</v>
      </c>
      <c r="C31" s="31"/>
      <c r="D31" s="31"/>
      <c r="E31" s="31"/>
      <c r="F31" s="31"/>
      <c r="G31" s="124" t="str">
        <f t="shared" si="5"/>
        <v/>
      </c>
      <c r="H31" s="31">
        <f t="shared" si="1"/>
        <v>0</v>
      </c>
      <c r="I31" s="31"/>
      <c r="J31" s="31"/>
      <c r="K31" s="124" t="str">
        <f t="shared" si="6"/>
        <v/>
      </c>
      <c r="L31" s="31">
        <f t="shared" si="3"/>
        <v>0</v>
      </c>
      <c r="M31" s="32">
        <f t="shared" si="4"/>
        <v>0</v>
      </c>
    </row>
    <row r="32" spans="2:13" x14ac:dyDescent="0.25">
      <c r="B32" s="34" t="s">
        <v>282</v>
      </c>
      <c r="C32" s="31"/>
      <c r="D32" s="31"/>
      <c r="E32" s="31"/>
      <c r="F32" s="31"/>
      <c r="G32" s="124" t="str">
        <f t="shared" si="5"/>
        <v/>
      </c>
      <c r="H32" s="31">
        <f t="shared" si="1"/>
        <v>0</v>
      </c>
      <c r="I32" s="31"/>
      <c r="J32" s="31"/>
      <c r="K32" s="124" t="str">
        <f t="shared" si="6"/>
        <v/>
      </c>
      <c r="L32" s="31">
        <f t="shared" si="3"/>
        <v>0</v>
      </c>
      <c r="M32" s="32">
        <f t="shared" si="4"/>
        <v>0</v>
      </c>
    </row>
    <row r="33" spans="2:13" x14ac:dyDescent="0.25">
      <c r="B33" s="34" t="s">
        <v>283</v>
      </c>
      <c r="C33" s="31"/>
      <c r="D33" s="31"/>
      <c r="E33" s="31"/>
      <c r="F33" s="31"/>
      <c r="G33" s="124" t="str">
        <f t="shared" si="5"/>
        <v/>
      </c>
      <c r="H33" s="31">
        <f t="shared" si="1"/>
        <v>0</v>
      </c>
      <c r="I33" s="31"/>
      <c r="J33" s="31"/>
      <c r="K33" s="124" t="str">
        <f t="shared" si="6"/>
        <v/>
      </c>
      <c r="L33" s="31">
        <f t="shared" si="3"/>
        <v>0</v>
      </c>
      <c r="M33" s="32">
        <f t="shared" si="4"/>
        <v>0</v>
      </c>
    </row>
    <row r="34" spans="2:13" x14ac:dyDescent="0.25">
      <c r="B34" s="34" t="s">
        <v>284</v>
      </c>
      <c r="C34" s="31"/>
      <c r="D34" s="31"/>
      <c r="E34" s="31"/>
      <c r="F34" s="31"/>
      <c r="G34" s="124" t="str">
        <f t="shared" si="5"/>
        <v/>
      </c>
      <c r="H34" s="31">
        <f t="shared" si="1"/>
        <v>0</v>
      </c>
      <c r="I34" s="31"/>
      <c r="J34" s="31"/>
      <c r="K34" s="124" t="str">
        <f t="shared" si="6"/>
        <v/>
      </c>
      <c r="L34" s="31">
        <f t="shared" si="3"/>
        <v>0</v>
      </c>
      <c r="M34" s="32">
        <f t="shared" si="4"/>
        <v>0</v>
      </c>
    </row>
    <row r="35" spans="2:13" x14ac:dyDescent="0.25">
      <c r="B35" s="34" t="s">
        <v>285</v>
      </c>
      <c r="C35" s="31"/>
      <c r="D35" s="31"/>
      <c r="E35" s="31"/>
      <c r="F35" s="31"/>
      <c r="G35" s="124" t="str">
        <f t="shared" si="5"/>
        <v/>
      </c>
      <c r="H35" s="31">
        <f t="shared" si="1"/>
        <v>0</v>
      </c>
      <c r="I35" s="31"/>
      <c r="J35" s="31"/>
      <c r="K35" s="124" t="str">
        <f t="shared" si="6"/>
        <v/>
      </c>
      <c r="L35" s="31">
        <f t="shared" si="3"/>
        <v>0</v>
      </c>
      <c r="M35" s="32">
        <f t="shared" si="4"/>
        <v>0</v>
      </c>
    </row>
    <row r="36" spans="2:13" x14ac:dyDescent="0.25">
      <c r="B36" s="34" t="s">
        <v>286</v>
      </c>
      <c r="C36" s="31"/>
      <c r="D36" s="31"/>
      <c r="E36" s="31"/>
      <c r="F36" s="31"/>
      <c r="G36" s="124" t="str">
        <f t="shared" si="5"/>
        <v/>
      </c>
      <c r="H36" s="31">
        <f t="shared" si="1"/>
        <v>0</v>
      </c>
      <c r="I36" s="31"/>
      <c r="J36" s="31"/>
      <c r="K36" s="124" t="str">
        <f t="shared" si="6"/>
        <v/>
      </c>
      <c r="L36" s="31">
        <f t="shared" si="3"/>
        <v>0</v>
      </c>
      <c r="M36" s="32">
        <f t="shared" si="4"/>
        <v>0</v>
      </c>
    </row>
    <row r="37" spans="2:13" x14ac:dyDescent="0.25">
      <c r="B37" s="34" t="s">
        <v>287</v>
      </c>
      <c r="C37" s="31"/>
      <c r="D37" s="31"/>
      <c r="E37" s="31"/>
      <c r="F37" s="31"/>
      <c r="G37" s="124" t="str">
        <f t="shared" si="5"/>
        <v/>
      </c>
      <c r="H37" s="31">
        <f t="shared" si="1"/>
        <v>0</v>
      </c>
      <c r="I37" s="31"/>
      <c r="J37" s="31"/>
      <c r="K37" s="124" t="str">
        <f t="shared" si="6"/>
        <v/>
      </c>
      <c r="L37" s="31">
        <f t="shared" si="3"/>
        <v>0</v>
      </c>
      <c r="M37" s="32">
        <f t="shared" si="4"/>
        <v>0</v>
      </c>
    </row>
    <row r="38" spans="2:13" x14ac:dyDescent="0.25">
      <c r="B38" s="34" t="s">
        <v>288</v>
      </c>
      <c r="C38" s="31"/>
      <c r="D38" s="31"/>
      <c r="E38" s="31"/>
      <c r="F38" s="31"/>
      <c r="G38" s="124" t="str">
        <f t="shared" si="5"/>
        <v/>
      </c>
      <c r="H38" s="31">
        <f t="shared" si="1"/>
        <v>0</v>
      </c>
      <c r="I38" s="31"/>
      <c r="J38" s="31"/>
      <c r="K38" s="124" t="str">
        <f t="shared" si="6"/>
        <v/>
      </c>
      <c r="L38" s="31">
        <f t="shared" si="3"/>
        <v>0</v>
      </c>
      <c r="M38" s="32">
        <f t="shared" si="4"/>
        <v>0</v>
      </c>
    </row>
    <row r="39" spans="2:13" x14ac:dyDescent="0.25">
      <c r="B39" s="34" t="s">
        <v>289</v>
      </c>
      <c r="C39" s="31"/>
      <c r="D39" s="31"/>
      <c r="E39" s="31"/>
      <c r="F39" s="31"/>
      <c r="G39" s="124" t="str">
        <f t="shared" si="5"/>
        <v/>
      </c>
      <c r="H39" s="31">
        <f t="shared" si="1"/>
        <v>0</v>
      </c>
      <c r="I39" s="31"/>
      <c r="J39" s="31"/>
      <c r="K39" s="124" t="str">
        <f t="shared" si="6"/>
        <v/>
      </c>
      <c r="L39" s="31">
        <f t="shared" si="3"/>
        <v>0</v>
      </c>
      <c r="M39" s="32">
        <f t="shared" si="4"/>
        <v>0</v>
      </c>
    </row>
    <row r="40" spans="2:13" x14ac:dyDescent="0.25">
      <c r="B40" s="34" t="s">
        <v>272</v>
      </c>
      <c r="C40" s="31">
        <f>ROUND(C28-SUM(C29:C39),2)</f>
        <v>0</v>
      </c>
      <c r="D40" s="31">
        <f>ROUND(D28-SUM(D29:D39),2)</f>
        <v>0</v>
      </c>
      <c r="E40" s="31">
        <f t="shared" ref="E40:F40" si="13">ROUND(E28-SUM(E29:E39),2)</f>
        <v>0</v>
      </c>
      <c r="F40" s="31">
        <f t="shared" si="13"/>
        <v>0</v>
      </c>
      <c r="G40" s="124" t="str">
        <f t="shared" si="5"/>
        <v/>
      </c>
      <c r="H40" s="31">
        <f t="shared" si="1"/>
        <v>0</v>
      </c>
      <c r="I40" s="31">
        <f t="shared" ref="I40:J40" si="14">ROUND(I28-SUM(I29:I39),2)</f>
        <v>0</v>
      </c>
      <c r="J40" s="31">
        <f t="shared" si="14"/>
        <v>0</v>
      </c>
      <c r="K40" s="124" t="str">
        <f t="shared" si="6"/>
        <v/>
      </c>
      <c r="L40" s="31">
        <f t="shared" si="3"/>
        <v>0</v>
      </c>
      <c r="M40" s="32">
        <f t="shared" si="4"/>
        <v>0</v>
      </c>
    </row>
    <row r="41" spans="2:13" x14ac:dyDescent="0.25">
      <c r="B41" s="33" t="s">
        <v>290</v>
      </c>
      <c r="C41" s="31"/>
      <c r="D41" s="31"/>
      <c r="E41" s="31"/>
      <c r="F41" s="31"/>
      <c r="G41" s="124" t="str">
        <f t="shared" si="5"/>
        <v/>
      </c>
      <c r="H41" s="31">
        <f t="shared" si="1"/>
        <v>0</v>
      </c>
      <c r="I41" s="31"/>
      <c r="J41" s="31"/>
      <c r="K41" s="124" t="str">
        <f t="shared" si="6"/>
        <v/>
      </c>
      <c r="L41" s="31">
        <f t="shared" si="3"/>
        <v>0</v>
      </c>
      <c r="M41" s="32">
        <f t="shared" si="4"/>
        <v>0</v>
      </c>
    </row>
    <row r="42" spans="2:13" x14ac:dyDescent="0.25">
      <c r="B42" s="34" t="s">
        <v>291</v>
      </c>
      <c r="C42" s="31"/>
      <c r="D42" s="31"/>
      <c r="E42" s="31"/>
      <c r="F42" s="31"/>
      <c r="G42" s="124" t="str">
        <f t="shared" si="5"/>
        <v/>
      </c>
      <c r="H42" s="31">
        <f t="shared" si="1"/>
        <v>0</v>
      </c>
      <c r="I42" s="31"/>
      <c r="J42" s="31"/>
      <c r="K42" s="124" t="str">
        <f t="shared" si="6"/>
        <v/>
      </c>
      <c r="L42" s="31">
        <f t="shared" si="3"/>
        <v>0</v>
      </c>
      <c r="M42" s="32">
        <f t="shared" si="4"/>
        <v>0</v>
      </c>
    </row>
    <row r="43" spans="2:13" x14ac:dyDescent="0.25">
      <c r="B43" s="34" t="s">
        <v>292</v>
      </c>
      <c r="C43" s="31"/>
      <c r="D43" s="31"/>
      <c r="E43" s="31"/>
      <c r="F43" s="31"/>
      <c r="G43" s="124" t="str">
        <f t="shared" si="5"/>
        <v/>
      </c>
      <c r="H43" s="31">
        <f t="shared" si="1"/>
        <v>0</v>
      </c>
      <c r="I43" s="31"/>
      <c r="J43" s="31"/>
      <c r="K43" s="124" t="str">
        <f t="shared" si="6"/>
        <v/>
      </c>
      <c r="L43" s="31">
        <f t="shared" si="3"/>
        <v>0</v>
      </c>
      <c r="M43" s="32">
        <f t="shared" si="4"/>
        <v>0</v>
      </c>
    </row>
    <row r="44" spans="2:13" x14ac:dyDescent="0.25">
      <c r="B44" s="34" t="s">
        <v>293</v>
      </c>
      <c r="C44" s="31"/>
      <c r="D44" s="31"/>
      <c r="E44" s="31"/>
      <c r="F44" s="31"/>
      <c r="G44" s="124" t="str">
        <f t="shared" si="5"/>
        <v/>
      </c>
      <c r="H44" s="31">
        <f t="shared" si="1"/>
        <v>0</v>
      </c>
      <c r="I44" s="31"/>
      <c r="J44" s="31"/>
      <c r="K44" s="124" t="str">
        <f t="shared" si="6"/>
        <v/>
      </c>
      <c r="L44" s="31">
        <f t="shared" si="3"/>
        <v>0</v>
      </c>
      <c r="M44" s="32">
        <f t="shared" si="4"/>
        <v>0</v>
      </c>
    </row>
    <row r="45" spans="2:13" x14ac:dyDescent="0.25">
      <c r="B45" s="34" t="s">
        <v>271</v>
      </c>
      <c r="C45" s="31"/>
      <c r="D45" s="31"/>
      <c r="E45" s="31"/>
      <c r="F45" s="31"/>
      <c r="G45" s="124" t="str">
        <f t="shared" si="5"/>
        <v/>
      </c>
      <c r="H45" s="31">
        <f t="shared" si="1"/>
        <v>0</v>
      </c>
      <c r="I45" s="31"/>
      <c r="J45" s="31"/>
      <c r="K45" s="124" t="str">
        <f t="shared" si="6"/>
        <v/>
      </c>
      <c r="L45" s="31">
        <f t="shared" si="3"/>
        <v>0</v>
      </c>
      <c r="M45" s="32">
        <f t="shared" si="4"/>
        <v>0</v>
      </c>
    </row>
    <row r="46" spans="2:13" x14ac:dyDescent="0.25">
      <c r="B46" s="34" t="s">
        <v>272</v>
      </c>
      <c r="C46" s="31">
        <f>ROUND(C41-SUM(C42:C45),2)</f>
        <v>0</v>
      </c>
      <c r="D46" s="31">
        <f>ROUND(D41-SUM(D42:D45),2)</f>
        <v>0</v>
      </c>
      <c r="E46" s="31">
        <f t="shared" ref="E46:F46" si="15">ROUND(E41-SUM(E42:E45),2)</f>
        <v>0</v>
      </c>
      <c r="F46" s="31">
        <f t="shared" si="15"/>
        <v>0</v>
      </c>
      <c r="G46" s="124" t="str">
        <f t="shared" si="5"/>
        <v/>
      </c>
      <c r="H46" s="31">
        <f t="shared" si="1"/>
        <v>0</v>
      </c>
      <c r="I46" s="31">
        <f t="shared" ref="I46:J46" si="16">ROUND(I41-SUM(I42:I45),2)</f>
        <v>0</v>
      </c>
      <c r="J46" s="31">
        <f t="shared" si="16"/>
        <v>0</v>
      </c>
      <c r="K46" s="124" t="str">
        <f t="shared" si="6"/>
        <v/>
      </c>
      <c r="L46" s="31">
        <f t="shared" si="3"/>
        <v>0</v>
      </c>
      <c r="M46" s="32">
        <f t="shared" si="4"/>
        <v>0</v>
      </c>
    </row>
    <row r="47" spans="2:13" x14ac:dyDescent="0.25">
      <c r="B47" s="33" t="s">
        <v>294</v>
      </c>
      <c r="C47" s="31"/>
      <c r="D47" s="31"/>
      <c r="E47" s="31"/>
      <c r="F47" s="31"/>
      <c r="G47" s="124" t="str">
        <f t="shared" si="5"/>
        <v/>
      </c>
      <c r="H47" s="31">
        <f t="shared" si="1"/>
        <v>0</v>
      </c>
      <c r="I47" s="31"/>
      <c r="J47" s="31"/>
      <c r="K47" s="124" t="str">
        <f t="shared" si="6"/>
        <v/>
      </c>
      <c r="L47" s="31">
        <f t="shared" si="3"/>
        <v>0</v>
      </c>
      <c r="M47" s="32">
        <f t="shared" si="4"/>
        <v>0</v>
      </c>
    </row>
    <row r="48" spans="2:13" x14ac:dyDescent="0.25">
      <c r="B48" s="34" t="s">
        <v>295</v>
      </c>
      <c r="C48" s="31"/>
      <c r="D48" s="31"/>
      <c r="E48" s="31"/>
      <c r="F48" s="31"/>
      <c r="G48" s="124" t="str">
        <f t="shared" si="5"/>
        <v/>
      </c>
      <c r="H48" s="31">
        <f t="shared" si="1"/>
        <v>0</v>
      </c>
      <c r="I48" s="31"/>
      <c r="J48" s="31"/>
      <c r="K48" s="124" t="str">
        <f t="shared" si="6"/>
        <v/>
      </c>
      <c r="L48" s="31">
        <f t="shared" si="3"/>
        <v>0</v>
      </c>
      <c r="M48" s="32">
        <f t="shared" si="4"/>
        <v>0</v>
      </c>
    </row>
    <row r="49" spans="2:13" x14ac:dyDescent="0.25">
      <c r="B49" s="34" t="s">
        <v>296</v>
      </c>
      <c r="C49" s="31"/>
      <c r="D49" s="31"/>
      <c r="E49" s="31"/>
      <c r="F49" s="31"/>
      <c r="G49" s="124" t="str">
        <f t="shared" si="5"/>
        <v/>
      </c>
      <c r="H49" s="31">
        <f t="shared" si="1"/>
        <v>0</v>
      </c>
      <c r="I49" s="31"/>
      <c r="J49" s="31"/>
      <c r="K49" s="124" t="str">
        <f t="shared" si="6"/>
        <v/>
      </c>
      <c r="L49" s="31">
        <f t="shared" si="3"/>
        <v>0</v>
      </c>
      <c r="M49" s="32">
        <f t="shared" si="4"/>
        <v>0</v>
      </c>
    </row>
    <row r="50" spans="2:13" x14ac:dyDescent="0.25">
      <c r="B50" s="34" t="s">
        <v>297</v>
      </c>
      <c r="C50" s="31"/>
      <c r="D50" s="31"/>
      <c r="E50" s="31"/>
      <c r="F50" s="31"/>
      <c r="G50" s="124" t="str">
        <f t="shared" si="5"/>
        <v/>
      </c>
      <c r="H50" s="31">
        <f t="shared" si="1"/>
        <v>0</v>
      </c>
      <c r="I50" s="31"/>
      <c r="J50" s="31"/>
      <c r="K50" s="124" t="str">
        <f t="shared" si="6"/>
        <v/>
      </c>
      <c r="L50" s="31">
        <f t="shared" si="3"/>
        <v>0</v>
      </c>
      <c r="M50" s="32">
        <f t="shared" si="4"/>
        <v>0</v>
      </c>
    </row>
    <row r="51" spans="2:13" x14ac:dyDescent="0.25">
      <c r="B51" s="34" t="s">
        <v>271</v>
      </c>
      <c r="C51" s="31"/>
      <c r="D51" s="31"/>
      <c r="E51" s="31"/>
      <c r="F51" s="31"/>
      <c r="G51" s="124" t="str">
        <f t="shared" si="5"/>
        <v/>
      </c>
      <c r="H51" s="31">
        <f t="shared" si="1"/>
        <v>0</v>
      </c>
      <c r="I51" s="31"/>
      <c r="J51" s="31"/>
      <c r="K51" s="124" t="str">
        <f t="shared" si="6"/>
        <v/>
      </c>
      <c r="L51" s="31">
        <f t="shared" si="3"/>
        <v>0</v>
      </c>
      <c r="M51" s="32">
        <f t="shared" si="4"/>
        <v>0</v>
      </c>
    </row>
    <row r="52" spans="2:13" x14ac:dyDescent="0.25">
      <c r="B52" s="34" t="s">
        <v>272</v>
      </c>
      <c r="C52" s="31">
        <f>ROUND(C47-SUM(C48:C51),2)</f>
        <v>0</v>
      </c>
      <c r="D52" s="31">
        <f>ROUND(D47-SUM(D48:D51),2)</f>
        <v>0</v>
      </c>
      <c r="E52" s="31">
        <f t="shared" ref="E52:F52" si="17">ROUND(E47-SUM(E48:E51),2)</f>
        <v>0</v>
      </c>
      <c r="F52" s="31">
        <f t="shared" si="17"/>
        <v>0</v>
      </c>
      <c r="G52" s="124" t="str">
        <f t="shared" si="5"/>
        <v/>
      </c>
      <c r="H52" s="31">
        <f t="shared" si="1"/>
        <v>0</v>
      </c>
      <c r="I52" s="31">
        <f t="shared" ref="I52:J52" si="18">ROUND(I47-SUM(I48:I51),2)</f>
        <v>0</v>
      </c>
      <c r="J52" s="31">
        <f t="shared" si="18"/>
        <v>0</v>
      </c>
      <c r="K52" s="124" t="str">
        <f t="shared" si="6"/>
        <v/>
      </c>
      <c r="L52" s="31">
        <f t="shared" si="3"/>
        <v>0</v>
      </c>
      <c r="M52" s="32">
        <f t="shared" si="4"/>
        <v>0</v>
      </c>
    </row>
    <row r="53" spans="2:13" x14ac:dyDescent="0.25">
      <c r="B53" s="33" t="s">
        <v>298</v>
      </c>
      <c r="C53" s="31"/>
      <c r="D53" s="31"/>
      <c r="E53" s="31"/>
      <c r="F53" s="31"/>
      <c r="G53" s="124" t="str">
        <f t="shared" si="5"/>
        <v/>
      </c>
      <c r="H53" s="31">
        <f t="shared" si="1"/>
        <v>0</v>
      </c>
      <c r="I53" s="31"/>
      <c r="J53" s="31"/>
      <c r="K53" s="124" t="str">
        <f t="shared" si="6"/>
        <v/>
      </c>
      <c r="L53" s="31">
        <f t="shared" si="3"/>
        <v>0</v>
      </c>
      <c r="M53" s="32">
        <f t="shared" si="4"/>
        <v>0</v>
      </c>
    </row>
    <row r="54" spans="2:13" x14ac:dyDescent="0.25">
      <c r="B54" s="34" t="s">
        <v>299</v>
      </c>
      <c r="C54" s="31"/>
      <c r="D54" s="31"/>
      <c r="E54" s="31"/>
      <c r="F54" s="31"/>
      <c r="G54" s="124" t="str">
        <f t="shared" si="5"/>
        <v/>
      </c>
      <c r="H54" s="31">
        <f t="shared" si="1"/>
        <v>0</v>
      </c>
      <c r="I54" s="31"/>
      <c r="J54" s="31"/>
      <c r="K54" s="124" t="str">
        <f t="shared" si="6"/>
        <v/>
      </c>
      <c r="L54" s="31">
        <f t="shared" si="3"/>
        <v>0</v>
      </c>
      <c r="M54" s="32">
        <f t="shared" si="4"/>
        <v>0</v>
      </c>
    </row>
    <row r="55" spans="2:13" x14ac:dyDescent="0.25">
      <c r="B55" s="34" t="s">
        <v>300</v>
      </c>
      <c r="C55" s="31"/>
      <c r="D55" s="31"/>
      <c r="E55" s="31"/>
      <c r="F55" s="31"/>
      <c r="G55" s="124" t="str">
        <f t="shared" si="5"/>
        <v/>
      </c>
      <c r="H55" s="31">
        <f t="shared" si="1"/>
        <v>0</v>
      </c>
      <c r="I55" s="31"/>
      <c r="J55" s="31"/>
      <c r="K55" s="124" t="str">
        <f t="shared" si="6"/>
        <v/>
      </c>
      <c r="L55" s="31">
        <f t="shared" si="3"/>
        <v>0</v>
      </c>
      <c r="M55" s="32">
        <f t="shared" si="4"/>
        <v>0</v>
      </c>
    </row>
    <row r="56" spans="2:13" x14ac:dyDescent="0.25">
      <c r="B56" s="34" t="s">
        <v>271</v>
      </c>
      <c r="C56" s="31"/>
      <c r="D56" s="31"/>
      <c r="E56" s="31"/>
      <c r="F56" s="31"/>
      <c r="G56" s="124" t="str">
        <f t="shared" si="5"/>
        <v/>
      </c>
      <c r="H56" s="31">
        <f t="shared" si="1"/>
        <v>0</v>
      </c>
      <c r="I56" s="31"/>
      <c r="J56" s="31"/>
      <c r="K56" s="124" t="str">
        <f t="shared" si="6"/>
        <v/>
      </c>
      <c r="L56" s="31">
        <f t="shared" si="3"/>
        <v>0</v>
      </c>
      <c r="M56" s="32">
        <f t="shared" si="4"/>
        <v>0</v>
      </c>
    </row>
    <row r="57" spans="2:13" x14ac:dyDescent="0.25">
      <c r="B57" s="34" t="s">
        <v>272</v>
      </c>
      <c r="C57" s="31">
        <f>ROUND(C53-SUM(C54:C56),2)</f>
        <v>0</v>
      </c>
      <c r="D57" s="31">
        <f>ROUND(D53-SUM(D54:D56),2)</f>
        <v>0</v>
      </c>
      <c r="E57" s="31">
        <f t="shared" ref="E57:F57" si="19">ROUND(E53-SUM(E54:E56),2)</f>
        <v>0</v>
      </c>
      <c r="F57" s="31">
        <f t="shared" si="19"/>
        <v>0</v>
      </c>
      <c r="G57" s="124" t="str">
        <f t="shared" si="5"/>
        <v/>
      </c>
      <c r="H57" s="31">
        <f t="shared" si="1"/>
        <v>0</v>
      </c>
      <c r="I57" s="31">
        <f t="shared" ref="I57:J57" si="20">ROUND(I53-SUM(I54:I56),2)</f>
        <v>0</v>
      </c>
      <c r="J57" s="31">
        <f t="shared" si="20"/>
        <v>0</v>
      </c>
      <c r="K57" s="124" t="str">
        <f t="shared" si="6"/>
        <v/>
      </c>
      <c r="L57" s="31">
        <f t="shared" si="3"/>
        <v>0</v>
      </c>
      <c r="M57" s="32">
        <f t="shared" si="4"/>
        <v>0</v>
      </c>
    </row>
    <row r="58" spans="2:13" x14ac:dyDescent="0.25">
      <c r="B58" s="33" t="s">
        <v>301</v>
      </c>
      <c r="C58" s="31"/>
      <c r="D58" s="31"/>
      <c r="E58" s="31"/>
      <c r="F58" s="31"/>
      <c r="G58" s="124" t="str">
        <f t="shared" si="5"/>
        <v/>
      </c>
      <c r="H58" s="31">
        <f t="shared" si="1"/>
        <v>0</v>
      </c>
      <c r="I58" s="31"/>
      <c r="J58" s="31"/>
      <c r="K58" s="124" t="str">
        <f t="shared" si="6"/>
        <v/>
      </c>
      <c r="L58" s="31">
        <f t="shared" si="3"/>
        <v>0</v>
      </c>
      <c r="M58" s="32">
        <f t="shared" si="4"/>
        <v>0</v>
      </c>
    </row>
    <row r="59" spans="2:13" x14ac:dyDescent="0.25">
      <c r="B59" s="34" t="s">
        <v>302</v>
      </c>
      <c r="C59" s="31"/>
      <c r="D59" s="31"/>
      <c r="E59" s="31"/>
      <c r="F59" s="31"/>
      <c r="G59" s="124" t="str">
        <f t="shared" si="5"/>
        <v/>
      </c>
      <c r="H59" s="31">
        <f t="shared" si="1"/>
        <v>0</v>
      </c>
      <c r="I59" s="31"/>
      <c r="J59" s="31"/>
      <c r="K59" s="124" t="str">
        <f t="shared" si="6"/>
        <v/>
      </c>
      <c r="L59" s="31">
        <f t="shared" si="3"/>
        <v>0</v>
      </c>
      <c r="M59" s="32">
        <f t="shared" si="4"/>
        <v>0</v>
      </c>
    </row>
    <row r="60" spans="2:13" x14ac:dyDescent="0.25">
      <c r="B60" s="34" t="s">
        <v>303</v>
      </c>
      <c r="C60" s="31"/>
      <c r="D60" s="31"/>
      <c r="E60" s="31"/>
      <c r="F60" s="31"/>
      <c r="G60" s="124" t="str">
        <f t="shared" si="5"/>
        <v/>
      </c>
      <c r="H60" s="31">
        <f t="shared" si="1"/>
        <v>0</v>
      </c>
      <c r="I60" s="31"/>
      <c r="J60" s="31"/>
      <c r="K60" s="124" t="str">
        <f t="shared" si="6"/>
        <v/>
      </c>
      <c r="L60" s="31">
        <f t="shared" si="3"/>
        <v>0</v>
      </c>
      <c r="M60" s="32">
        <f t="shared" si="4"/>
        <v>0</v>
      </c>
    </row>
    <row r="61" spans="2:13" x14ac:dyDescent="0.25">
      <c r="B61" s="34" t="s">
        <v>304</v>
      </c>
      <c r="C61" s="31"/>
      <c r="D61" s="31"/>
      <c r="E61" s="31"/>
      <c r="F61" s="31"/>
      <c r="G61" s="124" t="str">
        <f t="shared" si="5"/>
        <v/>
      </c>
      <c r="H61" s="31">
        <f t="shared" si="1"/>
        <v>0</v>
      </c>
      <c r="I61" s="31"/>
      <c r="J61" s="31"/>
      <c r="K61" s="124" t="str">
        <f t="shared" si="6"/>
        <v/>
      </c>
      <c r="L61" s="31">
        <f t="shared" si="3"/>
        <v>0</v>
      </c>
      <c r="M61" s="32">
        <f t="shared" si="4"/>
        <v>0</v>
      </c>
    </row>
    <row r="62" spans="2:13" x14ac:dyDescent="0.25">
      <c r="B62" s="34" t="s">
        <v>305</v>
      </c>
      <c r="C62" s="31"/>
      <c r="D62" s="31"/>
      <c r="E62" s="31"/>
      <c r="F62" s="31"/>
      <c r="G62" s="124" t="str">
        <f t="shared" si="5"/>
        <v/>
      </c>
      <c r="H62" s="31">
        <f t="shared" si="1"/>
        <v>0</v>
      </c>
      <c r="I62" s="31"/>
      <c r="J62" s="31"/>
      <c r="K62" s="124" t="str">
        <f t="shared" si="6"/>
        <v/>
      </c>
      <c r="L62" s="31">
        <f t="shared" si="3"/>
        <v>0</v>
      </c>
      <c r="M62" s="32">
        <f t="shared" si="4"/>
        <v>0</v>
      </c>
    </row>
    <row r="63" spans="2:13" x14ac:dyDescent="0.25">
      <c r="B63" s="34" t="s">
        <v>271</v>
      </c>
      <c r="C63" s="31"/>
      <c r="D63" s="31"/>
      <c r="E63" s="31"/>
      <c r="F63" s="31"/>
      <c r="G63" s="124" t="str">
        <f t="shared" si="5"/>
        <v/>
      </c>
      <c r="H63" s="31">
        <f t="shared" si="1"/>
        <v>0</v>
      </c>
      <c r="I63" s="31"/>
      <c r="J63" s="31"/>
      <c r="K63" s="124" t="str">
        <f t="shared" si="6"/>
        <v/>
      </c>
      <c r="L63" s="31">
        <f t="shared" si="3"/>
        <v>0</v>
      </c>
      <c r="M63" s="32">
        <f t="shared" si="4"/>
        <v>0</v>
      </c>
    </row>
    <row r="64" spans="2:13" x14ac:dyDescent="0.25">
      <c r="B64" s="34" t="s">
        <v>272</v>
      </c>
      <c r="C64" s="31">
        <f>ROUND(C58-SUM(C59:C63),2)</f>
        <v>0</v>
      </c>
      <c r="D64" s="31">
        <f>ROUND(D58-SUM(D59:D63),2)</f>
        <v>0</v>
      </c>
      <c r="E64" s="31">
        <f t="shared" ref="E64:F64" si="21">ROUND(E58-SUM(E59:E63),2)</f>
        <v>0</v>
      </c>
      <c r="F64" s="31">
        <f t="shared" si="21"/>
        <v>0</v>
      </c>
      <c r="G64" s="124" t="str">
        <f t="shared" si="5"/>
        <v/>
      </c>
      <c r="H64" s="31">
        <f t="shared" si="1"/>
        <v>0</v>
      </c>
      <c r="I64" s="31">
        <f t="shared" ref="I64:J64" si="22">ROUND(I58-SUM(I59:I63),2)</f>
        <v>0</v>
      </c>
      <c r="J64" s="31">
        <f t="shared" si="22"/>
        <v>0</v>
      </c>
      <c r="K64" s="124" t="str">
        <f t="shared" si="6"/>
        <v/>
      </c>
      <c r="L64" s="31">
        <f t="shared" si="3"/>
        <v>0</v>
      </c>
      <c r="M64" s="32">
        <f t="shared" si="4"/>
        <v>0</v>
      </c>
    </row>
    <row r="65" spans="2:13" x14ac:dyDescent="0.25">
      <c r="B65" s="33" t="s">
        <v>306</v>
      </c>
      <c r="C65" s="31"/>
      <c r="D65" s="31"/>
      <c r="E65" s="31"/>
      <c r="F65" s="31"/>
      <c r="G65" s="124" t="str">
        <f t="shared" si="5"/>
        <v/>
      </c>
      <c r="H65" s="31">
        <f t="shared" si="1"/>
        <v>0</v>
      </c>
      <c r="I65" s="31"/>
      <c r="J65" s="31"/>
      <c r="K65" s="124" t="str">
        <f t="shared" si="6"/>
        <v/>
      </c>
      <c r="L65" s="31">
        <f t="shared" si="3"/>
        <v>0</v>
      </c>
      <c r="M65" s="32">
        <f t="shared" si="4"/>
        <v>0</v>
      </c>
    </row>
    <row r="66" spans="2:13" x14ac:dyDescent="0.25">
      <c r="B66" s="34" t="s">
        <v>307</v>
      </c>
      <c r="C66" s="31"/>
      <c r="D66" s="31"/>
      <c r="E66" s="31"/>
      <c r="F66" s="31"/>
      <c r="G66" s="124" t="str">
        <f t="shared" si="5"/>
        <v/>
      </c>
      <c r="H66" s="31">
        <f t="shared" si="1"/>
        <v>0</v>
      </c>
      <c r="I66" s="31"/>
      <c r="J66" s="31"/>
      <c r="K66" s="124" t="str">
        <f t="shared" si="6"/>
        <v/>
      </c>
      <c r="L66" s="31">
        <f t="shared" si="3"/>
        <v>0</v>
      </c>
      <c r="M66" s="32">
        <f t="shared" si="4"/>
        <v>0</v>
      </c>
    </row>
    <row r="67" spans="2:13" x14ac:dyDescent="0.25">
      <c r="B67" s="34" t="s">
        <v>308</v>
      </c>
      <c r="C67" s="31"/>
      <c r="D67" s="31"/>
      <c r="E67" s="31"/>
      <c r="F67" s="31"/>
      <c r="G67" s="124" t="str">
        <f t="shared" si="5"/>
        <v/>
      </c>
      <c r="H67" s="31">
        <f t="shared" si="1"/>
        <v>0</v>
      </c>
      <c r="I67" s="31"/>
      <c r="J67" s="31"/>
      <c r="K67" s="124" t="str">
        <f t="shared" si="6"/>
        <v/>
      </c>
      <c r="L67" s="31">
        <f t="shared" si="3"/>
        <v>0</v>
      </c>
      <c r="M67" s="32">
        <f t="shared" si="4"/>
        <v>0</v>
      </c>
    </row>
    <row r="68" spans="2:13" x14ac:dyDescent="0.25">
      <c r="B68" s="34" t="s">
        <v>309</v>
      </c>
      <c r="C68" s="31"/>
      <c r="D68" s="31"/>
      <c r="E68" s="31"/>
      <c r="F68" s="31"/>
      <c r="G68" s="124" t="str">
        <f t="shared" si="5"/>
        <v/>
      </c>
      <c r="H68" s="31">
        <f t="shared" si="1"/>
        <v>0</v>
      </c>
      <c r="I68" s="31"/>
      <c r="J68" s="31"/>
      <c r="K68" s="124" t="str">
        <f t="shared" si="6"/>
        <v/>
      </c>
      <c r="L68" s="31">
        <f t="shared" si="3"/>
        <v>0</v>
      </c>
      <c r="M68" s="32">
        <f t="shared" si="4"/>
        <v>0</v>
      </c>
    </row>
    <row r="69" spans="2:13" x14ac:dyDescent="0.25">
      <c r="B69" s="34" t="s">
        <v>310</v>
      </c>
      <c r="C69" s="31"/>
      <c r="D69" s="31"/>
      <c r="E69" s="31"/>
      <c r="F69" s="31"/>
      <c r="G69" s="124" t="str">
        <f t="shared" si="5"/>
        <v/>
      </c>
      <c r="H69" s="31">
        <f t="shared" si="1"/>
        <v>0</v>
      </c>
      <c r="I69" s="31"/>
      <c r="J69" s="31"/>
      <c r="K69" s="124" t="str">
        <f t="shared" si="6"/>
        <v/>
      </c>
      <c r="L69" s="31">
        <f t="shared" si="3"/>
        <v>0</v>
      </c>
      <c r="M69" s="32">
        <f t="shared" si="4"/>
        <v>0</v>
      </c>
    </row>
    <row r="70" spans="2:13" x14ac:dyDescent="0.25">
      <c r="B70" s="34" t="s">
        <v>271</v>
      </c>
      <c r="C70" s="31"/>
      <c r="D70" s="31"/>
      <c r="E70" s="31"/>
      <c r="F70" s="31"/>
      <c r="G70" s="124" t="str">
        <f t="shared" si="5"/>
        <v/>
      </c>
      <c r="H70" s="31">
        <f t="shared" si="1"/>
        <v>0</v>
      </c>
      <c r="I70" s="31"/>
      <c r="J70" s="31"/>
      <c r="K70" s="124" t="str">
        <f t="shared" si="6"/>
        <v/>
      </c>
      <c r="L70" s="31">
        <f t="shared" si="3"/>
        <v>0</v>
      </c>
      <c r="M70" s="32">
        <f t="shared" si="4"/>
        <v>0</v>
      </c>
    </row>
    <row r="71" spans="2:13" x14ac:dyDescent="0.25">
      <c r="B71" s="34" t="s">
        <v>272</v>
      </c>
      <c r="C71" s="31">
        <f>ROUND(C65-SUM(C66:C70),2)</f>
        <v>0</v>
      </c>
      <c r="D71" s="31">
        <f>ROUND(D65-SUM(D66:D70),2)</f>
        <v>0</v>
      </c>
      <c r="E71" s="31">
        <f t="shared" ref="E71:F71" si="23">ROUND(E65-SUM(E66:E70),2)</f>
        <v>0</v>
      </c>
      <c r="F71" s="31">
        <f t="shared" si="23"/>
        <v>0</v>
      </c>
      <c r="G71" s="124" t="str">
        <f t="shared" si="5"/>
        <v/>
      </c>
      <c r="H71" s="31">
        <f t="shared" si="1"/>
        <v>0</v>
      </c>
      <c r="I71" s="31">
        <f t="shared" ref="I71:J71" si="24">ROUND(I65-SUM(I66:I70),2)</f>
        <v>0</v>
      </c>
      <c r="J71" s="31">
        <f t="shared" si="24"/>
        <v>0</v>
      </c>
      <c r="K71" s="124" t="str">
        <f t="shared" si="6"/>
        <v/>
      </c>
      <c r="L71" s="31">
        <f t="shared" si="3"/>
        <v>0</v>
      </c>
      <c r="M71" s="32">
        <f t="shared" si="4"/>
        <v>0</v>
      </c>
    </row>
    <row r="72" spans="2:13" x14ac:dyDescent="0.25">
      <c r="B72" s="33" t="s">
        <v>311</v>
      </c>
      <c r="C72" s="31"/>
      <c r="D72" s="31"/>
      <c r="E72" s="31"/>
      <c r="F72" s="31"/>
      <c r="G72" s="124" t="str">
        <f t="shared" si="5"/>
        <v/>
      </c>
      <c r="H72" s="31">
        <f t="shared" si="1"/>
        <v>0</v>
      </c>
      <c r="I72" s="31"/>
      <c r="J72" s="31"/>
      <c r="K72" s="124" t="str">
        <f t="shared" si="6"/>
        <v/>
      </c>
      <c r="L72" s="31">
        <f t="shared" si="3"/>
        <v>0</v>
      </c>
      <c r="M72" s="32">
        <f t="shared" si="4"/>
        <v>0</v>
      </c>
    </row>
    <row r="73" spans="2:13" x14ac:dyDescent="0.25">
      <c r="B73" s="34" t="s">
        <v>312</v>
      </c>
      <c r="C73" s="31"/>
      <c r="D73" s="31"/>
      <c r="E73" s="31"/>
      <c r="F73" s="31"/>
      <c r="G73" s="124" t="str">
        <f t="shared" si="5"/>
        <v/>
      </c>
      <c r="H73" s="31">
        <f t="shared" si="1"/>
        <v>0</v>
      </c>
      <c r="I73" s="31"/>
      <c r="J73" s="31"/>
      <c r="K73" s="124" t="str">
        <f t="shared" si="6"/>
        <v/>
      </c>
      <c r="L73" s="31">
        <f t="shared" si="3"/>
        <v>0</v>
      </c>
      <c r="M73" s="32">
        <f t="shared" si="4"/>
        <v>0</v>
      </c>
    </row>
    <row r="74" spans="2:13" x14ac:dyDescent="0.25">
      <c r="B74" s="34" t="s">
        <v>313</v>
      </c>
      <c r="C74" s="31"/>
      <c r="D74" s="31"/>
      <c r="E74" s="31"/>
      <c r="F74" s="31"/>
      <c r="G74" s="124" t="str">
        <f t="shared" si="5"/>
        <v/>
      </c>
      <c r="H74" s="31">
        <f t="shared" si="1"/>
        <v>0</v>
      </c>
      <c r="I74" s="31"/>
      <c r="J74" s="31"/>
      <c r="K74" s="124" t="str">
        <f t="shared" si="6"/>
        <v/>
      </c>
      <c r="L74" s="31">
        <f t="shared" si="3"/>
        <v>0</v>
      </c>
      <c r="M74" s="32">
        <f t="shared" si="4"/>
        <v>0</v>
      </c>
    </row>
    <row r="75" spans="2:13" x14ac:dyDescent="0.25">
      <c r="B75" s="34" t="s">
        <v>314</v>
      </c>
      <c r="C75" s="31"/>
      <c r="D75" s="31"/>
      <c r="E75" s="31"/>
      <c r="F75" s="31"/>
      <c r="G75" s="124" t="str">
        <f t="shared" si="5"/>
        <v/>
      </c>
      <c r="H75" s="31">
        <f t="shared" si="1"/>
        <v>0</v>
      </c>
      <c r="I75" s="31"/>
      <c r="J75" s="31"/>
      <c r="K75" s="124" t="str">
        <f t="shared" si="6"/>
        <v/>
      </c>
      <c r="L75" s="31">
        <f t="shared" si="3"/>
        <v>0</v>
      </c>
      <c r="M75" s="32">
        <f t="shared" si="4"/>
        <v>0</v>
      </c>
    </row>
    <row r="76" spans="2:13" x14ac:dyDescent="0.25">
      <c r="B76" s="34" t="s">
        <v>315</v>
      </c>
      <c r="C76" s="31"/>
      <c r="D76" s="31"/>
      <c r="E76" s="31"/>
      <c r="F76" s="31"/>
      <c r="G76" s="124" t="str">
        <f t="shared" si="5"/>
        <v/>
      </c>
      <c r="H76" s="31">
        <f t="shared" ref="H76:H139" si="25">D76-F76</f>
        <v>0</v>
      </c>
      <c r="I76" s="31"/>
      <c r="J76" s="31"/>
      <c r="K76" s="124" t="str">
        <f t="shared" si="6"/>
        <v/>
      </c>
      <c r="L76" s="31">
        <f t="shared" ref="L76:L139" si="26">D76-J76</f>
        <v>0</v>
      </c>
      <c r="M76" s="32">
        <f t="shared" ref="M76:M139" si="27">IF(MONTH(paramDataBase)=12,F76-J76,0)</f>
        <v>0</v>
      </c>
    </row>
    <row r="77" spans="2:13" x14ac:dyDescent="0.25">
      <c r="B77" s="34" t="s">
        <v>316</v>
      </c>
      <c r="C77" s="31"/>
      <c r="D77" s="31"/>
      <c r="E77" s="31"/>
      <c r="F77" s="31"/>
      <c r="G77" s="124" t="str">
        <f t="shared" ref="G77:G140" si="28">IFERROR(ROUND(F77/F$207,4),"")</f>
        <v/>
      </c>
      <c r="H77" s="31">
        <f t="shared" si="25"/>
        <v>0</v>
      </c>
      <c r="I77" s="31"/>
      <c r="J77" s="31"/>
      <c r="K77" s="124" t="str">
        <f t="shared" ref="K77:K140" si="29">IFERROR(ROUND(J77/J$207,4),"")</f>
        <v/>
      </c>
      <c r="L77" s="31">
        <f t="shared" si="26"/>
        <v>0</v>
      </c>
      <c r="M77" s="32">
        <f t="shared" si="27"/>
        <v>0</v>
      </c>
    </row>
    <row r="78" spans="2:13" x14ac:dyDescent="0.25">
      <c r="B78" s="34" t="s">
        <v>317</v>
      </c>
      <c r="C78" s="31"/>
      <c r="D78" s="31"/>
      <c r="E78" s="31"/>
      <c r="F78" s="31"/>
      <c r="G78" s="124" t="str">
        <f t="shared" si="28"/>
        <v/>
      </c>
      <c r="H78" s="31">
        <f t="shared" si="25"/>
        <v>0</v>
      </c>
      <c r="I78" s="31"/>
      <c r="J78" s="31"/>
      <c r="K78" s="124" t="str">
        <f t="shared" si="29"/>
        <v/>
      </c>
      <c r="L78" s="31">
        <f t="shared" si="26"/>
        <v>0</v>
      </c>
      <c r="M78" s="32">
        <f t="shared" si="27"/>
        <v>0</v>
      </c>
    </row>
    <row r="79" spans="2:13" x14ac:dyDescent="0.25">
      <c r="B79" s="34" t="s">
        <v>271</v>
      </c>
      <c r="C79" s="31"/>
      <c r="D79" s="31"/>
      <c r="E79" s="31"/>
      <c r="F79" s="31"/>
      <c r="G79" s="124" t="str">
        <f t="shared" si="28"/>
        <v/>
      </c>
      <c r="H79" s="31">
        <f t="shared" si="25"/>
        <v>0</v>
      </c>
      <c r="I79" s="31"/>
      <c r="J79" s="31"/>
      <c r="K79" s="124" t="str">
        <f t="shared" si="29"/>
        <v/>
      </c>
      <c r="L79" s="31">
        <f t="shared" si="26"/>
        <v>0</v>
      </c>
      <c r="M79" s="32">
        <f t="shared" si="27"/>
        <v>0</v>
      </c>
    </row>
    <row r="80" spans="2:13" x14ac:dyDescent="0.25">
      <c r="B80" s="34" t="s">
        <v>272</v>
      </c>
      <c r="C80" s="31">
        <f>ROUND(C72-SUM(C73:C79),2)</f>
        <v>0</v>
      </c>
      <c r="D80" s="31">
        <f>ROUND(D72-SUM(D73:D79),2)</f>
        <v>0</v>
      </c>
      <c r="E80" s="31">
        <f t="shared" ref="E80:F80" si="30">ROUND(E72-SUM(E73:E79),2)</f>
        <v>0</v>
      </c>
      <c r="F80" s="31">
        <f t="shared" si="30"/>
        <v>0</v>
      </c>
      <c r="G80" s="124" t="str">
        <f t="shared" si="28"/>
        <v/>
      </c>
      <c r="H80" s="31">
        <f t="shared" si="25"/>
        <v>0</v>
      </c>
      <c r="I80" s="31">
        <f t="shared" ref="I80:J80" si="31">ROUND(I72-SUM(I73:I79),2)</f>
        <v>0</v>
      </c>
      <c r="J80" s="31">
        <f t="shared" si="31"/>
        <v>0</v>
      </c>
      <c r="K80" s="124" t="str">
        <f t="shared" si="29"/>
        <v/>
      </c>
      <c r="L80" s="31">
        <f t="shared" si="26"/>
        <v>0</v>
      </c>
      <c r="M80" s="32">
        <f t="shared" si="27"/>
        <v>0</v>
      </c>
    </row>
    <row r="81" spans="2:13" x14ac:dyDescent="0.25">
      <c r="B81" s="33" t="s">
        <v>318</v>
      </c>
      <c r="C81" s="31"/>
      <c r="D81" s="31"/>
      <c r="E81" s="31"/>
      <c r="F81" s="31"/>
      <c r="G81" s="124" t="str">
        <f t="shared" si="28"/>
        <v/>
      </c>
      <c r="H81" s="31">
        <f t="shared" si="25"/>
        <v>0</v>
      </c>
      <c r="I81" s="31"/>
      <c r="J81" s="31"/>
      <c r="K81" s="124" t="str">
        <f t="shared" si="29"/>
        <v/>
      </c>
      <c r="L81" s="31">
        <f t="shared" si="26"/>
        <v>0</v>
      </c>
      <c r="M81" s="32">
        <f t="shared" si="27"/>
        <v>0</v>
      </c>
    </row>
    <row r="82" spans="2:13" x14ac:dyDescent="0.25">
      <c r="B82" s="56" t="s">
        <v>319</v>
      </c>
      <c r="C82" s="31"/>
      <c r="D82" s="31"/>
      <c r="E82" s="31"/>
      <c r="F82" s="31"/>
      <c r="G82" s="124" t="str">
        <f t="shared" si="28"/>
        <v/>
      </c>
      <c r="H82" s="31">
        <f t="shared" si="25"/>
        <v>0</v>
      </c>
      <c r="I82" s="31"/>
      <c r="J82" s="31"/>
      <c r="K82" s="124" t="str">
        <f t="shared" si="29"/>
        <v/>
      </c>
      <c r="L82" s="31">
        <f t="shared" si="26"/>
        <v>0</v>
      </c>
      <c r="M82" s="32">
        <f t="shared" si="27"/>
        <v>0</v>
      </c>
    </row>
    <row r="83" spans="2:13" x14ac:dyDescent="0.25">
      <c r="B83" s="56" t="s">
        <v>320</v>
      </c>
      <c r="C83" s="31"/>
      <c r="D83" s="31"/>
      <c r="E83" s="31"/>
      <c r="F83" s="31"/>
      <c r="G83" s="124" t="str">
        <f t="shared" si="28"/>
        <v/>
      </c>
      <c r="H83" s="31">
        <f t="shared" si="25"/>
        <v>0</v>
      </c>
      <c r="I83" s="31"/>
      <c r="J83" s="31"/>
      <c r="K83" s="124" t="str">
        <f t="shared" si="29"/>
        <v/>
      </c>
      <c r="L83" s="31">
        <f t="shared" si="26"/>
        <v>0</v>
      </c>
      <c r="M83" s="32">
        <f t="shared" si="27"/>
        <v>0</v>
      </c>
    </row>
    <row r="84" spans="2:13" x14ac:dyDescent="0.25">
      <c r="B84" s="56" t="s">
        <v>321</v>
      </c>
      <c r="C84" s="31"/>
      <c r="D84" s="31"/>
      <c r="E84" s="31"/>
      <c r="F84" s="31"/>
      <c r="G84" s="124" t="str">
        <f t="shared" si="28"/>
        <v/>
      </c>
      <c r="H84" s="31">
        <f t="shared" si="25"/>
        <v>0</v>
      </c>
      <c r="I84" s="31"/>
      <c r="J84" s="31"/>
      <c r="K84" s="124" t="str">
        <f t="shared" si="29"/>
        <v/>
      </c>
      <c r="L84" s="31">
        <f t="shared" si="26"/>
        <v>0</v>
      </c>
      <c r="M84" s="32">
        <f t="shared" si="27"/>
        <v>0</v>
      </c>
    </row>
    <row r="85" spans="2:13" x14ac:dyDescent="0.25">
      <c r="B85" s="56" t="s">
        <v>322</v>
      </c>
      <c r="C85" s="31"/>
      <c r="D85" s="31"/>
      <c r="E85" s="31"/>
      <c r="F85" s="31"/>
      <c r="G85" s="124" t="str">
        <f t="shared" si="28"/>
        <v/>
      </c>
      <c r="H85" s="31">
        <f t="shared" si="25"/>
        <v>0</v>
      </c>
      <c r="I85" s="31"/>
      <c r="J85" s="31"/>
      <c r="K85" s="124" t="str">
        <f t="shared" si="29"/>
        <v/>
      </c>
      <c r="L85" s="31">
        <f t="shared" si="26"/>
        <v>0</v>
      </c>
      <c r="M85" s="32">
        <f t="shared" si="27"/>
        <v>0</v>
      </c>
    </row>
    <row r="86" spans="2:13" x14ac:dyDescent="0.25">
      <c r="B86" s="56" t="s">
        <v>271</v>
      </c>
      <c r="C86" s="31"/>
      <c r="D86" s="31"/>
      <c r="E86" s="31"/>
      <c r="F86" s="31"/>
      <c r="G86" s="124" t="str">
        <f t="shared" si="28"/>
        <v/>
      </c>
      <c r="H86" s="31">
        <f t="shared" si="25"/>
        <v>0</v>
      </c>
      <c r="I86" s="31"/>
      <c r="J86" s="31"/>
      <c r="K86" s="124" t="str">
        <f t="shared" si="29"/>
        <v/>
      </c>
      <c r="L86" s="31">
        <f t="shared" si="26"/>
        <v>0</v>
      </c>
      <c r="M86" s="32">
        <f t="shared" si="27"/>
        <v>0</v>
      </c>
    </row>
    <row r="87" spans="2:13" x14ac:dyDescent="0.25">
      <c r="B87" s="56" t="s">
        <v>272</v>
      </c>
      <c r="C87" s="31">
        <f>ROUND(C81-SUM(C82:C86),2)</f>
        <v>0</v>
      </c>
      <c r="D87" s="31">
        <f>ROUND(D81-SUM(D82:D86),2)</f>
        <v>0</v>
      </c>
      <c r="E87" s="31">
        <f t="shared" ref="E87:F87" si="32">ROUND(E81-SUM(E82:E86),2)</f>
        <v>0</v>
      </c>
      <c r="F87" s="31">
        <f t="shared" si="32"/>
        <v>0</v>
      </c>
      <c r="G87" s="124" t="str">
        <f t="shared" si="28"/>
        <v/>
      </c>
      <c r="H87" s="31">
        <f t="shared" si="25"/>
        <v>0</v>
      </c>
      <c r="I87" s="31">
        <f t="shared" ref="I87:J87" si="33">ROUND(I81-SUM(I82:I86),2)</f>
        <v>0</v>
      </c>
      <c r="J87" s="31">
        <f t="shared" si="33"/>
        <v>0</v>
      </c>
      <c r="K87" s="124" t="str">
        <f t="shared" si="29"/>
        <v/>
      </c>
      <c r="L87" s="31">
        <f t="shared" si="26"/>
        <v>0</v>
      </c>
      <c r="M87" s="32">
        <f t="shared" si="27"/>
        <v>0</v>
      </c>
    </row>
    <row r="88" spans="2:13" x14ac:dyDescent="0.25">
      <c r="B88" s="33" t="s">
        <v>323</v>
      </c>
      <c r="C88" s="31"/>
      <c r="D88" s="31"/>
      <c r="E88" s="31"/>
      <c r="F88" s="31"/>
      <c r="G88" s="124" t="str">
        <f t="shared" si="28"/>
        <v/>
      </c>
      <c r="H88" s="31">
        <f t="shared" si="25"/>
        <v>0</v>
      </c>
      <c r="I88" s="31"/>
      <c r="J88" s="31"/>
      <c r="K88" s="124" t="str">
        <f t="shared" si="29"/>
        <v/>
      </c>
      <c r="L88" s="31">
        <f t="shared" si="26"/>
        <v>0</v>
      </c>
      <c r="M88" s="32">
        <f t="shared" si="27"/>
        <v>0</v>
      </c>
    </row>
    <row r="89" spans="2:13" x14ac:dyDescent="0.25">
      <c r="B89" s="56" t="s">
        <v>324</v>
      </c>
      <c r="C89" s="31"/>
      <c r="D89" s="31"/>
      <c r="E89" s="31"/>
      <c r="F89" s="31"/>
      <c r="G89" s="124" t="str">
        <f t="shared" si="28"/>
        <v/>
      </c>
      <c r="H89" s="31">
        <f t="shared" si="25"/>
        <v>0</v>
      </c>
      <c r="I89" s="31"/>
      <c r="J89" s="31"/>
      <c r="K89" s="124" t="str">
        <f t="shared" si="29"/>
        <v/>
      </c>
      <c r="L89" s="31">
        <f t="shared" si="26"/>
        <v>0</v>
      </c>
      <c r="M89" s="32">
        <f t="shared" si="27"/>
        <v>0</v>
      </c>
    </row>
    <row r="90" spans="2:13" x14ac:dyDescent="0.25">
      <c r="B90" s="56" t="s">
        <v>325</v>
      </c>
      <c r="C90" s="31"/>
      <c r="D90" s="31"/>
      <c r="E90" s="31"/>
      <c r="F90" s="31"/>
      <c r="G90" s="124" t="str">
        <f t="shared" si="28"/>
        <v/>
      </c>
      <c r="H90" s="31">
        <f t="shared" si="25"/>
        <v>0</v>
      </c>
      <c r="I90" s="31"/>
      <c r="J90" s="31"/>
      <c r="K90" s="124" t="str">
        <f t="shared" si="29"/>
        <v/>
      </c>
      <c r="L90" s="31">
        <f t="shared" si="26"/>
        <v>0</v>
      </c>
      <c r="M90" s="32">
        <f t="shared" si="27"/>
        <v>0</v>
      </c>
    </row>
    <row r="91" spans="2:13" x14ac:dyDescent="0.25">
      <c r="B91" s="56" t="s">
        <v>326</v>
      </c>
      <c r="C91" s="31"/>
      <c r="D91" s="31"/>
      <c r="E91" s="31"/>
      <c r="F91" s="31"/>
      <c r="G91" s="124" t="str">
        <f t="shared" si="28"/>
        <v/>
      </c>
      <c r="H91" s="31">
        <f t="shared" si="25"/>
        <v>0</v>
      </c>
      <c r="I91" s="31"/>
      <c r="J91" s="31"/>
      <c r="K91" s="124" t="str">
        <f t="shared" si="29"/>
        <v/>
      </c>
      <c r="L91" s="31">
        <f t="shared" si="26"/>
        <v>0</v>
      </c>
      <c r="M91" s="32">
        <f t="shared" si="27"/>
        <v>0</v>
      </c>
    </row>
    <row r="92" spans="2:13" x14ac:dyDescent="0.25">
      <c r="B92" s="56" t="s">
        <v>327</v>
      </c>
      <c r="C92" s="31"/>
      <c r="D92" s="31"/>
      <c r="E92" s="31"/>
      <c r="F92" s="31"/>
      <c r="G92" s="124" t="str">
        <f t="shared" si="28"/>
        <v/>
      </c>
      <c r="H92" s="31">
        <f t="shared" si="25"/>
        <v>0</v>
      </c>
      <c r="I92" s="31"/>
      <c r="J92" s="31"/>
      <c r="K92" s="124" t="str">
        <f t="shared" si="29"/>
        <v/>
      </c>
      <c r="L92" s="31">
        <f t="shared" si="26"/>
        <v>0</v>
      </c>
      <c r="M92" s="32">
        <f t="shared" si="27"/>
        <v>0</v>
      </c>
    </row>
    <row r="93" spans="2:13" x14ac:dyDescent="0.25">
      <c r="B93" s="56" t="s">
        <v>328</v>
      </c>
      <c r="C93" s="31"/>
      <c r="D93" s="31"/>
      <c r="E93" s="31"/>
      <c r="F93" s="31"/>
      <c r="G93" s="124" t="str">
        <f t="shared" si="28"/>
        <v/>
      </c>
      <c r="H93" s="31">
        <f t="shared" si="25"/>
        <v>0</v>
      </c>
      <c r="I93" s="31"/>
      <c r="J93" s="31"/>
      <c r="K93" s="124" t="str">
        <f t="shared" si="29"/>
        <v/>
      </c>
      <c r="L93" s="31">
        <f t="shared" si="26"/>
        <v>0</v>
      </c>
      <c r="M93" s="32">
        <f t="shared" si="27"/>
        <v>0</v>
      </c>
    </row>
    <row r="94" spans="2:13" x14ac:dyDescent="0.25">
      <c r="B94" s="56" t="s">
        <v>329</v>
      </c>
      <c r="C94" s="31"/>
      <c r="D94" s="31"/>
      <c r="E94" s="31"/>
      <c r="F94" s="31"/>
      <c r="G94" s="124" t="str">
        <f t="shared" si="28"/>
        <v/>
      </c>
      <c r="H94" s="31">
        <f t="shared" si="25"/>
        <v>0</v>
      </c>
      <c r="I94" s="31"/>
      <c r="J94" s="31"/>
      <c r="K94" s="124" t="str">
        <f t="shared" si="29"/>
        <v/>
      </c>
      <c r="L94" s="31">
        <f t="shared" si="26"/>
        <v>0</v>
      </c>
      <c r="M94" s="32">
        <f t="shared" si="27"/>
        <v>0</v>
      </c>
    </row>
    <row r="95" spans="2:13" x14ac:dyDescent="0.25">
      <c r="B95" s="56" t="s">
        <v>330</v>
      </c>
      <c r="C95" s="31"/>
      <c r="D95" s="31"/>
      <c r="E95" s="31"/>
      <c r="F95" s="31"/>
      <c r="G95" s="124" t="str">
        <f t="shared" si="28"/>
        <v/>
      </c>
      <c r="H95" s="31">
        <f t="shared" si="25"/>
        <v>0</v>
      </c>
      <c r="I95" s="31"/>
      <c r="J95" s="31"/>
      <c r="K95" s="124" t="str">
        <f t="shared" si="29"/>
        <v/>
      </c>
      <c r="L95" s="31">
        <f t="shared" si="26"/>
        <v>0</v>
      </c>
      <c r="M95" s="32">
        <f t="shared" si="27"/>
        <v>0</v>
      </c>
    </row>
    <row r="96" spans="2:13" x14ac:dyDescent="0.25">
      <c r="B96" s="56" t="s">
        <v>331</v>
      </c>
      <c r="C96" s="31"/>
      <c r="D96" s="31"/>
      <c r="E96" s="31"/>
      <c r="F96" s="31"/>
      <c r="G96" s="124" t="str">
        <f t="shared" si="28"/>
        <v/>
      </c>
      <c r="H96" s="31">
        <f t="shared" si="25"/>
        <v>0</v>
      </c>
      <c r="I96" s="31"/>
      <c r="J96" s="31"/>
      <c r="K96" s="124" t="str">
        <f t="shared" si="29"/>
        <v/>
      </c>
      <c r="L96" s="31">
        <f t="shared" si="26"/>
        <v>0</v>
      </c>
      <c r="M96" s="32">
        <f t="shared" si="27"/>
        <v>0</v>
      </c>
    </row>
    <row r="97" spans="2:13" x14ac:dyDescent="0.25">
      <c r="B97" s="56" t="s">
        <v>271</v>
      </c>
      <c r="C97" s="31"/>
      <c r="D97" s="31"/>
      <c r="E97" s="31"/>
      <c r="F97" s="31"/>
      <c r="G97" s="124" t="str">
        <f t="shared" si="28"/>
        <v/>
      </c>
      <c r="H97" s="31">
        <f t="shared" si="25"/>
        <v>0</v>
      </c>
      <c r="I97" s="31"/>
      <c r="J97" s="31"/>
      <c r="K97" s="124" t="str">
        <f t="shared" si="29"/>
        <v/>
      </c>
      <c r="L97" s="31">
        <f t="shared" si="26"/>
        <v>0</v>
      </c>
      <c r="M97" s="32">
        <f t="shared" si="27"/>
        <v>0</v>
      </c>
    </row>
    <row r="98" spans="2:13" x14ac:dyDescent="0.25">
      <c r="B98" s="56" t="s">
        <v>272</v>
      </c>
      <c r="C98" s="31">
        <f>ROUND(C88-SUM(C89:C97),2)</f>
        <v>0</v>
      </c>
      <c r="D98" s="31">
        <f>ROUND(D88-SUM(D89:D97),2)</f>
        <v>0</v>
      </c>
      <c r="E98" s="31">
        <f t="shared" ref="E98:F98" si="34">ROUND(E88-SUM(E89:E97),2)</f>
        <v>0</v>
      </c>
      <c r="F98" s="31">
        <f t="shared" si="34"/>
        <v>0</v>
      </c>
      <c r="G98" s="124" t="str">
        <f t="shared" si="28"/>
        <v/>
      </c>
      <c r="H98" s="31">
        <f t="shared" si="25"/>
        <v>0</v>
      </c>
      <c r="I98" s="31">
        <f t="shared" ref="I98:J98" si="35">ROUND(I88-SUM(I89:I97),2)</f>
        <v>0</v>
      </c>
      <c r="J98" s="31">
        <f t="shared" si="35"/>
        <v>0</v>
      </c>
      <c r="K98" s="124" t="str">
        <f t="shared" si="29"/>
        <v/>
      </c>
      <c r="L98" s="31">
        <f t="shared" si="26"/>
        <v>0</v>
      </c>
      <c r="M98" s="32">
        <f t="shared" si="27"/>
        <v>0</v>
      </c>
    </row>
    <row r="99" spans="2:13" x14ac:dyDescent="0.25">
      <c r="B99" s="33" t="s">
        <v>332</v>
      </c>
      <c r="C99" s="31"/>
      <c r="D99" s="31"/>
      <c r="E99" s="31"/>
      <c r="F99" s="31"/>
      <c r="G99" s="124" t="str">
        <f t="shared" si="28"/>
        <v/>
      </c>
      <c r="H99" s="31">
        <f t="shared" si="25"/>
        <v>0</v>
      </c>
      <c r="I99" s="31"/>
      <c r="J99" s="31"/>
      <c r="K99" s="124" t="str">
        <f t="shared" si="29"/>
        <v/>
      </c>
      <c r="L99" s="31">
        <f t="shared" si="26"/>
        <v>0</v>
      </c>
      <c r="M99" s="32">
        <f t="shared" si="27"/>
        <v>0</v>
      </c>
    </row>
    <row r="100" spans="2:13" x14ac:dyDescent="0.25">
      <c r="B100" s="34" t="s">
        <v>333</v>
      </c>
      <c r="C100" s="31"/>
      <c r="D100" s="31"/>
      <c r="E100" s="31"/>
      <c r="F100" s="31"/>
      <c r="G100" s="124" t="str">
        <f t="shared" si="28"/>
        <v/>
      </c>
      <c r="H100" s="31">
        <f t="shared" si="25"/>
        <v>0</v>
      </c>
      <c r="I100" s="31"/>
      <c r="J100" s="31"/>
      <c r="K100" s="124" t="str">
        <f t="shared" si="29"/>
        <v/>
      </c>
      <c r="L100" s="31">
        <f t="shared" si="26"/>
        <v>0</v>
      </c>
      <c r="M100" s="32">
        <f t="shared" si="27"/>
        <v>0</v>
      </c>
    </row>
    <row r="101" spans="2:13" x14ac:dyDescent="0.25">
      <c r="B101" s="34" t="s">
        <v>334</v>
      </c>
      <c r="C101" s="31"/>
      <c r="D101" s="31"/>
      <c r="E101" s="31"/>
      <c r="F101" s="31"/>
      <c r="G101" s="124" t="str">
        <f t="shared" si="28"/>
        <v/>
      </c>
      <c r="H101" s="31">
        <f t="shared" si="25"/>
        <v>0</v>
      </c>
      <c r="I101" s="31"/>
      <c r="J101" s="31"/>
      <c r="K101" s="124" t="str">
        <f t="shared" si="29"/>
        <v/>
      </c>
      <c r="L101" s="31">
        <f t="shared" si="26"/>
        <v>0</v>
      </c>
      <c r="M101" s="32">
        <f t="shared" si="27"/>
        <v>0</v>
      </c>
    </row>
    <row r="102" spans="2:13" x14ac:dyDescent="0.25">
      <c r="B102" s="34" t="s">
        <v>271</v>
      </c>
      <c r="C102" s="31"/>
      <c r="D102" s="31"/>
      <c r="E102" s="31"/>
      <c r="F102" s="31"/>
      <c r="G102" s="124" t="str">
        <f t="shared" si="28"/>
        <v/>
      </c>
      <c r="H102" s="31">
        <f t="shared" si="25"/>
        <v>0</v>
      </c>
      <c r="I102" s="31"/>
      <c r="J102" s="31"/>
      <c r="K102" s="124" t="str">
        <f t="shared" si="29"/>
        <v/>
      </c>
      <c r="L102" s="31">
        <f t="shared" si="26"/>
        <v>0</v>
      </c>
      <c r="M102" s="32">
        <f t="shared" si="27"/>
        <v>0</v>
      </c>
    </row>
    <row r="103" spans="2:13" x14ac:dyDescent="0.25">
      <c r="B103" s="34" t="s">
        <v>272</v>
      </c>
      <c r="C103" s="31">
        <f>ROUND(C99-SUM(C100:C102),2)</f>
        <v>0</v>
      </c>
      <c r="D103" s="31">
        <f>ROUND(D99-SUM(D100:D102),2)</f>
        <v>0</v>
      </c>
      <c r="E103" s="31">
        <f t="shared" ref="E103:F103" si="36">ROUND(E99-SUM(E100:E102),2)</f>
        <v>0</v>
      </c>
      <c r="F103" s="31">
        <f t="shared" si="36"/>
        <v>0</v>
      </c>
      <c r="G103" s="124" t="str">
        <f t="shared" si="28"/>
        <v/>
      </c>
      <c r="H103" s="31">
        <f t="shared" si="25"/>
        <v>0</v>
      </c>
      <c r="I103" s="31">
        <f t="shared" ref="I103:J103" si="37">ROUND(I99-SUM(I100:I102),2)</f>
        <v>0</v>
      </c>
      <c r="J103" s="31">
        <f t="shared" si="37"/>
        <v>0</v>
      </c>
      <c r="K103" s="124" t="str">
        <f t="shared" si="29"/>
        <v/>
      </c>
      <c r="L103" s="31">
        <f t="shared" si="26"/>
        <v>0</v>
      </c>
      <c r="M103" s="32">
        <f t="shared" si="27"/>
        <v>0</v>
      </c>
    </row>
    <row r="104" spans="2:13" x14ac:dyDescent="0.25">
      <c r="B104" s="33" t="s">
        <v>335</v>
      </c>
      <c r="C104" s="31"/>
      <c r="D104" s="31"/>
      <c r="E104" s="31"/>
      <c r="F104" s="31"/>
      <c r="G104" s="124" t="str">
        <f t="shared" si="28"/>
        <v/>
      </c>
      <c r="H104" s="31">
        <f t="shared" si="25"/>
        <v>0</v>
      </c>
      <c r="I104" s="31"/>
      <c r="J104" s="31"/>
      <c r="K104" s="124" t="str">
        <f t="shared" si="29"/>
        <v/>
      </c>
      <c r="L104" s="31">
        <f t="shared" si="26"/>
        <v>0</v>
      </c>
      <c r="M104" s="32">
        <f t="shared" si="27"/>
        <v>0</v>
      </c>
    </row>
    <row r="105" spans="2:13" x14ac:dyDescent="0.25">
      <c r="B105" s="34" t="s">
        <v>336</v>
      </c>
      <c r="C105" s="31"/>
      <c r="D105" s="31"/>
      <c r="E105" s="31"/>
      <c r="F105" s="31"/>
      <c r="G105" s="124" t="str">
        <f t="shared" si="28"/>
        <v/>
      </c>
      <c r="H105" s="31">
        <f t="shared" si="25"/>
        <v>0</v>
      </c>
      <c r="I105" s="31"/>
      <c r="J105" s="31"/>
      <c r="K105" s="124" t="str">
        <f t="shared" si="29"/>
        <v/>
      </c>
      <c r="L105" s="31">
        <f t="shared" si="26"/>
        <v>0</v>
      </c>
      <c r="M105" s="32">
        <f t="shared" si="27"/>
        <v>0</v>
      </c>
    </row>
    <row r="106" spans="2:13" x14ac:dyDescent="0.25">
      <c r="B106" s="34" t="s">
        <v>337</v>
      </c>
      <c r="C106" s="31"/>
      <c r="D106" s="31"/>
      <c r="E106" s="31"/>
      <c r="F106" s="31"/>
      <c r="G106" s="124" t="str">
        <f t="shared" si="28"/>
        <v/>
      </c>
      <c r="H106" s="31">
        <f t="shared" si="25"/>
        <v>0</v>
      </c>
      <c r="I106" s="31"/>
      <c r="J106" s="31"/>
      <c r="K106" s="124" t="str">
        <f t="shared" si="29"/>
        <v/>
      </c>
      <c r="L106" s="31">
        <f t="shared" si="26"/>
        <v>0</v>
      </c>
      <c r="M106" s="32">
        <f t="shared" si="27"/>
        <v>0</v>
      </c>
    </row>
    <row r="107" spans="2:13" x14ac:dyDescent="0.25">
      <c r="B107" s="34" t="s">
        <v>338</v>
      </c>
      <c r="C107" s="31"/>
      <c r="D107" s="31"/>
      <c r="E107" s="31"/>
      <c r="F107" s="31"/>
      <c r="G107" s="124" t="str">
        <f t="shared" si="28"/>
        <v/>
      </c>
      <c r="H107" s="31">
        <f t="shared" si="25"/>
        <v>0</v>
      </c>
      <c r="I107" s="31"/>
      <c r="J107" s="31"/>
      <c r="K107" s="124" t="str">
        <f t="shared" si="29"/>
        <v/>
      </c>
      <c r="L107" s="31">
        <f t="shared" si="26"/>
        <v>0</v>
      </c>
      <c r="M107" s="32">
        <f t="shared" si="27"/>
        <v>0</v>
      </c>
    </row>
    <row r="108" spans="2:13" x14ac:dyDescent="0.25">
      <c r="B108" s="34" t="s">
        <v>271</v>
      </c>
      <c r="C108" s="31"/>
      <c r="D108" s="31"/>
      <c r="E108" s="31"/>
      <c r="F108" s="31"/>
      <c r="G108" s="124" t="str">
        <f t="shared" si="28"/>
        <v/>
      </c>
      <c r="H108" s="31">
        <f t="shared" si="25"/>
        <v>0</v>
      </c>
      <c r="I108" s="31"/>
      <c r="J108" s="31"/>
      <c r="K108" s="124" t="str">
        <f t="shared" si="29"/>
        <v/>
      </c>
      <c r="L108" s="31">
        <f t="shared" si="26"/>
        <v>0</v>
      </c>
      <c r="M108" s="32">
        <f t="shared" si="27"/>
        <v>0</v>
      </c>
    </row>
    <row r="109" spans="2:13" x14ac:dyDescent="0.25">
      <c r="B109" s="34" t="s">
        <v>272</v>
      </c>
      <c r="C109" s="31">
        <f>ROUND(C104-SUM(C105:C108),2)</f>
        <v>0</v>
      </c>
      <c r="D109" s="31">
        <f>ROUND(D104-SUM(D105:D108),2)</f>
        <v>0</v>
      </c>
      <c r="E109" s="31">
        <f t="shared" ref="E109:F109" si="38">ROUND(E104-SUM(E105:E108),2)</f>
        <v>0</v>
      </c>
      <c r="F109" s="31">
        <f t="shared" si="38"/>
        <v>0</v>
      </c>
      <c r="G109" s="124" t="str">
        <f t="shared" si="28"/>
        <v/>
      </c>
      <c r="H109" s="31">
        <f t="shared" si="25"/>
        <v>0</v>
      </c>
      <c r="I109" s="31">
        <f t="shared" ref="I109:J109" si="39">ROUND(I104-SUM(I105:I108),2)</f>
        <v>0</v>
      </c>
      <c r="J109" s="31">
        <f t="shared" si="39"/>
        <v>0</v>
      </c>
      <c r="K109" s="124" t="str">
        <f t="shared" si="29"/>
        <v/>
      </c>
      <c r="L109" s="31">
        <f t="shared" si="26"/>
        <v>0</v>
      </c>
      <c r="M109" s="32">
        <f t="shared" si="27"/>
        <v>0</v>
      </c>
    </row>
    <row r="110" spans="2:13" x14ac:dyDescent="0.25">
      <c r="B110" s="33" t="s">
        <v>339</v>
      </c>
      <c r="C110" s="31"/>
      <c r="D110" s="31"/>
      <c r="E110" s="31"/>
      <c r="F110" s="31"/>
      <c r="G110" s="124" t="str">
        <f t="shared" si="28"/>
        <v/>
      </c>
      <c r="H110" s="31">
        <f t="shared" si="25"/>
        <v>0</v>
      </c>
      <c r="I110" s="31"/>
      <c r="J110" s="31"/>
      <c r="K110" s="124" t="str">
        <f t="shared" si="29"/>
        <v/>
      </c>
      <c r="L110" s="31">
        <f t="shared" si="26"/>
        <v>0</v>
      </c>
      <c r="M110" s="32">
        <f t="shared" si="27"/>
        <v>0</v>
      </c>
    </row>
    <row r="111" spans="2:13" x14ac:dyDescent="0.25">
      <c r="B111" s="34" t="s">
        <v>340</v>
      </c>
      <c r="C111" s="31"/>
      <c r="D111" s="31"/>
      <c r="E111" s="31"/>
      <c r="F111" s="31"/>
      <c r="G111" s="124" t="str">
        <f t="shared" si="28"/>
        <v/>
      </c>
      <c r="H111" s="31">
        <f t="shared" si="25"/>
        <v>0</v>
      </c>
      <c r="I111" s="31"/>
      <c r="J111" s="31"/>
      <c r="K111" s="124" t="str">
        <f t="shared" si="29"/>
        <v/>
      </c>
      <c r="L111" s="31">
        <f t="shared" si="26"/>
        <v>0</v>
      </c>
      <c r="M111" s="32">
        <f t="shared" si="27"/>
        <v>0</v>
      </c>
    </row>
    <row r="112" spans="2:13" x14ac:dyDescent="0.25">
      <c r="B112" s="34" t="s">
        <v>341</v>
      </c>
      <c r="C112" s="31"/>
      <c r="D112" s="31"/>
      <c r="E112" s="31"/>
      <c r="F112" s="31"/>
      <c r="G112" s="124" t="str">
        <f t="shared" si="28"/>
        <v/>
      </c>
      <c r="H112" s="31">
        <f t="shared" si="25"/>
        <v>0</v>
      </c>
      <c r="I112" s="31"/>
      <c r="J112" s="31"/>
      <c r="K112" s="124" t="str">
        <f t="shared" si="29"/>
        <v/>
      </c>
      <c r="L112" s="31">
        <f t="shared" si="26"/>
        <v>0</v>
      </c>
      <c r="M112" s="32">
        <f t="shared" si="27"/>
        <v>0</v>
      </c>
    </row>
    <row r="113" spans="2:13" x14ac:dyDescent="0.25">
      <c r="B113" s="34" t="s">
        <v>342</v>
      </c>
      <c r="C113" s="31"/>
      <c r="D113" s="31"/>
      <c r="E113" s="31"/>
      <c r="F113" s="31"/>
      <c r="G113" s="124" t="str">
        <f t="shared" si="28"/>
        <v/>
      </c>
      <c r="H113" s="31">
        <f t="shared" si="25"/>
        <v>0</v>
      </c>
      <c r="I113" s="31"/>
      <c r="J113" s="31"/>
      <c r="K113" s="124" t="str">
        <f t="shared" si="29"/>
        <v/>
      </c>
      <c r="L113" s="31">
        <f t="shared" si="26"/>
        <v>0</v>
      </c>
      <c r="M113" s="32">
        <f t="shared" si="27"/>
        <v>0</v>
      </c>
    </row>
    <row r="114" spans="2:13" x14ac:dyDescent="0.25">
      <c r="B114" s="34" t="s">
        <v>271</v>
      </c>
      <c r="C114" s="31"/>
      <c r="D114" s="31"/>
      <c r="E114" s="31"/>
      <c r="F114" s="31"/>
      <c r="G114" s="124" t="str">
        <f t="shared" si="28"/>
        <v/>
      </c>
      <c r="H114" s="31">
        <f t="shared" si="25"/>
        <v>0</v>
      </c>
      <c r="I114" s="31"/>
      <c r="J114" s="31"/>
      <c r="K114" s="124" t="str">
        <f t="shared" si="29"/>
        <v/>
      </c>
      <c r="L114" s="31">
        <f t="shared" si="26"/>
        <v>0</v>
      </c>
      <c r="M114" s="32">
        <f t="shared" si="27"/>
        <v>0</v>
      </c>
    </row>
    <row r="115" spans="2:13" x14ac:dyDescent="0.25">
      <c r="B115" s="34" t="s">
        <v>272</v>
      </c>
      <c r="C115" s="31">
        <f>ROUND(C110-SUM(C111:C114),2)</f>
        <v>0</v>
      </c>
      <c r="D115" s="31">
        <f>ROUND(D110-SUM(D111:D114),2)</f>
        <v>0</v>
      </c>
      <c r="E115" s="31">
        <f t="shared" ref="E115:F115" si="40">ROUND(E110-SUM(E111:E114),2)</f>
        <v>0</v>
      </c>
      <c r="F115" s="31">
        <f t="shared" si="40"/>
        <v>0</v>
      </c>
      <c r="G115" s="124" t="str">
        <f t="shared" si="28"/>
        <v/>
      </c>
      <c r="H115" s="31">
        <f t="shared" si="25"/>
        <v>0</v>
      </c>
      <c r="I115" s="31">
        <f t="shared" ref="I115:J115" si="41">ROUND(I110-SUM(I111:I114),2)</f>
        <v>0</v>
      </c>
      <c r="J115" s="31">
        <f t="shared" si="41"/>
        <v>0</v>
      </c>
      <c r="K115" s="124" t="str">
        <f t="shared" si="29"/>
        <v/>
      </c>
      <c r="L115" s="31">
        <f t="shared" si="26"/>
        <v>0</v>
      </c>
      <c r="M115" s="32">
        <f t="shared" si="27"/>
        <v>0</v>
      </c>
    </row>
    <row r="116" spans="2:13" x14ac:dyDescent="0.25">
      <c r="B116" s="33" t="s">
        <v>343</v>
      </c>
      <c r="C116" s="31"/>
      <c r="D116" s="31"/>
      <c r="E116" s="31"/>
      <c r="F116" s="31"/>
      <c r="G116" s="124" t="str">
        <f t="shared" si="28"/>
        <v/>
      </c>
      <c r="H116" s="31">
        <f t="shared" si="25"/>
        <v>0</v>
      </c>
      <c r="I116" s="31"/>
      <c r="J116" s="31"/>
      <c r="K116" s="124" t="str">
        <f t="shared" si="29"/>
        <v/>
      </c>
      <c r="L116" s="31">
        <f t="shared" si="26"/>
        <v>0</v>
      </c>
      <c r="M116" s="32">
        <f t="shared" si="27"/>
        <v>0</v>
      </c>
    </row>
    <row r="117" spans="2:13" x14ac:dyDescent="0.25">
      <c r="B117" s="34" t="s">
        <v>344</v>
      </c>
      <c r="C117" s="31"/>
      <c r="D117" s="31"/>
      <c r="E117" s="31"/>
      <c r="F117" s="31"/>
      <c r="G117" s="124" t="str">
        <f t="shared" si="28"/>
        <v/>
      </c>
      <c r="H117" s="31">
        <f t="shared" si="25"/>
        <v>0</v>
      </c>
      <c r="I117" s="31"/>
      <c r="J117" s="31"/>
      <c r="K117" s="124" t="str">
        <f t="shared" si="29"/>
        <v/>
      </c>
      <c r="L117" s="31">
        <f t="shared" si="26"/>
        <v>0</v>
      </c>
      <c r="M117" s="32">
        <f t="shared" si="27"/>
        <v>0</v>
      </c>
    </row>
    <row r="118" spans="2:13" x14ac:dyDescent="0.25">
      <c r="B118" s="34" t="s">
        <v>345</v>
      </c>
      <c r="C118" s="31"/>
      <c r="D118" s="31"/>
      <c r="E118" s="31"/>
      <c r="F118" s="31"/>
      <c r="G118" s="124" t="str">
        <f t="shared" si="28"/>
        <v/>
      </c>
      <c r="H118" s="31">
        <f t="shared" si="25"/>
        <v>0</v>
      </c>
      <c r="I118" s="31"/>
      <c r="J118" s="31"/>
      <c r="K118" s="124" t="str">
        <f t="shared" si="29"/>
        <v/>
      </c>
      <c r="L118" s="31">
        <f t="shared" si="26"/>
        <v>0</v>
      </c>
      <c r="M118" s="32">
        <f t="shared" si="27"/>
        <v>0</v>
      </c>
    </row>
    <row r="119" spans="2:13" x14ac:dyDescent="0.25">
      <c r="B119" s="34" t="s">
        <v>271</v>
      </c>
      <c r="C119" s="31"/>
      <c r="D119" s="31"/>
      <c r="E119" s="31"/>
      <c r="F119" s="31"/>
      <c r="G119" s="124" t="str">
        <f t="shared" si="28"/>
        <v/>
      </c>
      <c r="H119" s="31">
        <f t="shared" si="25"/>
        <v>0</v>
      </c>
      <c r="I119" s="31"/>
      <c r="J119" s="31"/>
      <c r="K119" s="124" t="str">
        <f t="shared" si="29"/>
        <v/>
      </c>
      <c r="L119" s="31">
        <f t="shared" si="26"/>
        <v>0</v>
      </c>
      <c r="M119" s="32">
        <f t="shared" si="27"/>
        <v>0</v>
      </c>
    </row>
    <row r="120" spans="2:13" x14ac:dyDescent="0.25">
      <c r="B120" s="34" t="s">
        <v>272</v>
      </c>
      <c r="C120" s="31">
        <f>ROUND(C116-SUM(C117:C119),2)</f>
        <v>0</v>
      </c>
      <c r="D120" s="31">
        <f>ROUND(D116-SUM(D117:D119),2)</f>
        <v>0</v>
      </c>
      <c r="E120" s="31">
        <f t="shared" ref="E120:F120" si="42">ROUND(E116-SUM(E117:E119),2)</f>
        <v>0</v>
      </c>
      <c r="F120" s="31">
        <f t="shared" si="42"/>
        <v>0</v>
      </c>
      <c r="G120" s="124" t="str">
        <f t="shared" si="28"/>
        <v/>
      </c>
      <c r="H120" s="31">
        <f t="shared" si="25"/>
        <v>0</v>
      </c>
      <c r="I120" s="31">
        <f t="shared" ref="I120:J120" si="43">ROUND(I116-SUM(I117:I119),2)</f>
        <v>0</v>
      </c>
      <c r="J120" s="31">
        <f t="shared" si="43"/>
        <v>0</v>
      </c>
      <c r="K120" s="124" t="str">
        <f t="shared" si="29"/>
        <v/>
      </c>
      <c r="L120" s="31">
        <f t="shared" si="26"/>
        <v>0</v>
      </c>
      <c r="M120" s="32">
        <f t="shared" si="27"/>
        <v>0</v>
      </c>
    </row>
    <row r="121" spans="2:13" x14ac:dyDescent="0.25">
      <c r="B121" s="33" t="s">
        <v>346</v>
      </c>
      <c r="C121" s="31"/>
      <c r="D121" s="31"/>
      <c r="E121" s="31"/>
      <c r="F121" s="31"/>
      <c r="G121" s="124" t="str">
        <f t="shared" si="28"/>
        <v/>
      </c>
      <c r="H121" s="31">
        <f t="shared" si="25"/>
        <v>0</v>
      </c>
      <c r="I121" s="31"/>
      <c r="J121" s="31"/>
      <c r="K121" s="124" t="str">
        <f t="shared" si="29"/>
        <v/>
      </c>
      <c r="L121" s="31">
        <f t="shared" si="26"/>
        <v>0</v>
      </c>
      <c r="M121" s="32">
        <f t="shared" si="27"/>
        <v>0</v>
      </c>
    </row>
    <row r="122" spans="2:13" x14ac:dyDescent="0.25">
      <c r="B122" s="34" t="s">
        <v>347</v>
      </c>
      <c r="C122" s="31"/>
      <c r="D122" s="31"/>
      <c r="E122" s="31"/>
      <c r="F122" s="31"/>
      <c r="G122" s="124" t="str">
        <f t="shared" si="28"/>
        <v/>
      </c>
      <c r="H122" s="31">
        <f t="shared" si="25"/>
        <v>0</v>
      </c>
      <c r="I122" s="31"/>
      <c r="J122" s="31"/>
      <c r="K122" s="124" t="str">
        <f t="shared" si="29"/>
        <v/>
      </c>
      <c r="L122" s="31">
        <f t="shared" si="26"/>
        <v>0</v>
      </c>
      <c r="M122" s="32">
        <f t="shared" si="27"/>
        <v>0</v>
      </c>
    </row>
    <row r="123" spans="2:13" x14ac:dyDescent="0.25">
      <c r="B123" s="34" t="s">
        <v>348</v>
      </c>
      <c r="C123" s="31"/>
      <c r="D123" s="31"/>
      <c r="E123" s="31"/>
      <c r="F123" s="31"/>
      <c r="G123" s="124" t="str">
        <f t="shared" si="28"/>
        <v/>
      </c>
      <c r="H123" s="31">
        <f t="shared" si="25"/>
        <v>0</v>
      </c>
      <c r="I123" s="31"/>
      <c r="J123" s="31"/>
      <c r="K123" s="124" t="str">
        <f t="shared" si="29"/>
        <v/>
      </c>
      <c r="L123" s="31">
        <f t="shared" si="26"/>
        <v>0</v>
      </c>
      <c r="M123" s="32">
        <f t="shared" si="27"/>
        <v>0</v>
      </c>
    </row>
    <row r="124" spans="2:13" x14ac:dyDescent="0.25">
      <c r="B124" s="34" t="s">
        <v>271</v>
      </c>
      <c r="C124" s="31"/>
      <c r="D124" s="31"/>
      <c r="E124" s="31"/>
      <c r="F124" s="31"/>
      <c r="G124" s="124" t="str">
        <f t="shared" si="28"/>
        <v/>
      </c>
      <c r="H124" s="31">
        <f t="shared" si="25"/>
        <v>0</v>
      </c>
      <c r="I124" s="31"/>
      <c r="J124" s="31"/>
      <c r="K124" s="124" t="str">
        <f t="shared" si="29"/>
        <v/>
      </c>
      <c r="L124" s="31">
        <f t="shared" si="26"/>
        <v>0</v>
      </c>
      <c r="M124" s="32">
        <f t="shared" si="27"/>
        <v>0</v>
      </c>
    </row>
    <row r="125" spans="2:13" x14ac:dyDescent="0.25">
      <c r="B125" s="34" t="s">
        <v>272</v>
      </c>
      <c r="C125" s="31">
        <f>ROUND(C121-SUM(C122:C124),2)</f>
        <v>0</v>
      </c>
      <c r="D125" s="31">
        <f>ROUND(D121-SUM(D122:D124),2)</f>
        <v>0</v>
      </c>
      <c r="E125" s="31">
        <f t="shared" ref="E125:F125" si="44">ROUND(E121-SUM(E122:E124),2)</f>
        <v>0</v>
      </c>
      <c r="F125" s="31">
        <f t="shared" si="44"/>
        <v>0</v>
      </c>
      <c r="G125" s="124" t="str">
        <f t="shared" si="28"/>
        <v/>
      </c>
      <c r="H125" s="31">
        <f t="shared" si="25"/>
        <v>0</v>
      </c>
      <c r="I125" s="31">
        <f t="shared" ref="I125:J125" si="45">ROUND(I121-SUM(I122:I124),2)</f>
        <v>0</v>
      </c>
      <c r="J125" s="31">
        <f t="shared" si="45"/>
        <v>0</v>
      </c>
      <c r="K125" s="124" t="str">
        <f t="shared" si="29"/>
        <v/>
      </c>
      <c r="L125" s="31">
        <f t="shared" si="26"/>
        <v>0</v>
      </c>
      <c r="M125" s="32">
        <f t="shared" si="27"/>
        <v>0</v>
      </c>
    </row>
    <row r="126" spans="2:13" x14ac:dyDescent="0.25">
      <c r="B126" s="33" t="s">
        <v>349</v>
      </c>
      <c r="C126" s="31"/>
      <c r="D126" s="31"/>
      <c r="E126" s="31"/>
      <c r="F126" s="31"/>
      <c r="G126" s="124" t="str">
        <f t="shared" si="28"/>
        <v/>
      </c>
      <c r="H126" s="31">
        <f t="shared" si="25"/>
        <v>0</v>
      </c>
      <c r="I126" s="31"/>
      <c r="J126" s="31"/>
      <c r="K126" s="124" t="str">
        <f t="shared" si="29"/>
        <v/>
      </c>
      <c r="L126" s="31">
        <f t="shared" si="26"/>
        <v>0</v>
      </c>
      <c r="M126" s="32">
        <f t="shared" si="27"/>
        <v>0</v>
      </c>
    </row>
    <row r="127" spans="2:13" x14ac:dyDescent="0.25">
      <c r="B127" s="34" t="s">
        <v>350</v>
      </c>
      <c r="C127" s="31"/>
      <c r="D127" s="31"/>
      <c r="E127" s="31"/>
      <c r="F127" s="31"/>
      <c r="G127" s="124" t="str">
        <f t="shared" si="28"/>
        <v/>
      </c>
      <c r="H127" s="31">
        <f t="shared" si="25"/>
        <v>0</v>
      </c>
      <c r="I127" s="31"/>
      <c r="J127" s="31"/>
      <c r="K127" s="124" t="str">
        <f t="shared" si="29"/>
        <v/>
      </c>
      <c r="L127" s="31">
        <f t="shared" si="26"/>
        <v>0</v>
      </c>
      <c r="M127" s="32">
        <f t="shared" si="27"/>
        <v>0</v>
      </c>
    </row>
    <row r="128" spans="2:13" x14ac:dyDescent="0.25">
      <c r="B128" s="34" t="s">
        <v>351</v>
      </c>
      <c r="C128" s="31"/>
      <c r="D128" s="31"/>
      <c r="E128" s="31"/>
      <c r="F128" s="31"/>
      <c r="G128" s="124" t="str">
        <f t="shared" si="28"/>
        <v/>
      </c>
      <c r="H128" s="31">
        <f t="shared" si="25"/>
        <v>0</v>
      </c>
      <c r="I128" s="31"/>
      <c r="J128" s="31"/>
      <c r="K128" s="124" t="str">
        <f t="shared" si="29"/>
        <v/>
      </c>
      <c r="L128" s="31">
        <f t="shared" si="26"/>
        <v>0</v>
      </c>
      <c r="M128" s="32">
        <f t="shared" si="27"/>
        <v>0</v>
      </c>
    </row>
    <row r="129" spans="2:13" x14ac:dyDescent="0.25">
      <c r="B129" s="34" t="s">
        <v>352</v>
      </c>
      <c r="C129" s="31"/>
      <c r="D129" s="31"/>
      <c r="E129" s="31"/>
      <c r="F129" s="31"/>
      <c r="G129" s="124" t="str">
        <f t="shared" si="28"/>
        <v/>
      </c>
      <c r="H129" s="31">
        <f t="shared" si="25"/>
        <v>0</v>
      </c>
      <c r="I129" s="31"/>
      <c r="J129" s="31"/>
      <c r="K129" s="124" t="str">
        <f t="shared" si="29"/>
        <v/>
      </c>
      <c r="L129" s="31">
        <f t="shared" si="26"/>
        <v>0</v>
      </c>
      <c r="M129" s="32">
        <f t="shared" si="27"/>
        <v>0</v>
      </c>
    </row>
    <row r="130" spans="2:13" x14ac:dyDescent="0.25">
      <c r="B130" s="34" t="s">
        <v>353</v>
      </c>
      <c r="C130" s="31"/>
      <c r="D130" s="31"/>
      <c r="E130" s="31"/>
      <c r="F130" s="31"/>
      <c r="G130" s="124" t="str">
        <f t="shared" si="28"/>
        <v/>
      </c>
      <c r="H130" s="31">
        <f t="shared" si="25"/>
        <v>0</v>
      </c>
      <c r="I130" s="31"/>
      <c r="J130" s="31"/>
      <c r="K130" s="124" t="str">
        <f t="shared" si="29"/>
        <v/>
      </c>
      <c r="L130" s="31">
        <f t="shared" si="26"/>
        <v>0</v>
      </c>
      <c r="M130" s="32">
        <f t="shared" si="27"/>
        <v>0</v>
      </c>
    </row>
    <row r="131" spans="2:13" x14ac:dyDescent="0.25">
      <c r="B131" s="34" t="s">
        <v>354</v>
      </c>
      <c r="C131" s="31"/>
      <c r="D131" s="31"/>
      <c r="E131" s="31"/>
      <c r="F131" s="31"/>
      <c r="G131" s="124" t="str">
        <f t="shared" si="28"/>
        <v/>
      </c>
      <c r="H131" s="31">
        <f t="shared" si="25"/>
        <v>0</v>
      </c>
      <c r="I131" s="31"/>
      <c r="J131" s="31"/>
      <c r="K131" s="124" t="str">
        <f t="shared" si="29"/>
        <v/>
      </c>
      <c r="L131" s="31">
        <f t="shared" si="26"/>
        <v>0</v>
      </c>
      <c r="M131" s="32">
        <f t="shared" si="27"/>
        <v>0</v>
      </c>
    </row>
    <row r="132" spans="2:13" x14ac:dyDescent="0.25">
      <c r="B132" s="34" t="s">
        <v>271</v>
      </c>
      <c r="C132" s="31"/>
      <c r="D132" s="31"/>
      <c r="E132" s="31"/>
      <c r="F132" s="31"/>
      <c r="G132" s="124" t="str">
        <f t="shared" si="28"/>
        <v/>
      </c>
      <c r="H132" s="31">
        <f t="shared" si="25"/>
        <v>0</v>
      </c>
      <c r="I132" s="31"/>
      <c r="J132" s="31"/>
      <c r="K132" s="124" t="str">
        <f t="shared" si="29"/>
        <v/>
      </c>
      <c r="L132" s="31">
        <f t="shared" si="26"/>
        <v>0</v>
      </c>
      <c r="M132" s="32">
        <f t="shared" si="27"/>
        <v>0</v>
      </c>
    </row>
    <row r="133" spans="2:13" x14ac:dyDescent="0.25">
      <c r="B133" s="34" t="s">
        <v>272</v>
      </c>
      <c r="C133" s="31">
        <f>ROUND(C126-SUM(C127:C132),2)</f>
        <v>0</v>
      </c>
      <c r="D133" s="31">
        <f>ROUND(D126-SUM(D127:D132),2)</f>
        <v>0</v>
      </c>
      <c r="E133" s="31">
        <f t="shared" ref="E133:F133" si="46">ROUND(E126-SUM(E127:E132),2)</f>
        <v>0</v>
      </c>
      <c r="F133" s="31">
        <f t="shared" si="46"/>
        <v>0</v>
      </c>
      <c r="G133" s="124" t="str">
        <f t="shared" si="28"/>
        <v/>
      </c>
      <c r="H133" s="31">
        <f t="shared" si="25"/>
        <v>0</v>
      </c>
      <c r="I133" s="31">
        <f t="shared" ref="I133:J133" si="47">ROUND(I126-SUM(I127:I132),2)</f>
        <v>0</v>
      </c>
      <c r="J133" s="31">
        <f t="shared" si="47"/>
        <v>0</v>
      </c>
      <c r="K133" s="124" t="str">
        <f t="shared" si="29"/>
        <v/>
      </c>
      <c r="L133" s="31">
        <f t="shared" si="26"/>
        <v>0</v>
      </c>
      <c r="M133" s="32">
        <f t="shared" si="27"/>
        <v>0</v>
      </c>
    </row>
    <row r="134" spans="2:13" x14ac:dyDescent="0.25">
      <c r="B134" s="33" t="s">
        <v>355</v>
      </c>
      <c r="C134" s="31"/>
      <c r="D134" s="31"/>
      <c r="E134" s="31"/>
      <c r="F134" s="31"/>
      <c r="G134" s="124" t="str">
        <f t="shared" si="28"/>
        <v/>
      </c>
      <c r="H134" s="31">
        <f t="shared" si="25"/>
        <v>0</v>
      </c>
      <c r="I134" s="31"/>
      <c r="J134" s="31"/>
      <c r="K134" s="124" t="str">
        <f t="shared" si="29"/>
        <v/>
      </c>
      <c r="L134" s="31">
        <f t="shared" si="26"/>
        <v>0</v>
      </c>
      <c r="M134" s="32">
        <f t="shared" si="27"/>
        <v>0</v>
      </c>
    </row>
    <row r="135" spans="2:13" x14ac:dyDescent="0.25">
      <c r="B135" s="34" t="s">
        <v>356</v>
      </c>
      <c r="C135" s="31"/>
      <c r="D135" s="31"/>
      <c r="E135" s="31"/>
      <c r="F135" s="31"/>
      <c r="G135" s="124" t="str">
        <f t="shared" si="28"/>
        <v/>
      </c>
      <c r="H135" s="31">
        <f t="shared" si="25"/>
        <v>0</v>
      </c>
      <c r="I135" s="31"/>
      <c r="J135" s="31"/>
      <c r="K135" s="124" t="str">
        <f t="shared" si="29"/>
        <v/>
      </c>
      <c r="L135" s="31">
        <f t="shared" si="26"/>
        <v>0</v>
      </c>
      <c r="M135" s="32">
        <f t="shared" si="27"/>
        <v>0</v>
      </c>
    </row>
    <row r="136" spans="2:13" x14ac:dyDescent="0.25">
      <c r="B136" s="34" t="s">
        <v>357</v>
      </c>
      <c r="C136" s="31"/>
      <c r="D136" s="31"/>
      <c r="E136" s="31"/>
      <c r="F136" s="31"/>
      <c r="G136" s="124" t="str">
        <f t="shared" si="28"/>
        <v/>
      </c>
      <c r="H136" s="31">
        <f t="shared" si="25"/>
        <v>0</v>
      </c>
      <c r="I136" s="31"/>
      <c r="J136" s="31"/>
      <c r="K136" s="124" t="str">
        <f t="shared" si="29"/>
        <v/>
      </c>
      <c r="L136" s="31">
        <f t="shared" si="26"/>
        <v>0</v>
      </c>
      <c r="M136" s="32">
        <f t="shared" si="27"/>
        <v>0</v>
      </c>
    </row>
    <row r="137" spans="2:13" x14ac:dyDescent="0.25">
      <c r="B137" s="34" t="s">
        <v>358</v>
      </c>
      <c r="C137" s="31"/>
      <c r="D137" s="31"/>
      <c r="E137" s="31"/>
      <c r="F137" s="31"/>
      <c r="G137" s="124" t="str">
        <f t="shared" si="28"/>
        <v/>
      </c>
      <c r="H137" s="31">
        <f t="shared" si="25"/>
        <v>0</v>
      </c>
      <c r="I137" s="31"/>
      <c r="J137" s="31"/>
      <c r="K137" s="124" t="str">
        <f t="shared" si="29"/>
        <v/>
      </c>
      <c r="L137" s="31">
        <f t="shared" si="26"/>
        <v>0</v>
      </c>
      <c r="M137" s="32">
        <f t="shared" si="27"/>
        <v>0</v>
      </c>
    </row>
    <row r="138" spans="2:13" x14ac:dyDescent="0.25">
      <c r="B138" s="34" t="s">
        <v>271</v>
      </c>
      <c r="C138" s="31"/>
      <c r="D138" s="31"/>
      <c r="E138" s="31"/>
      <c r="F138" s="31"/>
      <c r="G138" s="124" t="str">
        <f t="shared" si="28"/>
        <v/>
      </c>
      <c r="H138" s="31">
        <f t="shared" si="25"/>
        <v>0</v>
      </c>
      <c r="I138" s="31"/>
      <c r="J138" s="31"/>
      <c r="K138" s="124" t="str">
        <f t="shared" si="29"/>
        <v/>
      </c>
      <c r="L138" s="31">
        <f t="shared" si="26"/>
        <v>0</v>
      </c>
      <c r="M138" s="32">
        <f t="shared" si="27"/>
        <v>0</v>
      </c>
    </row>
    <row r="139" spans="2:13" x14ac:dyDescent="0.25">
      <c r="B139" s="34" t="s">
        <v>272</v>
      </c>
      <c r="C139" s="31">
        <f>ROUND(C134-SUM(C135:C138),2)</f>
        <v>0</v>
      </c>
      <c r="D139" s="31">
        <f>ROUND(D134-SUM(D135:D138),2)</f>
        <v>0</v>
      </c>
      <c r="E139" s="31">
        <f t="shared" ref="E139:F139" si="48">ROUND(E134-SUM(E135:E138),2)</f>
        <v>0</v>
      </c>
      <c r="F139" s="31">
        <f t="shared" si="48"/>
        <v>0</v>
      </c>
      <c r="G139" s="124" t="str">
        <f t="shared" si="28"/>
        <v/>
      </c>
      <c r="H139" s="31">
        <f t="shared" si="25"/>
        <v>0</v>
      </c>
      <c r="I139" s="31">
        <f t="shared" ref="I139:J139" si="49">ROUND(I134-SUM(I135:I138),2)</f>
        <v>0</v>
      </c>
      <c r="J139" s="31">
        <f t="shared" si="49"/>
        <v>0</v>
      </c>
      <c r="K139" s="124" t="str">
        <f t="shared" si="29"/>
        <v/>
      </c>
      <c r="L139" s="31">
        <f t="shared" si="26"/>
        <v>0</v>
      </c>
      <c r="M139" s="32">
        <f t="shared" si="27"/>
        <v>0</v>
      </c>
    </row>
    <row r="140" spans="2:13" x14ac:dyDescent="0.25">
      <c r="B140" s="33" t="s">
        <v>359</v>
      </c>
      <c r="C140" s="31"/>
      <c r="D140" s="31"/>
      <c r="E140" s="31"/>
      <c r="F140" s="31"/>
      <c r="G140" s="124" t="str">
        <f t="shared" si="28"/>
        <v/>
      </c>
      <c r="H140" s="31">
        <f t="shared" ref="H140:H203" si="50">D140-F140</f>
        <v>0</v>
      </c>
      <c r="I140" s="31"/>
      <c r="J140" s="31"/>
      <c r="K140" s="124" t="str">
        <f t="shared" si="29"/>
        <v/>
      </c>
      <c r="L140" s="31">
        <f t="shared" ref="L140:L203" si="51">D140-J140</f>
        <v>0</v>
      </c>
      <c r="M140" s="32">
        <f t="shared" ref="M140:M203" si="52">IF(MONTH(paramDataBase)=12,F140-J140,0)</f>
        <v>0</v>
      </c>
    </row>
    <row r="141" spans="2:13" x14ac:dyDescent="0.25">
      <c r="B141" s="34" t="s">
        <v>360</v>
      </c>
      <c r="C141" s="31"/>
      <c r="D141" s="31"/>
      <c r="E141" s="31"/>
      <c r="F141" s="31"/>
      <c r="G141" s="124" t="str">
        <f t="shared" ref="G141:G203" si="53">IFERROR(ROUND(F141/F$207,4),"")</f>
        <v/>
      </c>
      <c r="H141" s="31">
        <f t="shared" si="50"/>
        <v>0</v>
      </c>
      <c r="I141" s="31"/>
      <c r="J141" s="31"/>
      <c r="K141" s="124" t="str">
        <f t="shared" ref="K141:K203" si="54">IFERROR(ROUND(J141/J$207,4),"")</f>
        <v/>
      </c>
      <c r="L141" s="31">
        <f t="shared" si="51"/>
        <v>0</v>
      </c>
      <c r="M141" s="32">
        <f t="shared" si="52"/>
        <v>0</v>
      </c>
    </row>
    <row r="142" spans="2:13" x14ac:dyDescent="0.25">
      <c r="B142" s="34" t="s">
        <v>361</v>
      </c>
      <c r="C142" s="31"/>
      <c r="D142" s="31"/>
      <c r="E142" s="31"/>
      <c r="F142" s="31"/>
      <c r="G142" s="124" t="str">
        <f t="shared" si="53"/>
        <v/>
      </c>
      <c r="H142" s="31">
        <f t="shared" si="50"/>
        <v>0</v>
      </c>
      <c r="I142" s="31"/>
      <c r="J142" s="31"/>
      <c r="K142" s="124" t="str">
        <f t="shared" si="54"/>
        <v/>
      </c>
      <c r="L142" s="31">
        <f t="shared" si="51"/>
        <v>0</v>
      </c>
      <c r="M142" s="32">
        <f t="shared" si="52"/>
        <v>0</v>
      </c>
    </row>
    <row r="143" spans="2:13" x14ac:dyDescent="0.25">
      <c r="B143" s="34" t="s">
        <v>362</v>
      </c>
      <c r="C143" s="31"/>
      <c r="D143" s="31"/>
      <c r="E143" s="31"/>
      <c r="F143" s="31"/>
      <c r="G143" s="124" t="str">
        <f t="shared" si="53"/>
        <v/>
      </c>
      <c r="H143" s="31">
        <f t="shared" si="50"/>
        <v>0</v>
      </c>
      <c r="I143" s="31"/>
      <c r="J143" s="31"/>
      <c r="K143" s="124" t="str">
        <f t="shared" si="54"/>
        <v/>
      </c>
      <c r="L143" s="31">
        <f t="shared" si="51"/>
        <v>0</v>
      </c>
      <c r="M143" s="32">
        <f t="shared" si="52"/>
        <v>0</v>
      </c>
    </row>
    <row r="144" spans="2:13" x14ac:dyDescent="0.25">
      <c r="B144" s="34" t="s">
        <v>363</v>
      </c>
      <c r="C144" s="31"/>
      <c r="D144" s="31"/>
      <c r="E144" s="31"/>
      <c r="F144" s="31"/>
      <c r="G144" s="124" t="str">
        <f t="shared" si="53"/>
        <v/>
      </c>
      <c r="H144" s="31">
        <f t="shared" si="50"/>
        <v>0</v>
      </c>
      <c r="I144" s="31"/>
      <c r="J144" s="31"/>
      <c r="K144" s="124" t="str">
        <f t="shared" si="54"/>
        <v/>
      </c>
      <c r="L144" s="31">
        <f t="shared" si="51"/>
        <v>0</v>
      </c>
      <c r="M144" s="32">
        <f t="shared" si="52"/>
        <v>0</v>
      </c>
    </row>
    <row r="145" spans="2:13" x14ac:dyDescent="0.25">
      <c r="B145" s="34" t="s">
        <v>364</v>
      </c>
      <c r="C145" s="31"/>
      <c r="D145" s="31"/>
      <c r="E145" s="31"/>
      <c r="F145" s="31"/>
      <c r="G145" s="124" t="str">
        <f t="shared" si="53"/>
        <v/>
      </c>
      <c r="H145" s="31">
        <f t="shared" si="50"/>
        <v>0</v>
      </c>
      <c r="I145" s="31"/>
      <c r="J145" s="31"/>
      <c r="K145" s="124" t="str">
        <f t="shared" si="54"/>
        <v/>
      </c>
      <c r="L145" s="31">
        <f t="shared" si="51"/>
        <v>0</v>
      </c>
      <c r="M145" s="32">
        <f t="shared" si="52"/>
        <v>0</v>
      </c>
    </row>
    <row r="146" spans="2:13" x14ac:dyDescent="0.25">
      <c r="B146" s="34" t="s">
        <v>271</v>
      </c>
      <c r="C146" s="31"/>
      <c r="D146" s="31"/>
      <c r="E146" s="31"/>
      <c r="F146" s="31"/>
      <c r="G146" s="124" t="str">
        <f t="shared" si="53"/>
        <v/>
      </c>
      <c r="H146" s="31">
        <f t="shared" si="50"/>
        <v>0</v>
      </c>
      <c r="I146" s="31"/>
      <c r="J146" s="31"/>
      <c r="K146" s="124" t="str">
        <f t="shared" si="54"/>
        <v/>
      </c>
      <c r="L146" s="31">
        <f t="shared" si="51"/>
        <v>0</v>
      </c>
      <c r="M146" s="32">
        <f t="shared" si="52"/>
        <v>0</v>
      </c>
    </row>
    <row r="147" spans="2:13" x14ac:dyDescent="0.25">
      <c r="B147" s="34" t="s">
        <v>272</v>
      </c>
      <c r="C147" s="31">
        <f>ROUND(C140-SUM(C141:C146),2)</f>
        <v>0</v>
      </c>
      <c r="D147" s="31">
        <f>ROUND(D140-SUM(D141:D146),2)</f>
        <v>0</v>
      </c>
      <c r="E147" s="31">
        <f t="shared" ref="E147:F147" si="55">ROUND(E140-SUM(E141:E146),2)</f>
        <v>0</v>
      </c>
      <c r="F147" s="31">
        <f t="shared" si="55"/>
        <v>0</v>
      </c>
      <c r="G147" s="124" t="str">
        <f t="shared" si="53"/>
        <v/>
      </c>
      <c r="H147" s="31">
        <f t="shared" si="50"/>
        <v>0</v>
      </c>
      <c r="I147" s="31">
        <f t="shared" ref="I147:J147" si="56">ROUND(I140-SUM(I141:I146),2)</f>
        <v>0</v>
      </c>
      <c r="J147" s="31">
        <f t="shared" si="56"/>
        <v>0</v>
      </c>
      <c r="K147" s="124" t="str">
        <f t="shared" si="54"/>
        <v/>
      </c>
      <c r="L147" s="31">
        <f t="shared" si="51"/>
        <v>0</v>
      </c>
      <c r="M147" s="32">
        <f t="shared" si="52"/>
        <v>0</v>
      </c>
    </row>
    <row r="148" spans="2:13" x14ac:dyDescent="0.25">
      <c r="B148" s="33" t="s">
        <v>365</v>
      </c>
      <c r="C148" s="31"/>
      <c r="D148" s="31"/>
      <c r="E148" s="31"/>
      <c r="F148" s="31"/>
      <c r="G148" s="124" t="str">
        <f t="shared" si="53"/>
        <v/>
      </c>
      <c r="H148" s="31">
        <f t="shared" si="50"/>
        <v>0</v>
      </c>
      <c r="I148" s="31"/>
      <c r="J148" s="31"/>
      <c r="K148" s="124" t="str">
        <f t="shared" si="54"/>
        <v/>
      </c>
      <c r="L148" s="31">
        <f t="shared" si="51"/>
        <v>0</v>
      </c>
      <c r="M148" s="32">
        <f t="shared" si="52"/>
        <v>0</v>
      </c>
    </row>
    <row r="149" spans="2:13" x14ac:dyDescent="0.25">
      <c r="B149" s="34" t="s">
        <v>366</v>
      </c>
      <c r="C149" s="31"/>
      <c r="D149" s="31"/>
      <c r="E149" s="31"/>
      <c r="F149" s="31"/>
      <c r="G149" s="124" t="str">
        <f t="shared" si="53"/>
        <v/>
      </c>
      <c r="H149" s="31">
        <f t="shared" si="50"/>
        <v>0</v>
      </c>
      <c r="I149" s="31"/>
      <c r="J149" s="31"/>
      <c r="K149" s="124" t="str">
        <f t="shared" si="54"/>
        <v/>
      </c>
      <c r="L149" s="31">
        <f t="shared" si="51"/>
        <v>0</v>
      </c>
      <c r="M149" s="32">
        <f t="shared" si="52"/>
        <v>0</v>
      </c>
    </row>
    <row r="150" spans="2:13" x14ac:dyDescent="0.25">
      <c r="B150" s="34" t="s">
        <v>367</v>
      </c>
      <c r="C150" s="31"/>
      <c r="D150" s="31"/>
      <c r="E150" s="31"/>
      <c r="F150" s="31"/>
      <c r="G150" s="124" t="str">
        <f t="shared" si="53"/>
        <v/>
      </c>
      <c r="H150" s="31">
        <f t="shared" si="50"/>
        <v>0</v>
      </c>
      <c r="I150" s="31"/>
      <c r="J150" s="31"/>
      <c r="K150" s="124" t="str">
        <f t="shared" si="54"/>
        <v/>
      </c>
      <c r="L150" s="31">
        <f t="shared" si="51"/>
        <v>0</v>
      </c>
      <c r="M150" s="32">
        <f t="shared" si="52"/>
        <v>0</v>
      </c>
    </row>
    <row r="151" spans="2:13" x14ac:dyDescent="0.25">
      <c r="B151" s="34" t="s">
        <v>271</v>
      </c>
      <c r="C151" s="31"/>
      <c r="D151" s="31"/>
      <c r="E151" s="31"/>
      <c r="F151" s="31"/>
      <c r="G151" s="124" t="str">
        <f t="shared" si="53"/>
        <v/>
      </c>
      <c r="H151" s="31">
        <f t="shared" si="50"/>
        <v>0</v>
      </c>
      <c r="I151" s="31"/>
      <c r="J151" s="31"/>
      <c r="K151" s="124" t="str">
        <f t="shared" si="54"/>
        <v/>
      </c>
      <c r="L151" s="31">
        <f t="shared" si="51"/>
        <v>0</v>
      </c>
      <c r="M151" s="32">
        <f t="shared" si="52"/>
        <v>0</v>
      </c>
    </row>
    <row r="152" spans="2:13" x14ac:dyDescent="0.25">
      <c r="B152" s="34" t="s">
        <v>272</v>
      </c>
      <c r="C152" s="31">
        <f>ROUND(C148-SUM(C149:C151),2)</f>
        <v>0</v>
      </c>
      <c r="D152" s="31">
        <f>ROUND(D148-SUM(D149:D151),2)</f>
        <v>0</v>
      </c>
      <c r="E152" s="31">
        <f t="shared" ref="E152:F152" si="57">ROUND(E148-SUM(E149:E151),2)</f>
        <v>0</v>
      </c>
      <c r="F152" s="31">
        <f t="shared" si="57"/>
        <v>0</v>
      </c>
      <c r="G152" s="124" t="str">
        <f t="shared" si="53"/>
        <v/>
      </c>
      <c r="H152" s="31">
        <f t="shared" si="50"/>
        <v>0</v>
      </c>
      <c r="I152" s="31">
        <f t="shared" ref="I152:J152" si="58">ROUND(I148-SUM(I149:I151),2)</f>
        <v>0</v>
      </c>
      <c r="J152" s="31">
        <f t="shared" si="58"/>
        <v>0</v>
      </c>
      <c r="K152" s="124" t="str">
        <f t="shared" si="54"/>
        <v/>
      </c>
      <c r="L152" s="31">
        <f t="shared" si="51"/>
        <v>0</v>
      </c>
      <c r="M152" s="32">
        <f t="shared" si="52"/>
        <v>0</v>
      </c>
    </row>
    <row r="153" spans="2:13" x14ac:dyDescent="0.25">
      <c r="B153" s="33" t="s">
        <v>368</v>
      </c>
      <c r="C153" s="31"/>
      <c r="D153" s="31"/>
      <c r="E153" s="31"/>
      <c r="F153" s="31"/>
      <c r="G153" s="124" t="str">
        <f t="shared" si="53"/>
        <v/>
      </c>
      <c r="H153" s="31">
        <f t="shared" si="50"/>
        <v>0</v>
      </c>
      <c r="I153" s="31"/>
      <c r="J153" s="31"/>
      <c r="K153" s="124" t="str">
        <f t="shared" si="54"/>
        <v/>
      </c>
      <c r="L153" s="31">
        <f t="shared" si="51"/>
        <v>0</v>
      </c>
      <c r="M153" s="32">
        <f t="shared" si="52"/>
        <v>0</v>
      </c>
    </row>
    <row r="154" spans="2:13" x14ac:dyDescent="0.25">
      <c r="B154" s="34" t="s">
        <v>369</v>
      </c>
      <c r="C154" s="31"/>
      <c r="D154" s="31"/>
      <c r="E154" s="31"/>
      <c r="F154" s="31"/>
      <c r="G154" s="124" t="str">
        <f t="shared" si="53"/>
        <v/>
      </c>
      <c r="H154" s="31">
        <f t="shared" si="50"/>
        <v>0</v>
      </c>
      <c r="I154" s="31"/>
      <c r="J154" s="31"/>
      <c r="K154" s="124" t="str">
        <f t="shared" si="54"/>
        <v/>
      </c>
      <c r="L154" s="31">
        <f t="shared" si="51"/>
        <v>0</v>
      </c>
      <c r="M154" s="32">
        <f t="shared" si="52"/>
        <v>0</v>
      </c>
    </row>
    <row r="155" spans="2:13" x14ac:dyDescent="0.25">
      <c r="B155" s="34" t="s">
        <v>370</v>
      </c>
      <c r="C155" s="31"/>
      <c r="D155" s="31"/>
      <c r="E155" s="31"/>
      <c r="F155" s="31"/>
      <c r="G155" s="124" t="str">
        <f t="shared" si="53"/>
        <v/>
      </c>
      <c r="H155" s="31">
        <f t="shared" si="50"/>
        <v>0</v>
      </c>
      <c r="I155" s="31"/>
      <c r="J155" s="31"/>
      <c r="K155" s="124" t="str">
        <f t="shared" si="54"/>
        <v/>
      </c>
      <c r="L155" s="31">
        <f t="shared" si="51"/>
        <v>0</v>
      </c>
      <c r="M155" s="32">
        <f t="shared" si="52"/>
        <v>0</v>
      </c>
    </row>
    <row r="156" spans="2:13" x14ac:dyDescent="0.25">
      <c r="B156" s="34" t="s">
        <v>371</v>
      </c>
      <c r="C156" s="31"/>
      <c r="D156" s="31"/>
      <c r="E156" s="31"/>
      <c r="F156" s="31"/>
      <c r="G156" s="124" t="str">
        <f t="shared" si="53"/>
        <v/>
      </c>
      <c r="H156" s="31">
        <f t="shared" si="50"/>
        <v>0</v>
      </c>
      <c r="I156" s="31"/>
      <c r="J156" s="31"/>
      <c r="K156" s="124" t="str">
        <f t="shared" si="54"/>
        <v/>
      </c>
      <c r="L156" s="31">
        <f t="shared" si="51"/>
        <v>0</v>
      </c>
      <c r="M156" s="32">
        <f t="shared" si="52"/>
        <v>0</v>
      </c>
    </row>
    <row r="157" spans="2:13" x14ac:dyDescent="0.25">
      <c r="B157" s="34" t="s">
        <v>372</v>
      </c>
      <c r="C157" s="31"/>
      <c r="D157" s="31"/>
      <c r="E157" s="31"/>
      <c r="F157" s="31"/>
      <c r="G157" s="124" t="str">
        <f t="shared" si="53"/>
        <v/>
      </c>
      <c r="H157" s="31">
        <f t="shared" si="50"/>
        <v>0</v>
      </c>
      <c r="I157" s="31"/>
      <c r="J157" s="31"/>
      <c r="K157" s="124" t="str">
        <f t="shared" si="54"/>
        <v/>
      </c>
      <c r="L157" s="31">
        <f t="shared" si="51"/>
        <v>0</v>
      </c>
      <c r="M157" s="32">
        <f t="shared" si="52"/>
        <v>0</v>
      </c>
    </row>
    <row r="158" spans="2:13" x14ac:dyDescent="0.25">
      <c r="B158" s="34" t="s">
        <v>373</v>
      </c>
      <c r="C158" s="31"/>
      <c r="D158" s="31"/>
      <c r="E158" s="31"/>
      <c r="F158" s="31"/>
      <c r="G158" s="124" t="str">
        <f t="shared" si="53"/>
        <v/>
      </c>
      <c r="H158" s="31">
        <f t="shared" si="50"/>
        <v>0</v>
      </c>
      <c r="I158" s="31"/>
      <c r="J158" s="31"/>
      <c r="K158" s="124" t="str">
        <f t="shared" si="54"/>
        <v/>
      </c>
      <c r="L158" s="31">
        <f t="shared" si="51"/>
        <v>0</v>
      </c>
      <c r="M158" s="32">
        <f t="shared" si="52"/>
        <v>0</v>
      </c>
    </row>
    <row r="159" spans="2:13" x14ac:dyDescent="0.25">
      <c r="B159" s="34" t="s">
        <v>271</v>
      </c>
      <c r="C159" s="31"/>
      <c r="D159" s="31"/>
      <c r="E159" s="31"/>
      <c r="F159" s="31"/>
      <c r="G159" s="124" t="str">
        <f t="shared" si="53"/>
        <v/>
      </c>
      <c r="H159" s="31">
        <f t="shared" si="50"/>
        <v>0</v>
      </c>
      <c r="I159" s="31"/>
      <c r="J159" s="31"/>
      <c r="K159" s="124" t="str">
        <f t="shared" si="54"/>
        <v/>
      </c>
      <c r="L159" s="31">
        <f t="shared" si="51"/>
        <v>0</v>
      </c>
      <c r="M159" s="32">
        <f t="shared" si="52"/>
        <v>0</v>
      </c>
    </row>
    <row r="160" spans="2:13" x14ac:dyDescent="0.25">
      <c r="B160" s="34" t="s">
        <v>272</v>
      </c>
      <c r="C160" s="31">
        <f>ROUND(C153-SUM(C154:C159),2)</f>
        <v>0</v>
      </c>
      <c r="D160" s="31">
        <f>ROUND(D153-SUM(D154:D159),2)</f>
        <v>0</v>
      </c>
      <c r="E160" s="31">
        <f t="shared" ref="E160:F160" si="59">ROUND(E153-SUM(E154:E159),2)</f>
        <v>0</v>
      </c>
      <c r="F160" s="31">
        <f t="shared" si="59"/>
        <v>0</v>
      </c>
      <c r="G160" s="124" t="str">
        <f t="shared" si="53"/>
        <v/>
      </c>
      <c r="H160" s="31">
        <f t="shared" si="50"/>
        <v>0</v>
      </c>
      <c r="I160" s="31">
        <f t="shared" ref="I160:J160" si="60">ROUND(I153-SUM(I154:I159),2)</f>
        <v>0</v>
      </c>
      <c r="J160" s="31">
        <f t="shared" si="60"/>
        <v>0</v>
      </c>
      <c r="K160" s="124" t="str">
        <f t="shared" si="54"/>
        <v/>
      </c>
      <c r="L160" s="31">
        <f t="shared" si="51"/>
        <v>0</v>
      </c>
      <c r="M160" s="32">
        <f t="shared" si="52"/>
        <v>0</v>
      </c>
    </row>
    <row r="161" spans="2:13" x14ac:dyDescent="0.25">
      <c r="B161" s="33" t="s">
        <v>374</v>
      </c>
      <c r="C161" s="31"/>
      <c r="D161" s="31"/>
      <c r="E161" s="31"/>
      <c r="F161" s="31"/>
      <c r="G161" s="124" t="str">
        <f t="shared" si="53"/>
        <v/>
      </c>
      <c r="H161" s="31">
        <f t="shared" si="50"/>
        <v>0</v>
      </c>
      <c r="I161" s="31"/>
      <c r="J161" s="31"/>
      <c r="K161" s="124" t="str">
        <f t="shared" si="54"/>
        <v/>
      </c>
      <c r="L161" s="31">
        <f t="shared" si="51"/>
        <v>0</v>
      </c>
      <c r="M161" s="32">
        <f t="shared" si="52"/>
        <v>0</v>
      </c>
    </row>
    <row r="162" spans="2:13" x14ac:dyDescent="0.25">
      <c r="B162" s="34" t="s">
        <v>375</v>
      </c>
      <c r="C162" s="31"/>
      <c r="D162" s="31"/>
      <c r="E162" s="31"/>
      <c r="F162" s="31"/>
      <c r="G162" s="124" t="str">
        <f t="shared" si="53"/>
        <v/>
      </c>
      <c r="H162" s="31">
        <f t="shared" si="50"/>
        <v>0</v>
      </c>
      <c r="I162" s="31"/>
      <c r="J162" s="31"/>
      <c r="K162" s="124" t="str">
        <f t="shared" si="54"/>
        <v/>
      </c>
      <c r="L162" s="31">
        <f t="shared" si="51"/>
        <v>0</v>
      </c>
      <c r="M162" s="32">
        <f t="shared" si="52"/>
        <v>0</v>
      </c>
    </row>
    <row r="163" spans="2:13" x14ac:dyDescent="0.25">
      <c r="B163" s="34" t="s">
        <v>376</v>
      </c>
      <c r="C163" s="31"/>
      <c r="D163" s="31"/>
      <c r="E163" s="31"/>
      <c r="F163" s="31"/>
      <c r="G163" s="124" t="str">
        <f t="shared" si="53"/>
        <v/>
      </c>
      <c r="H163" s="31">
        <f t="shared" si="50"/>
        <v>0</v>
      </c>
      <c r="I163" s="31"/>
      <c r="J163" s="31"/>
      <c r="K163" s="124" t="str">
        <f t="shared" si="54"/>
        <v/>
      </c>
      <c r="L163" s="31">
        <f t="shared" si="51"/>
        <v>0</v>
      </c>
      <c r="M163" s="32">
        <f t="shared" si="52"/>
        <v>0</v>
      </c>
    </row>
    <row r="164" spans="2:13" x14ac:dyDescent="0.25">
      <c r="B164" s="34" t="s">
        <v>377</v>
      </c>
      <c r="C164" s="31"/>
      <c r="D164" s="31"/>
      <c r="E164" s="31"/>
      <c r="F164" s="31"/>
      <c r="G164" s="124" t="str">
        <f t="shared" si="53"/>
        <v/>
      </c>
      <c r="H164" s="31">
        <f t="shared" si="50"/>
        <v>0</v>
      </c>
      <c r="I164" s="31"/>
      <c r="J164" s="31"/>
      <c r="K164" s="124" t="str">
        <f t="shared" si="54"/>
        <v/>
      </c>
      <c r="L164" s="31">
        <f t="shared" si="51"/>
        <v>0</v>
      </c>
      <c r="M164" s="32">
        <f t="shared" si="52"/>
        <v>0</v>
      </c>
    </row>
    <row r="165" spans="2:13" x14ac:dyDescent="0.25">
      <c r="B165" s="34" t="s">
        <v>378</v>
      </c>
      <c r="C165" s="31"/>
      <c r="D165" s="31"/>
      <c r="E165" s="31"/>
      <c r="F165" s="31"/>
      <c r="G165" s="124" t="str">
        <f t="shared" si="53"/>
        <v/>
      </c>
      <c r="H165" s="31">
        <f t="shared" si="50"/>
        <v>0</v>
      </c>
      <c r="I165" s="31"/>
      <c r="J165" s="31"/>
      <c r="K165" s="124" t="str">
        <f t="shared" si="54"/>
        <v/>
      </c>
      <c r="L165" s="31">
        <f t="shared" si="51"/>
        <v>0</v>
      </c>
      <c r="M165" s="32">
        <f t="shared" si="52"/>
        <v>0</v>
      </c>
    </row>
    <row r="166" spans="2:13" x14ac:dyDescent="0.25">
      <c r="B166" s="34" t="s">
        <v>379</v>
      </c>
      <c r="C166" s="31"/>
      <c r="D166" s="31"/>
      <c r="E166" s="31"/>
      <c r="F166" s="31"/>
      <c r="G166" s="124" t="str">
        <f t="shared" si="53"/>
        <v/>
      </c>
      <c r="H166" s="31">
        <f t="shared" si="50"/>
        <v>0</v>
      </c>
      <c r="I166" s="31"/>
      <c r="J166" s="31"/>
      <c r="K166" s="124" t="str">
        <f t="shared" si="54"/>
        <v/>
      </c>
      <c r="L166" s="31">
        <f t="shared" si="51"/>
        <v>0</v>
      </c>
      <c r="M166" s="32">
        <f t="shared" si="52"/>
        <v>0</v>
      </c>
    </row>
    <row r="167" spans="2:13" x14ac:dyDescent="0.25">
      <c r="B167" s="34" t="s">
        <v>271</v>
      </c>
      <c r="C167" s="31"/>
      <c r="D167" s="31"/>
      <c r="E167" s="31"/>
      <c r="F167" s="31"/>
      <c r="G167" s="124" t="str">
        <f t="shared" si="53"/>
        <v/>
      </c>
      <c r="H167" s="31">
        <f t="shared" si="50"/>
        <v>0</v>
      </c>
      <c r="I167" s="31"/>
      <c r="J167" s="31"/>
      <c r="K167" s="124" t="str">
        <f t="shared" si="54"/>
        <v/>
      </c>
      <c r="L167" s="31">
        <f t="shared" si="51"/>
        <v>0</v>
      </c>
      <c r="M167" s="32">
        <f t="shared" si="52"/>
        <v>0</v>
      </c>
    </row>
    <row r="168" spans="2:13" x14ac:dyDescent="0.25">
      <c r="B168" s="34" t="s">
        <v>272</v>
      </c>
      <c r="C168" s="31">
        <f>ROUND(C161-SUM(C162:C167),2)</f>
        <v>0</v>
      </c>
      <c r="D168" s="31">
        <f>ROUND(D161-SUM(D162:D167),2)</f>
        <v>0</v>
      </c>
      <c r="E168" s="31">
        <f t="shared" ref="E168:F168" si="61">ROUND(E161-SUM(E162:E167),2)</f>
        <v>0</v>
      </c>
      <c r="F168" s="31">
        <f t="shared" si="61"/>
        <v>0</v>
      </c>
      <c r="G168" s="124" t="str">
        <f t="shared" si="53"/>
        <v/>
      </c>
      <c r="H168" s="31">
        <f t="shared" si="50"/>
        <v>0</v>
      </c>
      <c r="I168" s="31">
        <f t="shared" ref="I168:J168" si="62">ROUND(I161-SUM(I162:I167),2)</f>
        <v>0</v>
      </c>
      <c r="J168" s="31">
        <f t="shared" si="62"/>
        <v>0</v>
      </c>
      <c r="K168" s="124" t="str">
        <f t="shared" si="54"/>
        <v/>
      </c>
      <c r="L168" s="31">
        <f t="shared" si="51"/>
        <v>0</v>
      </c>
      <c r="M168" s="32">
        <f t="shared" si="52"/>
        <v>0</v>
      </c>
    </row>
    <row r="169" spans="2:13" x14ac:dyDescent="0.25">
      <c r="B169" s="33" t="s">
        <v>380</v>
      </c>
      <c r="C169" s="31"/>
      <c r="D169" s="31"/>
      <c r="E169" s="31"/>
      <c r="F169" s="31"/>
      <c r="G169" s="124" t="str">
        <f t="shared" si="53"/>
        <v/>
      </c>
      <c r="H169" s="31">
        <f t="shared" si="50"/>
        <v>0</v>
      </c>
      <c r="I169" s="31"/>
      <c r="J169" s="31"/>
      <c r="K169" s="124" t="str">
        <f t="shared" si="54"/>
        <v/>
      </c>
      <c r="L169" s="31">
        <f t="shared" si="51"/>
        <v>0</v>
      </c>
      <c r="M169" s="32">
        <f t="shared" si="52"/>
        <v>0</v>
      </c>
    </row>
    <row r="170" spans="2:13" x14ac:dyDescent="0.25">
      <c r="B170" s="34" t="s">
        <v>381</v>
      </c>
      <c r="C170" s="31"/>
      <c r="D170" s="31"/>
      <c r="E170" s="31"/>
      <c r="F170" s="31"/>
      <c r="G170" s="124" t="str">
        <f t="shared" si="53"/>
        <v/>
      </c>
      <c r="H170" s="31">
        <f t="shared" si="50"/>
        <v>0</v>
      </c>
      <c r="I170" s="31"/>
      <c r="J170" s="31"/>
      <c r="K170" s="124" t="str">
        <f t="shared" si="54"/>
        <v/>
      </c>
      <c r="L170" s="31">
        <f t="shared" si="51"/>
        <v>0</v>
      </c>
      <c r="M170" s="32">
        <f t="shared" si="52"/>
        <v>0</v>
      </c>
    </row>
    <row r="171" spans="2:13" x14ac:dyDescent="0.25">
      <c r="B171" s="34" t="s">
        <v>382</v>
      </c>
      <c r="C171" s="31"/>
      <c r="D171" s="31"/>
      <c r="E171" s="31"/>
      <c r="F171" s="31"/>
      <c r="G171" s="124" t="str">
        <f t="shared" si="53"/>
        <v/>
      </c>
      <c r="H171" s="31">
        <f t="shared" si="50"/>
        <v>0</v>
      </c>
      <c r="I171" s="31"/>
      <c r="J171" s="31"/>
      <c r="K171" s="124" t="str">
        <f t="shared" si="54"/>
        <v/>
      </c>
      <c r="L171" s="31">
        <f t="shared" si="51"/>
        <v>0</v>
      </c>
      <c r="M171" s="32">
        <f t="shared" si="52"/>
        <v>0</v>
      </c>
    </row>
    <row r="172" spans="2:13" x14ac:dyDescent="0.25">
      <c r="B172" s="34" t="s">
        <v>271</v>
      </c>
      <c r="C172" s="31"/>
      <c r="D172" s="31"/>
      <c r="E172" s="31"/>
      <c r="F172" s="31"/>
      <c r="G172" s="124" t="str">
        <f t="shared" si="53"/>
        <v/>
      </c>
      <c r="H172" s="31">
        <f t="shared" si="50"/>
        <v>0</v>
      </c>
      <c r="I172" s="31"/>
      <c r="J172" s="31"/>
      <c r="K172" s="124" t="str">
        <f t="shared" si="54"/>
        <v/>
      </c>
      <c r="L172" s="31">
        <f t="shared" si="51"/>
        <v>0</v>
      </c>
      <c r="M172" s="32">
        <f t="shared" si="52"/>
        <v>0</v>
      </c>
    </row>
    <row r="173" spans="2:13" x14ac:dyDescent="0.25">
      <c r="B173" s="34" t="s">
        <v>272</v>
      </c>
      <c r="C173" s="31">
        <f>ROUND(C169-SUM(C170:C172),2)</f>
        <v>0</v>
      </c>
      <c r="D173" s="31">
        <f>ROUND(D169-SUM(D170:D172),2)</f>
        <v>0</v>
      </c>
      <c r="E173" s="31">
        <f t="shared" ref="E173:F173" si="63">ROUND(E169-SUM(E170:E172),2)</f>
        <v>0</v>
      </c>
      <c r="F173" s="31">
        <f t="shared" si="63"/>
        <v>0</v>
      </c>
      <c r="G173" s="124" t="str">
        <f t="shared" si="53"/>
        <v/>
      </c>
      <c r="H173" s="31">
        <f t="shared" si="50"/>
        <v>0</v>
      </c>
      <c r="I173" s="31">
        <f t="shared" ref="I173:J173" si="64">ROUND(I169-SUM(I170:I172),2)</f>
        <v>0</v>
      </c>
      <c r="J173" s="31">
        <f t="shared" si="64"/>
        <v>0</v>
      </c>
      <c r="K173" s="124" t="str">
        <f t="shared" si="54"/>
        <v/>
      </c>
      <c r="L173" s="31">
        <f t="shared" si="51"/>
        <v>0</v>
      </c>
      <c r="M173" s="32">
        <f t="shared" si="52"/>
        <v>0</v>
      </c>
    </row>
    <row r="174" spans="2:13" x14ac:dyDescent="0.25">
      <c r="B174" s="33" t="s">
        <v>383</v>
      </c>
      <c r="C174" s="31"/>
      <c r="D174" s="31"/>
      <c r="E174" s="31"/>
      <c r="F174" s="31"/>
      <c r="G174" s="124" t="str">
        <f t="shared" si="53"/>
        <v/>
      </c>
      <c r="H174" s="31">
        <f t="shared" si="50"/>
        <v>0</v>
      </c>
      <c r="I174" s="31"/>
      <c r="J174" s="31"/>
      <c r="K174" s="124" t="str">
        <f t="shared" si="54"/>
        <v/>
      </c>
      <c r="L174" s="31">
        <f t="shared" si="51"/>
        <v>0</v>
      </c>
      <c r="M174" s="32">
        <f t="shared" si="52"/>
        <v>0</v>
      </c>
    </row>
    <row r="175" spans="2:13" x14ac:dyDescent="0.25">
      <c r="B175" s="34" t="s">
        <v>384</v>
      </c>
      <c r="C175" s="31"/>
      <c r="D175" s="31"/>
      <c r="E175" s="31"/>
      <c r="F175" s="31"/>
      <c r="G175" s="124" t="str">
        <f t="shared" si="53"/>
        <v/>
      </c>
      <c r="H175" s="31">
        <f t="shared" si="50"/>
        <v>0</v>
      </c>
      <c r="I175" s="31"/>
      <c r="J175" s="31"/>
      <c r="K175" s="124" t="str">
        <f t="shared" si="54"/>
        <v/>
      </c>
      <c r="L175" s="31">
        <f t="shared" si="51"/>
        <v>0</v>
      </c>
      <c r="M175" s="32">
        <f t="shared" si="52"/>
        <v>0</v>
      </c>
    </row>
    <row r="176" spans="2:13" x14ac:dyDescent="0.25">
      <c r="B176" s="34" t="s">
        <v>385</v>
      </c>
      <c r="C176" s="31"/>
      <c r="D176" s="31"/>
      <c r="E176" s="31"/>
      <c r="F176" s="31"/>
      <c r="G176" s="124" t="str">
        <f t="shared" si="53"/>
        <v/>
      </c>
      <c r="H176" s="31">
        <f t="shared" si="50"/>
        <v>0</v>
      </c>
      <c r="I176" s="31"/>
      <c r="J176" s="31"/>
      <c r="K176" s="124" t="str">
        <f t="shared" si="54"/>
        <v/>
      </c>
      <c r="L176" s="31">
        <f t="shared" si="51"/>
        <v>0</v>
      </c>
      <c r="M176" s="32">
        <f t="shared" si="52"/>
        <v>0</v>
      </c>
    </row>
    <row r="177" spans="2:13" x14ac:dyDescent="0.25">
      <c r="B177" s="34" t="s">
        <v>386</v>
      </c>
      <c r="C177" s="31"/>
      <c r="D177" s="31"/>
      <c r="E177" s="31"/>
      <c r="F177" s="31"/>
      <c r="G177" s="124" t="str">
        <f t="shared" si="53"/>
        <v/>
      </c>
      <c r="H177" s="31">
        <f t="shared" si="50"/>
        <v>0</v>
      </c>
      <c r="I177" s="31"/>
      <c r="J177" s="31"/>
      <c r="K177" s="124" t="str">
        <f t="shared" si="54"/>
        <v/>
      </c>
      <c r="L177" s="31">
        <f t="shared" si="51"/>
        <v>0</v>
      </c>
      <c r="M177" s="32">
        <f t="shared" si="52"/>
        <v>0</v>
      </c>
    </row>
    <row r="178" spans="2:13" x14ac:dyDescent="0.25">
      <c r="B178" s="34" t="s">
        <v>387</v>
      </c>
      <c r="C178" s="31"/>
      <c r="D178" s="31"/>
      <c r="E178" s="31"/>
      <c r="F178" s="31"/>
      <c r="G178" s="124" t="str">
        <f t="shared" si="53"/>
        <v/>
      </c>
      <c r="H178" s="31">
        <f t="shared" si="50"/>
        <v>0</v>
      </c>
      <c r="I178" s="31"/>
      <c r="J178" s="31"/>
      <c r="K178" s="124" t="str">
        <f t="shared" si="54"/>
        <v/>
      </c>
      <c r="L178" s="31">
        <f t="shared" si="51"/>
        <v>0</v>
      </c>
      <c r="M178" s="32">
        <f t="shared" si="52"/>
        <v>0</v>
      </c>
    </row>
    <row r="179" spans="2:13" x14ac:dyDescent="0.25">
      <c r="B179" s="34" t="s">
        <v>271</v>
      </c>
      <c r="C179" s="31"/>
      <c r="D179" s="31"/>
      <c r="E179" s="31"/>
      <c r="F179" s="31"/>
      <c r="G179" s="124" t="str">
        <f t="shared" si="53"/>
        <v/>
      </c>
      <c r="H179" s="31">
        <f t="shared" si="50"/>
        <v>0</v>
      </c>
      <c r="I179" s="31"/>
      <c r="J179" s="31"/>
      <c r="K179" s="124" t="str">
        <f t="shared" si="54"/>
        <v/>
      </c>
      <c r="L179" s="31">
        <f t="shared" si="51"/>
        <v>0</v>
      </c>
      <c r="M179" s="32">
        <f t="shared" si="52"/>
        <v>0</v>
      </c>
    </row>
    <row r="180" spans="2:13" x14ac:dyDescent="0.25">
      <c r="B180" s="34" t="s">
        <v>272</v>
      </c>
      <c r="C180" s="31">
        <f>ROUND(C174-SUM(C175:C179),2)</f>
        <v>0</v>
      </c>
      <c r="D180" s="31">
        <f>ROUND(D174-SUM(D175:D179),2)</f>
        <v>0</v>
      </c>
      <c r="E180" s="31">
        <f t="shared" ref="E180:F180" si="65">ROUND(E174-SUM(E175:E179),2)</f>
        <v>0</v>
      </c>
      <c r="F180" s="31">
        <f t="shared" si="65"/>
        <v>0</v>
      </c>
      <c r="G180" s="124" t="str">
        <f t="shared" si="53"/>
        <v/>
      </c>
      <c r="H180" s="31">
        <f t="shared" si="50"/>
        <v>0</v>
      </c>
      <c r="I180" s="31">
        <f t="shared" ref="I180:J180" si="66">ROUND(I174-SUM(I175:I179),2)</f>
        <v>0</v>
      </c>
      <c r="J180" s="31">
        <f t="shared" si="66"/>
        <v>0</v>
      </c>
      <c r="K180" s="124" t="str">
        <f t="shared" si="54"/>
        <v/>
      </c>
      <c r="L180" s="31">
        <f t="shared" si="51"/>
        <v>0</v>
      </c>
      <c r="M180" s="32">
        <f t="shared" si="52"/>
        <v>0</v>
      </c>
    </row>
    <row r="181" spans="2:13" x14ac:dyDescent="0.25">
      <c r="B181" s="33" t="s">
        <v>388</v>
      </c>
      <c r="C181" s="31"/>
      <c r="D181" s="31"/>
      <c r="E181" s="31"/>
      <c r="F181" s="31"/>
      <c r="G181" s="124" t="str">
        <f t="shared" si="53"/>
        <v/>
      </c>
      <c r="H181" s="31">
        <f t="shared" si="50"/>
        <v>0</v>
      </c>
      <c r="I181" s="31"/>
      <c r="J181" s="31"/>
      <c r="K181" s="124" t="str">
        <f t="shared" si="54"/>
        <v/>
      </c>
      <c r="L181" s="31">
        <f t="shared" si="51"/>
        <v>0</v>
      </c>
      <c r="M181" s="32">
        <f t="shared" si="52"/>
        <v>0</v>
      </c>
    </row>
    <row r="182" spans="2:13" x14ac:dyDescent="0.25">
      <c r="B182" s="34" t="s">
        <v>389</v>
      </c>
      <c r="C182" s="31"/>
      <c r="D182" s="31"/>
      <c r="E182" s="31"/>
      <c r="F182" s="31"/>
      <c r="G182" s="124" t="str">
        <f t="shared" si="53"/>
        <v/>
      </c>
      <c r="H182" s="31">
        <f t="shared" si="50"/>
        <v>0</v>
      </c>
      <c r="I182" s="31"/>
      <c r="J182" s="31"/>
      <c r="K182" s="124" t="str">
        <f t="shared" si="54"/>
        <v/>
      </c>
      <c r="L182" s="31">
        <f t="shared" si="51"/>
        <v>0</v>
      </c>
      <c r="M182" s="32">
        <f t="shared" si="52"/>
        <v>0</v>
      </c>
    </row>
    <row r="183" spans="2:13" x14ac:dyDescent="0.25">
      <c r="B183" s="34" t="s">
        <v>390</v>
      </c>
      <c r="C183" s="31"/>
      <c r="D183" s="31"/>
      <c r="E183" s="31"/>
      <c r="F183" s="31"/>
      <c r="G183" s="124" t="str">
        <f t="shared" si="53"/>
        <v/>
      </c>
      <c r="H183" s="31">
        <f t="shared" si="50"/>
        <v>0</v>
      </c>
      <c r="I183" s="31"/>
      <c r="J183" s="31"/>
      <c r="K183" s="124" t="str">
        <f t="shared" si="54"/>
        <v/>
      </c>
      <c r="L183" s="31">
        <f t="shared" si="51"/>
        <v>0</v>
      </c>
      <c r="M183" s="32">
        <f t="shared" si="52"/>
        <v>0</v>
      </c>
    </row>
    <row r="184" spans="2:13" x14ac:dyDescent="0.25">
      <c r="B184" s="34" t="s">
        <v>391</v>
      </c>
      <c r="C184" s="31"/>
      <c r="D184" s="31"/>
      <c r="E184" s="31"/>
      <c r="F184" s="31"/>
      <c r="G184" s="124" t="str">
        <f t="shared" si="53"/>
        <v/>
      </c>
      <c r="H184" s="31">
        <f t="shared" si="50"/>
        <v>0</v>
      </c>
      <c r="I184" s="31"/>
      <c r="J184" s="31"/>
      <c r="K184" s="124" t="str">
        <f t="shared" si="54"/>
        <v/>
      </c>
      <c r="L184" s="31">
        <f t="shared" si="51"/>
        <v>0</v>
      </c>
      <c r="M184" s="32">
        <f t="shared" si="52"/>
        <v>0</v>
      </c>
    </row>
    <row r="185" spans="2:13" x14ac:dyDescent="0.25">
      <c r="B185" s="34" t="s">
        <v>392</v>
      </c>
      <c r="C185" s="31"/>
      <c r="D185" s="31"/>
      <c r="E185" s="31"/>
      <c r="F185" s="31"/>
      <c r="G185" s="124" t="str">
        <f t="shared" si="53"/>
        <v/>
      </c>
      <c r="H185" s="31">
        <f t="shared" si="50"/>
        <v>0</v>
      </c>
      <c r="I185" s="31"/>
      <c r="J185" s="31"/>
      <c r="K185" s="124" t="str">
        <f t="shared" si="54"/>
        <v/>
      </c>
      <c r="L185" s="31">
        <f t="shared" si="51"/>
        <v>0</v>
      </c>
      <c r="M185" s="32">
        <f t="shared" si="52"/>
        <v>0</v>
      </c>
    </row>
    <row r="186" spans="2:13" x14ac:dyDescent="0.25">
      <c r="B186" s="34" t="s">
        <v>393</v>
      </c>
      <c r="C186" s="31"/>
      <c r="D186" s="31"/>
      <c r="E186" s="31"/>
      <c r="F186" s="31"/>
      <c r="G186" s="124" t="str">
        <f t="shared" si="53"/>
        <v/>
      </c>
      <c r="H186" s="31">
        <f t="shared" si="50"/>
        <v>0</v>
      </c>
      <c r="I186" s="31"/>
      <c r="J186" s="31"/>
      <c r="K186" s="124" t="str">
        <f t="shared" si="54"/>
        <v/>
      </c>
      <c r="L186" s="31">
        <f t="shared" si="51"/>
        <v>0</v>
      </c>
      <c r="M186" s="32">
        <f t="shared" si="52"/>
        <v>0</v>
      </c>
    </row>
    <row r="187" spans="2:13" x14ac:dyDescent="0.25">
      <c r="B187" s="34" t="s">
        <v>271</v>
      </c>
      <c r="C187" s="31"/>
      <c r="D187" s="31"/>
      <c r="E187" s="31"/>
      <c r="F187" s="31"/>
      <c r="G187" s="124" t="str">
        <f t="shared" si="53"/>
        <v/>
      </c>
      <c r="H187" s="31">
        <f t="shared" si="50"/>
        <v>0</v>
      </c>
      <c r="I187" s="31"/>
      <c r="J187" s="31"/>
      <c r="K187" s="124" t="str">
        <f t="shared" si="54"/>
        <v/>
      </c>
      <c r="L187" s="31">
        <f t="shared" si="51"/>
        <v>0</v>
      </c>
      <c r="M187" s="32">
        <f t="shared" si="52"/>
        <v>0</v>
      </c>
    </row>
    <row r="188" spans="2:13" x14ac:dyDescent="0.25">
      <c r="B188" s="34" t="s">
        <v>272</v>
      </c>
      <c r="C188" s="31">
        <f>ROUND(C181-SUM(C182:C187),2)</f>
        <v>0</v>
      </c>
      <c r="D188" s="31">
        <f>ROUND(D181-SUM(D182:D187),2)</f>
        <v>0</v>
      </c>
      <c r="E188" s="31">
        <f t="shared" ref="E188:F188" si="67">ROUND(E181-SUM(E182:E187),2)</f>
        <v>0</v>
      </c>
      <c r="F188" s="31">
        <f t="shared" si="67"/>
        <v>0</v>
      </c>
      <c r="G188" s="124" t="str">
        <f t="shared" si="53"/>
        <v/>
      </c>
      <c r="H188" s="31">
        <f t="shared" si="50"/>
        <v>0</v>
      </c>
      <c r="I188" s="31">
        <f t="shared" ref="I188:J188" si="68">ROUND(I181-SUM(I182:I187),2)</f>
        <v>0</v>
      </c>
      <c r="J188" s="31">
        <f t="shared" si="68"/>
        <v>0</v>
      </c>
      <c r="K188" s="124" t="str">
        <f t="shared" si="54"/>
        <v/>
      </c>
      <c r="L188" s="31">
        <f t="shared" si="51"/>
        <v>0</v>
      </c>
      <c r="M188" s="32">
        <f t="shared" si="52"/>
        <v>0</v>
      </c>
    </row>
    <row r="189" spans="2:13" x14ac:dyDescent="0.25">
      <c r="B189" s="33" t="s">
        <v>394</v>
      </c>
      <c r="C189" s="31"/>
      <c r="D189" s="31"/>
      <c r="E189" s="31"/>
      <c r="F189" s="31"/>
      <c r="G189" s="124" t="str">
        <f t="shared" si="53"/>
        <v/>
      </c>
      <c r="H189" s="31">
        <f t="shared" si="50"/>
        <v>0</v>
      </c>
      <c r="I189" s="31"/>
      <c r="J189" s="31"/>
      <c r="K189" s="124" t="str">
        <f t="shared" si="54"/>
        <v/>
      </c>
      <c r="L189" s="31">
        <f t="shared" si="51"/>
        <v>0</v>
      </c>
      <c r="M189" s="32">
        <f t="shared" si="52"/>
        <v>0</v>
      </c>
    </row>
    <row r="190" spans="2:13" x14ac:dyDescent="0.25">
      <c r="B190" s="34" t="s">
        <v>395</v>
      </c>
      <c r="C190" s="31"/>
      <c r="D190" s="31"/>
      <c r="E190" s="31"/>
      <c r="F190" s="31"/>
      <c r="G190" s="124" t="str">
        <f t="shared" si="53"/>
        <v/>
      </c>
      <c r="H190" s="31">
        <f t="shared" si="50"/>
        <v>0</v>
      </c>
      <c r="I190" s="31"/>
      <c r="J190" s="31"/>
      <c r="K190" s="124" t="str">
        <f t="shared" si="54"/>
        <v/>
      </c>
      <c r="L190" s="31">
        <f t="shared" si="51"/>
        <v>0</v>
      </c>
      <c r="M190" s="32">
        <f t="shared" si="52"/>
        <v>0</v>
      </c>
    </row>
    <row r="191" spans="2:13" x14ac:dyDescent="0.25">
      <c r="B191" s="34" t="s">
        <v>396</v>
      </c>
      <c r="C191" s="31"/>
      <c r="D191" s="31"/>
      <c r="E191" s="31"/>
      <c r="F191" s="31"/>
      <c r="G191" s="124" t="str">
        <f t="shared" si="53"/>
        <v/>
      </c>
      <c r="H191" s="31">
        <f t="shared" si="50"/>
        <v>0</v>
      </c>
      <c r="I191" s="31"/>
      <c r="J191" s="31"/>
      <c r="K191" s="124" t="str">
        <f t="shared" si="54"/>
        <v/>
      </c>
      <c r="L191" s="31">
        <f t="shared" si="51"/>
        <v>0</v>
      </c>
      <c r="M191" s="32">
        <f t="shared" si="52"/>
        <v>0</v>
      </c>
    </row>
    <row r="192" spans="2:13" x14ac:dyDescent="0.25">
      <c r="B192" s="34" t="s">
        <v>397</v>
      </c>
      <c r="C192" s="31"/>
      <c r="D192" s="31"/>
      <c r="E192" s="31"/>
      <c r="F192" s="31"/>
      <c r="G192" s="124" t="str">
        <f t="shared" si="53"/>
        <v/>
      </c>
      <c r="H192" s="31">
        <f t="shared" si="50"/>
        <v>0</v>
      </c>
      <c r="I192" s="31"/>
      <c r="J192" s="31"/>
      <c r="K192" s="124" t="str">
        <f t="shared" si="54"/>
        <v/>
      </c>
      <c r="L192" s="31">
        <f t="shared" si="51"/>
        <v>0</v>
      </c>
      <c r="M192" s="32">
        <f t="shared" si="52"/>
        <v>0</v>
      </c>
    </row>
    <row r="193" spans="2:13" x14ac:dyDescent="0.25">
      <c r="B193" s="34" t="s">
        <v>271</v>
      </c>
      <c r="C193" s="31"/>
      <c r="D193" s="31"/>
      <c r="E193" s="31"/>
      <c r="F193" s="31"/>
      <c r="G193" s="124" t="str">
        <f t="shared" si="53"/>
        <v/>
      </c>
      <c r="H193" s="31">
        <f t="shared" si="50"/>
        <v>0</v>
      </c>
      <c r="I193" s="31"/>
      <c r="J193" s="31"/>
      <c r="K193" s="124" t="str">
        <f t="shared" si="54"/>
        <v/>
      </c>
      <c r="L193" s="31">
        <f t="shared" si="51"/>
        <v>0</v>
      </c>
      <c r="M193" s="32">
        <f t="shared" si="52"/>
        <v>0</v>
      </c>
    </row>
    <row r="194" spans="2:13" x14ac:dyDescent="0.25">
      <c r="B194" s="34" t="s">
        <v>272</v>
      </c>
      <c r="C194" s="31">
        <f>ROUND(C189-SUM(C190:C193),2)</f>
        <v>0</v>
      </c>
      <c r="D194" s="31">
        <f>ROUND(D189-SUM(D190:D193),2)</f>
        <v>0</v>
      </c>
      <c r="E194" s="31">
        <f t="shared" ref="E194:F194" si="69">ROUND(E189-SUM(E190:E193),2)</f>
        <v>0</v>
      </c>
      <c r="F194" s="31">
        <f t="shared" si="69"/>
        <v>0</v>
      </c>
      <c r="G194" s="124" t="str">
        <f t="shared" si="53"/>
        <v/>
      </c>
      <c r="H194" s="31">
        <f t="shared" si="50"/>
        <v>0</v>
      </c>
      <c r="I194" s="31">
        <f t="shared" ref="I194:J194" si="70">ROUND(I189-SUM(I190:I193),2)</f>
        <v>0</v>
      </c>
      <c r="J194" s="31">
        <f t="shared" si="70"/>
        <v>0</v>
      </c>
      <c r="K194" s="124" t="str">
        <f t="shared" si="54"/>
        <v/>
      </c>
      <c r="L194" s="31">
        <f t="shared" si="51"/>
        <v>0</v>
      </c>
      <c r="M194" s="32">
        <f t="shared" si="52"/>
        <v>0</v>
      </c>
    </row>
    <row r="195" spans="2:13" x14ac:dyDescent="0.25">
      <c r="B195" s="33" t="s">
        <v>398</v>
      </c>
      <c r="C195" s="31"/>
      <c r="D195" s="31"/>
      <c r="E195" s="31"/>
      <c r="F195" s="31"/>
      <c r="G195" s="124" t="str">
        <f t="shared" si="53"/>
        <v/>
      </c>
      <c r="H195" s="31">
        <f t="shared" si="50"/>
        <v>0</v>
      </c>
      <c r="I195" s="31"/>
      <c r="J195" s="31"/>
      <c r="K195" s="124" t="str">
        <f t="shared" si="54"/>
        <v/>
      </c>
      <c r="L195" s="31">
        <f t="shared" si="51"/>
        <v>0</v>
      </c>
      <c r="M195" s="32">
        <f t="shared" si="52"/>
        <v>0</v>
      </c>
    </row>
    <row r="196" spans="2:13" x14ac:dyDescent="0.25">
      <c r="B196" s="34" t="s">
        <v>399</v>
      </c>
      <c r="C196" s="31"/>
      <c r="D196" s="31"/>
      <c r="E196" s="31"/>
      <c r="F196" s="31"/>
      <c r="G196" s="124" t="str">
        <f t="shared" si="53"/>
        <v/>
      </c>
      <c r="H196" s="31">
        <f t="shared" si="50"/>
        <v>0</v>
      </c>
      <c r="I196" s="31"/>
      <c r="J196" s="31"/>
      <c r="K196" s="124" t="str">
        <f t="shared" si="54"/>
        <v/>
      </c>
      <c r="L196" s="31">
        <f t="shared" si="51"/>
        <v>0</v>
      </c>
      <c r="M196" s="32">
        <f t="shared" si="52"/>
        <v>0</v>
      </c>
    </row>
    <row r="197" spans="2:13" x14ac:dyDescent="0.25">
      <c r="B197" s="34" t="s">
        <v>400</v>
      </c>
      <c r="C197" s="31"/>
      <c r="D197" s="31"/>
      <c r="E197" s="31"/>
      <c r="F197" s="31"/>
      <c r="G197" s="124" t="str">
        <f t="shared" si="53"/>
        <v/>
      </c>
      <c r="H197" s="31">
        <f t="shared" si="50"/>
        <v>0</v>
      </c>
      <c r="I197" s="31"/>
      <c r="J197" s="31"/>
      <c r="K197" s="124" t="str">
        <f t="shared" si="54"/>
        <v/>
      </c>
      <c r="L197" s="31">
        <f t="shared" si="51"/>
        <v>0</v>
      </c>
      <c r="M197" s="32">
        <f t="shared" si="52"/>
        <v>0</v>
      </c>
    </row>
    <row r="198" spans="2:13" x14ac:dyDescent="0.25">
      <c r="B198" s="34" t="s">
        <v>401</v>
      </c>
      <c r="C198" s="31"/>
      <c r="D198" s="31"/>
      <c r="E198" s="31"/>
      <c r="F198" s="31"/>
      <c r="G198" s="124" t="str">
        <f t="shared" si="53"/>
        <v/>
      </c>
      <c r="H198" s="31">
        <f t="shared" si="50"/>
        <v>0</v>
      </c>
      <c r="I198" s="31"/>
      <c r="J198" s="31"/>
      <c r="K198" s="124" t="str">
        <f t="shared" si="54"/>
        <v/>
      </c>
      <c r="L198" s="31">
        <f t="shared" si="51"/>
        <v>0</v>
      </c>
      <c r="M198" s="32">
        <f t="shared" si="52"/>
        <v>0</v>
      </c>
    </row>
    <row r="199" spans="2:13" x14ac:dyDescent="0.25">
      <c r="B199" s="34" t="s">
        <v>402</v>
      </c>
      <c r="C199" s="31"/>
      <c r="D199" s="31"/>
      <c r="E199" s="31"/>
      <c r="F199" s="31"/>
      <c r="G199" s="124" t="str">
        <f t="shared" si="53"/>
        <v/>
      </c>
      <c r="H199" s="31">
        <f t="shared" si="50"/>
        <v>0</v>
      </c>
      <c r="I199" s="31"/>
      <c r="J199" s="31"/>
      <c r="K199" s="124" t="str">
        <f t="shared" si="54"/>
        <v/>
      </c>
      <c r="L199" s="31">
        <f t="shared" si="51"/>
        <v>0</v>
      </c>
      <c r="M199" s="32">
        <f t="shared" si="52"/>
        <v>0</v>
      </c>
    </row>
    <row r="200" spans="2:13" x14ac:dyDescent="0.25">
      <c r="B200" s="34" t="s">
        <v>403</v>
      </c>
      <c r="C200" s="31"/>
      <c r="D200" s="31"/>
      <c r="E200" s="31"/>
      <c r="F200" s="31"/>
      <c r="G200" s="124" t="str">
        <f t="shared" si="53"/>
        <v/>
      </c>
      <c r="H200" s="31">
        <f t="shared" si="50"/>
        <v>0</v>
      </c>
      <c r="I200" s="31"/>
      <c r="J200" s="31"/>
      <c r="K200" s="124" t="str">
        <f t="shared" si="54"/>
        <v/>
      </c>
      <c r="L200" s="31">
        <f t="shared" si="51"/>
        <v>0</v>
      </c>
      <c r="M200" s="32">
        <f t="shared" si="52"/>
        <v>0</v>
      </c>
    </row>
    <row r="201" spans="2:13" x14ac:dyDescent="0.25">
      <c r="B201" s="34" t="s">
        <v>404</v>
      </c>
      <c r="C201" s="31"/>
      <c r="D201" s="31"/>
      <c r="E201" s="31"/>
      <c r="F201" s="31"/>
      <c r="G201" s="124" t="str">
        <f t="shared" si="53"/>
        <v/>
      </c>
      <c r="H201" s="31">
        <f t="shared" si="50"/>
        <v>0</v>
      </c>
      <c r="I201" s="31"/>
      <c r="J201" s="31"/>
      <c r="K201" s="124" t="str">
        <f t="shared" si="54"/>
        <v/>
      </c>
      <c r="L201" s="31">
        <f t="shared" si="51"/>
        <v>0</v>
      </c>
      <c r="M201" s="32">
        <f t="shared" si="52"/>
        <v>0</v>
      </c>
    </row>
    <row r="202" spans="2:13" x14ac:dyDescent="0.25">
      <c r="B202" s="34" t="s">
        <v>405</v>
      </c>
      <c r="C202" s="31"/>
      <c r="D202" s="31"/>
      <c r="E202" s="31"/>
      <c r="F202" s="31"/>
      <c r="G202" s="124" t="str">
        <f t="shared" si="53"/>
        <v/>
      </c>
      <c r="H202" s="31">
        <f t="shared" si="50"/>
        <v>0</v>
      </c>
      <c r="I202" s="31"/>
      <c r="J202" s="31"/>
      <c r="K202" s="124" t="str">
        <f t="shared" si="54"/>
        <v/>
      </c>
      <c r="L202" s="31">
        <f t="shared" si="51"/>
        <v>0</v>
      </c>
      <c r="M202" s="32">
        <f t="shared" si="52"/>
        <v>0</v>
      </c>
    </row>
    <row r="203" spans="2:13" x14ac:dyDescent="0.25">
      <c r="B203" s="34" t="s">
        <v>272</v>
      </c>
      <c r="C203" s="31">
        <f>ROUND(C195-SUM(C196:C202),2)</f>
        <v>0</v>
      </c>
      <c r="D203" s="31">
        <f>ROUND(D195-SUM(D196:D202),2)</f>
        <v>0</v>
      </c>
      <c r="E203" s="31">
        <f t="shared" ref="E203:F203" si="71">ROUND(E195-SUM(E196:E202),2)</f>
        <v>0</v>
      </c>
      <c r="F203" s="31">
        <f t="shared" si="71"/>
        <v>0</v>
      </c>
      <c r="G203" s="124" t="str">
        <f t="shared" si="53"/>
        <v/>
      </c>
      <c r="H203" s="31">
        <f t="shared" si="50"/>
        <v>0</v>
      </c>
      <c r="I203" s="31">
        <f t="shared" ref="I203:J203" si="72">ROUND(I195-SUM(I196:I202),2)</f>
        <v>0</v>
      </c>
      <c r="J203" s="31">
        <f t="shared" si="72"/>
        <v>0</v>
      </c>
      <c r="K203" s="124" t="str">
        <f t="shared" si="54"/>
        <v/>
      </c>
      <c r="L203" s="31">
        <f t="shared" si="51"/>
        <v>0</v>
      </c>
      <c r="M203" s="32">
        <f t="shared" si="52"/>
        <v>0</v>
      </c>
    </row>
    <row r="204" spans="2:13" x14ac:dyDescent="0.25">
      <c r="B204" s="76" t="s">
        <v>241</v>
      </c>
      <c r="C204" s="68"/>
      <c r="D204" s="68"/>
      <c r="E204" s="68"/>
      <c r="F204" s="68"/>
      <c r="G204" s="126" t="str">
        <f t="shared" ref="G204:G205" si="73">IFERROR(ROUND(F204/F$205,4),"")</f>
        <v/>
      </c>
      <c r="H204" s="68">
        <f t="shared" ref="H204" si="74">D204-F204</f>
        <v>0</v>
      </c>
      <c r="I204" s="68"/>
      <c r="J204" s="68"/>
      <c r="K204" s="126" t="str">
        <f t="shared" ref="K204:K205" si="75">IFERROR(ROUND(J204/J$205,4),"")</f>
        <v/>
      </c>
      <c r="L204" s="68">
        <f t="shared" ref="L204:L205" si="76">D204-J204</f>
        <v>0</v>
      </c>
      <c r="M204" s="69">
        <f t="shared" ref="M204:M205" si="77">IF(MONTH(paramDataBase)=12,F204-J204,0)</f>
        <v>0</v>
      </c>
    </row>
    <row r="205" spans="2:13" ht="15.75" customHeight="1" x14ac:dyDescent="0.25">
      <c r="B205" s="16" t="s">
        <v>407</v>
      </c>
      <c r="C205" s="17">
        <f>C12+C204</f>
        <v>0</v>
      </c>
      <c r="D205" s="17">
        <f>D12+D204</f>
        <v>0</v>
      </c>
      <c r="E205" s="17">
        <f>E12+E204</f>
        <v>0</v>
      </c>
      <c r="F205" s="17">
        <f>F12+F204</f>
        <v>0</v>
      </c>
      <c r="G205" s="127" t="str">
        <f t="shared" si="73"/>
        <v/>
      </c>
      <c r="H205" s="17">
        <f>H12+H204</f>
        <v>0</v>
      </c>
      <c r="I205" s="17">
        <f>I12+I204</f>
        <v>0</v>
      </c>
      <c r="J205" s="17">
        <f>J12+J204</f>
        <v>0</v>
      </c>
      <c r="K205" s="127" t="str">
        <f t="shared" si="75"/>
        <v/>
      </c>
      <c r="L205" s="17">
        <f t="shared" si="76"/>
        <v>0</v>
      </c>
      <c r="M205" s="18">
        <f t="shared" si="77"/>
        <v>0</v>
      </c>
    </row>
    <row r="206" spans="2:13" x14ac:dyDescent="0.25">
      <c r="B206" s="261" t="str">
        <f ca="1">_xlfn.CONCAT("Fonte: ",paramFonte,". Emissão em ",TEXT(NOW(),"dd/mm/aaaa \à\s hh:mm:ss"))</f>
        <v>Fonte: Sistema MS Excel + SIAPC/PAD, Unidade Responsável: Secretaria da Fazenda / Setor de Contabilidade. Emissão em 09/05/2024 às 09:42:51</v>
      </c>
      <c r="C206" s="261"/>
      <c r="D206" s="261"/>
      <c r="E206" s="261"/>
      <c r="F206" s="261"/>
      <c r="G206" s="261"/>
      <c r="H206" s="261"/>
      <c r="I206" s="261"/>
      <c r="J206" s="261"/>
      <c r="K206" s="261"/>
      <c r="L206" s="261"/>
      <c r="M206" s="261"/>
    </row>
    <row r="208" spans="2:13" x14ac:dyDescent="0.25">
      <c r="B208" t="s">
        <v>253</v>
      </c>
    </row>
    <row r="209" spans="2:13" x14ac:dyDescent="0.25">
      <c r="B209" s="247" t="str">
        <f>IFERROR(_xlfn.CONCAT(_xlfn._xlws.FILTER(tblNotasExplicativas[Nota Com Separador],tblNotasExplicativas[Demonstrativo]="RREO A2 Intra")),"")</f>
        <v/>
      </c>
      <c r="C209" s="247"/>
      <c r="D209" s="247"/>
      <c r="E209" s="247"/>
      <c r="F209" s="247"/>
      <c r="G209" s="247"/>
      <c r="H209" s="247"/>
      <c r="I209" s="247"/>
      <c r="J209" s="247"/>
      <c r="K209" s="247"/>
      <c r="L209" s="247"/>
      <c r="M209" s="247"/>
    </row>
    <row r="214" spans="2:13" x14ac:dyDescent="0.25">
      <c r="B214" s="247" t="str">
        <f>paramNomeContador</f>
        <v>EVERTON DA ROSA</v>
      </c>
      <c r="C214" s="247"/>
      <c r="E214" s="247" t="str">
        <f>paramNomeSecretario</f>
        <v>ANA PAULA RODRIGUES SCHNEIDER SCHMIDT</v>
      </c>
      <c r="F214" s="247"/>
      <c r="G214" s="247"/>
      <c r="H214" s="247"/>
      <c r="J214" s="247" t="str">
        <f>paramNomePrefeito</f>
        <v>JOÃO EDÉCIO GRAEF</v>
      </c>
      <c r="K214" s="247"/>
      <c r="L214" s="247"/>
      <c r="M214" s="247"/>
    </row>
    <row r="215" spans="2:13" x14ac:dyDescent="0.25">
      <c r="B215" s="247" t="str">
        <f>paramCargoContador</f>
        <v>Contador</v>
      </c>
      <c r="C215" s="247"/>
      <c r="E215" s="247" t="str">
        <f>paramCargoSecretario</f>
        <v>Secretária da Fazenda</v>
      </c>
      <c r="F215" s="247"/>
      <c r="G215" s="247"/>
      <c r="H215" s="247"/>
      <c r="J215" s="247" t="str">
        <f>paramCargoPrefeito</f>
        <v>Prefeito Municipal</v>
      </c>
      <c r="K215" s="247"/>
      <c r="L215" s="247"/>
      <c r="M215" s="247"/>
    </row>
    <row r="216" spans="2:13" x14ac:dyDescent="0.25">
      <c r="B216" s="247" t="str">
        <f>_xlfn.CONCAT("CRC ",paramCRCContador)</f>
        <v>CRC 076595/O-3</v>
      </c>
      <c r="C216" s="247"/>
    </row>
  </sheetData>
  <mergeCells count="19">
    <mergeCell ref="B216:C216"/>
    <mergeCell ref="B209:M209"/>
    <mergeCell ref="B214:C214"/>
    <mergeCell ref="E214:H214"/>
    <mergeCell ref="J214:M214"/>
    <mergeCell ref="B215:C215"/>
    <mergeCell ref="E215:H215"/>
    <mergeCell ref="J215:M215"/>
    <mergeCell ref="B206:M206"/>
    <mergeCell ref="B2:M2"/>
    <mergeCell ref="B3:M3"/>
    <mergeCell ref="B4:M4"/>
    <mergeCell ref="B5:M5"/>
    <mergeCell ref="B6:M6"/>
    <mergeCell ref="B8:B11"/>
    <mergeCell ref="E8:G8"/>
    <mergeCell ref="H8:H9"/>
    <mergeCell ref="I8:K8"/>
    <mergeCell ref="L8:L9"/>
  </mergeCells>
  <pageMargins left="0.25" right="0.25" top="0.75" bottom="0.75" header="0.3" footer="0.3"/>
  <pageSetup paperSize="9" scale="72"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53C0C"/>
    <pageSetUpPr fitToPage="1"/>
  </sheetPr>
  <dimension ref="B2:P56"/>
  <sheetViews>
    <sheetView topLeftCell="A27" workbookViewId="0">
      <selection activeCell="B45" sqref="B45"/>
    </sheetView>
  </sheetViews>
  <sheetFormatPr defaultRowHeight="15" x14ac:dyDescent="0.25"/>
  <cols>
    <col min="2" max="2" width="53.28515625" customWidth="1"/>
    <col min="3" max="14" width="12.42578125" customWidth="1"/>
    <col min="15" max="16" width="13.57031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125</v>
      </c>
      <c r="C3" s="247"/>
      <c r="D3" s="247"/>
      <c r="E3" s="247"/>
      <c r="F3" s="247"/>
      <c r="G3" s="247"/>
      <c r="H3" s="247"/>
      <c r="I3" s="247"/>
      <c r="J3" s="247"/>
      <c r="K3" s="247"/>
      <c r="L3" s="247"/>
      <c r="M3" s="247"/>
      <c r="N3" s="247"/>
      <c r="O3" s="247"/>
      <c r="P3" s="247"/>
    </row>
    <row r="4" spans="2:16" x14ac:dyDescent="0.25">
      <c r="B4" s="248" t="s">
        <v>411</v>
      </c>
      <c r="C4" s="248"/>
      <c r="D4" s="248"/>
      <c r="E4" s="248"/>
      <c r="F4" s="248"/>
      <c r="G4" s="248"/>
      <c r="H4" s="248"/>
      <c r="I4" s="248"/>
      <c r="J4" s="248"/>
      <c r="K4" s="248"/>
      <c r="L4" s="248"/>
      <c r="M4" s="248"/>
      <c r="N4" s="248"/>
      <c r="O4" s="248"/>
      <c r="P4" s="248"/>
    </row>
    <row r="5" spans="2:16" x14ac:dyDescent="0.25">
      <c r="B5" s="247" t="s">
        <v>127</v>
      </c>
      <c r="C5" s="247"/>
      <c r="D5" s="247"/>
      <c r="E5" s="247"/>
      <c r="F5" s="247"/>
      <c r="G5" s="247"/>
      <c r="H5" s="247"/>
      <c r="I5" s="247"/>
      <c r="J5" s="247"/>
      <c r="K5" s="247"/>
      <c r="L5" s="247"/>
      <c r="M5" s="247"/>
      <c r="N5" s="247"/>
      <c r="O5" s="247"/>
      <c r="P5" s="247"/>
    </row>
    <row r="6" spans="2:16" x14ac:dyDescent="0.25">
      <c r="B6" s="249" t="str">
        <f>UPPER(TEXT(paramDataBase,"mmmm \d\e aaaa"))</f>
        <v>JANEIRO DE 1900</v>
      </c>
      <c r="C6" s="249"/>
      <c r="D6" s="249"/>
      <c r="E6" s="249"/>
      <c r="F6" s="249"/>
      <c r="G6" s="249"/>
      <c r="H6" s="249"/>
      <c r="I6" s="249"/>
      <c r="J6" s="249"/>
      <c r="K6" s="249"/>
      <c r="L6" s="249"/>
      <c r="M6" s="249"/>
      <c r="N6" s="249"/>
      <c r="O6" s="249"/>
      <c r="P6" s="249"/>
    </row>
    <row r="8" spans="2:16" ht="15.75" customHeight="1" x14ac:dyDescent="0.25">
      <c r="B8" s="250" t="s">
        <v>412</v>
      </c>
      <c r="C8" s="250"/>
      <c r="D8" s="250"/>
      <c r="E8" s="250"/>
      <c r="F8" s="250"/>
      <c r="G8" s="250"/>
      <c r="H8" s="250"/>
      <c r="I8" s="250"/>
      <c r="J8" s="250"/>
      <c r="K8" s="250"/>
      <c r="L8" s="250"/>
      <c r="M8" s="250"/>
      <c r="N8" s="250"/>
      <c r="O8" s="250"/>
      <c r="P8" s="2" t="s">
        <v>129</v>
      </c>
    </row>
    <row r="9" spans="2:16" x14ac:dyDescent="0.25">
      <c r="B9" s="234" t="s">
        <v>413</v>
      </c>
      <c r="C9" s="251" t="s">
        <v>414</v>
      </c>
      <c r="D9" s="251"/>
      <c r="E9" s="251"/>
      <c r="F9" s="251"/>
      <c r="G9" s="251"/>
      <c r="H9" s="251"/>
      <c r="I9" s="251"/>
      <c r="J9" s="251"/>
      <c r="K9" s="251"/>
      <c r="L9" s="251"/>
      <c r="M9" s="251"/>
      <c r="N9" s="251"/>
      <c r="O9" s="3" t="s">
        <v>415</v>
      </c>
      <c r="P9" s="42" t="s">
        <v>416</v>
      </c>
    </row>
    <row r="10" spans="2:16" x14ac:dyDescent="0.25">
      <c r="B10" s="228"/>
      <c r="C10" s="252"/>
      <c r="D10" s="252"/>
      <c r="E10" s="252"/>
      <c r="F10" s="252"/>
      <c r="G10" s="252"/>
      <c r="H10" s="252"/>
      <c r="I10" s="252"/>
      <c r="J10" s="252"/>
      <c r="K10" s="252"/>
      <c r="L10" s="252"/>
      <c r="M10" s="252"/>
      <c r="N10" s="252"/>
      <c r="O10" s="4" t="s">
        <v>417</v>
      </c>
      <c r="P10" s="85" t="s">
        <v>262</v>
      </c>
    </row>
    <row r="11" spans="2:16" x14ac:dyDescent="0.25">
      <c r="B11" s="229"/>
      <c r="C11" s="136"/>
      <c r="D11" s="136"/>
      <c r="E11" s="136"/>
      <c r="F11" s="136"/>
      <c r="G11" s="136"/>
      <c r="H11" s="136"/>
      <c r="I11" s="136"/>
      <c r="J11" s="136"/>
      <c r="K11" s="136"/>
      <c r="L11" s="136"/>
      <c r="M11" s="136"/>
      <c r="N11" s="136"/>
      <c r="O11" s="5" t="s">
        <v>418</v>
      </c>
      <c r="P11" s="6">
        <f>YEAR(paramDataBase)</f>
        <v>1900</v>
      </c>
    </row>
    <row r="12" spans="2:16" x14ac:dyDescent="0.25">
      <c r="B12" s="70" t="s">
        <v>419</v>
      </c>
      <c r="C12" s="122">
        <f t="shared" ref="C12:N12" si="0">C13+C19+C20+C23+C24+C25+C26+C34</f>
        <v>0</v>
      </c>
      <c r="D12" s="122">
        <f t="shared" si="0"/>
        <v>0</v>
      </c>
      <c r="E12" s="122">
        <f t="shared" si="0"/>
        <v>0</v>
      </c>
      <c r="F12" s="122">
        <f t="shared" si="0"/>
        <v>0</v>
      </c>
      <c r="G12" s="122">
        <f t="shared" si="0"/>
        <v>0</v>
      </c>
      <c r="H12" s="122">
        <f t="shared" si="0"/>
        <v>0</v>
      </c>
      <c r="I12" s="122">
        <f t="shared" si="0"/>
        <v>0</v>
      </c>
      <c r="J12" s="122">
        <f t="shared" si="0"/>
        <v>0</v>
      </c>
      <c r="K12" s="122">
        <f t="shared" si="0"/>
        <v>0</v>
      </c>
      <c r="L12" s="122">
        <f t="shared" si="0"/>
        <v>0</v>
      </c>
      <c r="M12" s="122">
        <f t="shared" si="0"/>
        <v>0</v>
      </c>
      <c r="N12" s="122">
        <f t="shared" si="0"/>
        <v>0</v>
      </c>
      <c r="O12" s="122">
        <f t="shared" ref="O12:O46" si="1">SUM(C12:N12)</f>
        <v>0</v>
      </c>
      <c r="P12" s="123">
        <f>P13+P19+P20+P23+P24+P25+P26+P34</f>
        <v>0</v>
      </c>
    </row>
    <row r="13" spans="2:16" x14ac:dyDescent="0.25">
      <c r="B13" s="33" t="s">
        <v>420</v>
      </c>
      <c r="C13" s="53">
        <f t="shared" ref="C13:N13" si="2">SUM(C14:C18)</f>
        <v>0</v>
      </c>
      <c r="D13" s="53">
        <f t="shared" si="2"/>
        <v>0</v>
      </c>
      <c r="E13" s="53">
        <f t="shared" si="2"/>
        <v>0</v>
      </c>
      <c r="F13" s="53">
        <f t="shared" si="2"/>
        <v>0</v>
      </c>
      <c r="G13" s="53">
        <f t="shared" si="2"/>
        <v>0</v>
      </c>
      <c r="H13" s="53">
        <f t="shared" si="2"/>
        <v>0</v>
      </c>
      <c r="I13" s="53">
        <f t="shared" si="2"/>
        <v>0</v>
      </c>
      <c r="J13" s="53">
        <f t="shared" si="2"/>
        <v>0</v>
      </c>
      <c r="K13" s="53">
        <f t="shared" si="2"/>
        <v>0</v>
      </c>
      <c r="L13" s="53">
        <f t="shared" si="2"/>
        <v>0</v>
      </c>
      <c r="M13" s="53">
        <f t="shared" si="2"/>
        <v>0</v>
      </c>
      <c r="N13" s="53">
        <f t="shared" si="2"/>
        <v>0</v>
      </c>
      <c r="O13" s="53">
        <f t="shared" si="1"/>
        <v>0</v>
      </c>
      <c r="P13" s="55">
        <f>SUM(P14:P18)</f>
        <v>0</v>
      </c>
    </row>
    <row r="14" spans="2:16" x14ac:dyDescent="0.25">
      <c r="B14" s="34" t="s">
        <v>421</v>
      </c>
      <c r="C14" s="53"/>
      <c r="D14" s="53"/>
      <c r="E14" s="53"/>
      <c r="F14" s="53"/>
      <c r="G14" s="53"/>
      <c r="H14" s="53"/>
      <c r="I14" s="53"/>
      <c r="J14" s="53"/>
      <c r="K14" s="53"/>
      <c r="L14" s="53"/>
      <c r="M14" s="53"/>
      <c r="N14" s="53"/>
      <c r="O14" s="53">
        <f t="shared" si="1"/>
        <v>0</v>
      </c>
      <c r="P14" s="55"/>
    </row>
    <row r="15" spans="2:16" x14ac:dyDescent="0.25">
      <c r="B15" s="34" t="s">
        <v>422</v>
      </c>
      <c r="C15" s="53"/>
      <c r="D15" s="53"/>
      <c r="E15" s="53"/>
      <c r="F15" s="53"/>
      <c r="G15" s="53"/>
      <c r="H15" s="53"/>
      <c r="I15" s="53"/>
      <c r="J15" s="53"/>
      <c r="K15" s="53"/>
      <c r="L15" s="53"/>
      <c r="M15" s="53"/>
      <c r="N15" s="53"/>
      <c r="O15" s="53">
        <f t="shared" si="1"/>
        <v>0</v>
      </c>
      <c r="P15" s="55"/>
    </row>
    <row r="16" spans="2:16" x14ac:dyDescent="0.25">
      <c r="B16" s="34" t="s">
        <v>423</v>
      </c>
      <c r="C16" s="53"/>
      <c r="D16" s="53"/>
      <c r="E16" s="53"/>
      <c r="F16" s="53"/>
      <c r="G16" s="53"/>
      <c r="H16" s="53"/>
      <c r="I16" s="53"/>
      <c r="J16" s="53"/>
      <c r="K16" s="53"/>
      <c r="L16" s="53"/>
      <c r="M16" s="53"/>
      <c r="N16" s="53"/>
      <c r="O16" s="53">
        <f t="shared" si="1"/>
        <v>0</v>
      </c>
      <c r="P16" s="55"/>
    </row>
    <row r="17" spans="2:16" x14ac:dyDescent="0.25">
      <c r="B17" s="34" t="s">
        <v>424</v>
      </c>
      <c r="C17" s="53"/>
      <c r="D17" s="53"/>
      <c r="E17" s="53"/>
      <c r="F17" s="53"/>
      <c r="G17" s="53"/>
      <c r="H17" s="53"/>
      <c r="I17" s="53"/>
      <c r="J17" s="53"/>
      <c r="K17" s="53"/>
      <c r="L17" s="53"/>
      <c r="M17" s="53"/>
      <c r="N17" s="53"/>
      <c r="O17" s="53">
        <f t="shared" si="1"/>
        <v>0</v>
      </c>
      <c r="P17" s="55"/>
    </row>
    <row r="18" spans="2:16" x14ac:dyDescent="0.25">
      <c r="B18" s="34" t="s">
        <v>425</v>
      </c>
      <c r="C18" s="53"/>
      <c r="D18" s="53"/>
      <c r="E18" s="53"/>
      <c r="F18" s="53"/>
      <c r="G18" s="53"/>
      <c r="H18" s="53"/>
      <c r="I18" s="53"/>
      <c r="J18" s="53"/>
      <c r="K18" s="53"/>
      <c r="L18" s="53"/>
      <c r="M18" s="53"/>
      <c r="N18" s="53"/>
      <c r="O18" s="53">
        <f t="shared" si="1"/>
        <v>0</v>
      </c>
      <c r="P18" s="55"/>
    </row>
    <row r="19" spans="2:16" x14ac:dyDescent="0.25">
      <c r="B19" s="33" t="s">
        <v>426</v>
      </c>
      <c r="C19" s="53"/>
      <c r="D19" s="53"/>
      <c r="E19" s="53"/>
      <c r="F19" s="53"/>
      <c r="G19" s="53"/>
      <c r="H19" s="53"/>
      <c r="I19" s="53"/>
      <c r="J19" s="53"/>
      <c r="K19" s="53"/>
      <c r="L19" s="53"/>
      <c r="M19" s="53"/>
      <c r="N19" s="53"/>
      <c r="O19" s="53">
        <f t="shared" si="1"/>
        <v>0</v>
      </c>
      <c r="P19" s="55"/>
    </row>
    <row r="20" spans="2:16" x14ac:dyDescent="0.25">
      <c r="B20" s="33" t="s">
        <v>427</v>
      </c>
      <c r="C20" s="53">
        <f t="shared" ref="C20:N20" si="3">SUM(C21:C22)</f>
        <v>0</v>
      </c>
      <c r="D20" s="53">
        <f t="shared" si="3"/>
        <v>0</v>
      </c>
      <c r="E20" s="53">
        <f t="shared" si="3"/>
        <v>0</v>
      </c>
      <c r="F20" s="53">
        <f t="shared" si="3"/>
        <v>0</v>
      </c>
      <c r="G20" s="53">
        <f t="shared" si="3"/>
        <v>0</v>
      </c>
      <c r="H20" s="53">
        <f t="shared" si="3"/>
        <v>0</v>
      </c>
      <c r="I20" s="53">
        <f t="shared" si="3"/>
        <v>0</v>
      </c>
      <c r="J20" s="53">
        <f t="shared" si="3"/>
        <v>0</v>
      </c>
      <c r="K20" s="53">
        <f t="shared" si="3"/>
        <v>0</v>
      </c>
      <c r="L20" s="53">
        <f t="shared" si="3"/>
        <v>0</v>
      </c>
      <c r="M20" s="53">
        <f t="shared" si="3"/>
        <v>0</v>
      </c>
      <c r="N20" s="53">
        <f t="shared" si="3"/>
        <v>0</v>
      </c>
      <c r="O20" s="53">
        <f t="shared" si="1"/>
        <v>0</v>
      </c>
      <c r="P20" s="55">
        <f>SUM(P21:P22)</f>
        <v>0</v>
      </c>
    </row>
    <row r="21" spans="2:16" x14ac:dyDescent="0.25">
      <c r="B21" s="34" t="s">
        <v>428</v>
      </c>
      <c r="C21" s="53"/>
      <c r="D21" s="53"/>
      <c r="E21" s="53"/>
      <c r="F21" s="53"/>
      <c r="G21" s="53"/>
      <c r="H21" s="53"/>
      <c r="I21" s="53"/>
      <c r="J21" s="53"/>
      <c r="K21" s="53"/>
      <c r="L21" s="53"/>
      <c r="M21" s="53"/>
      <c r="N21" s="53"/>
      <c r="O21" s="53">
        <f t="shared" si="1"/>
        <v>0</v>
      </c>
      <c r="P21" s="55"/>
    </row>
    <row r="22" spans="2:16" x14ac:dyDescent="0.25">
      <c r="B22" s="34" t="s">
        <v>429</v>
      </c>
      <c r="C22" s="53"/>
      <c r="D22" s="53"/>
      <c r="E22" s="53"/>
      <c r="F22" s="53"/>
      <c r="G22" s="53"/>
      <c r="H22" s="53"/>
      <c r="I22" s="53"/>
      <c r="J22" s="53"/>
      <c r="K22" s="53"/>
      <c r="L22" s="53"/>
      <c r="M22" s="53"/>
      <c r="N22" s="53"/>
      <c r="O22" s="53">
        <f t="shared" si="1"/>
        <v>0</v>
      </c>
      <c r="P22" s="55"/>
    </row>
    <row r="23" spans="2:16" x14ac:dyDescent="0.25">
      <c r="B23" s="33" t="s">
        <v>430</v>
      </c>
      <c r="C23" s="53"/>
      <c r="D23" s="53"/>
      <c r="E23" s="53"/>
      <c r="F23" s="53"/>
      <c r="G23" s="53"/>
      <c r="H23" s="53"/>
      <c r="I23" s="53"/>
      <c r="J23" s="53"/>
      <c r="K23" s="53"/>
      <c r="L23" s="53"/>
      <c r="M23" s="53"/>
      <c r="N23" s="53"/>
      <c r="O23" s="53">
        <f t="shared" si="1"/>
        <v>0</v>
      </c>
      <c r="P23" s="55"/>
    </row>
    <row r="24" spans="2:16" x14ac:dyDescent="0.25">
      <c r="B24" s="33" t="s">
        <v>431</v>
      </c>
      <c r="C24" s="53"/>
      <c r="D24" s="53"/>
      <c r="E24" s="53"/>
      <c r="F24" s="53"/>
      <c r="G24" s="53"/>
      <c r="H24" s="53"/>
      <c r="I24" s="53"/>
      <c r="J24" s="53"/>
      <c r="K24" s="53"/>
      <c r="L24" s="53"/>
      <c r="M24" s="53"/>
      <c r="N24" s="53"/>
      <c r="O24" s="53">
        <f t="shared" si="1"/>
        <v>0</v>
      </c>
      <c r="P24" s="55"/>
    </row>
    <row r="25" spans="2:16" x14ac:dyDescent="0.25">
      <c r="B25" s="33" t="s">
        <v>432</v>
      </c>
      <c r="C25" s="53"/>
      <c r="D25" s="53"/>
      <c r="E25" s="53"/>
      <c r="F25" s="53"/>
      <c r="G25" s="53"/>
      <c r="H25" s="53"/>
      <c r="I25" s="53"/>
      <c r="J25" s="53"/>
      <c r="K25" s="53"/>
      <c r="L25" s="53"/>
      <c r="M25" s="53"/>
      <c r="N25" s="53"/>
      <c r="O25" s="53">
        <f t="shared" si="1"/>
        <v>0</v>
      </c>
      <c r="P25" s="55"/>
    </row>
    <row r="26" spans="2:16" x14ac:dyDescent="0.25">
      <c r="B26" s="33" t="s">
        <v>433</v>
      </c>
      <c r="C26" s="53">
        <f t="shared" ref="C26:N26" si="4">SUM(C27:C33)</f>
        <v>0</v>
      </c>
      <c r="D26" s="53">
        <f t="shared" si="4"/>
        <v>0</v>
      </c>
      <c r="E26" s="53">
        <f t="shared" si="4"/>
        <v>0</v>
      </c>
      <c r="F26" s="53">
        <f t="shared" si="4"/>
        <v>0</v>
      </c>
      <c r="G26" s="53">
        <f t="shared" si="4"/>
        <v>0</v>
      </c>
      <c r="H26" s="53">
        <f t="shared" si="4"/>
        <v>0</v>
      </c>
      <c r="I26" s="53">
        <f t="shared" si="4"/>
        <v>0</v>
      </c>
      <c r="J26" s="53">
        <f t="shared" si="4"/>
        <v>0</v>
      </c>
      <c r="K26" s="53">
        <f t="shared" si="4"/>
        <v>0</v>
      </c>
      <c r="L26" s="53">
        <f t="shared" si="4"/>
        <v>0</v>
      </c>
      <c r="M26" s="53">
        <f t="shared" si="4"/>
        <v>0</v>
      </c>
      <c r="N26" s="53">
        <f t="shared" si="4"/>
        <v>0</v>
      </c>
      <c r="O26" s="53">
        <f t="shared" si="1"/>
        <v>0</v>
      </c>
      <c r="P26" s="55">
        <f>SUM(P27:P33)</f>
        <v>0</v>
      </c>
    </row>
    <row r="27" spans="2:16" x14ac:dyDescent="0.25">
      <c r="B27" s="34" t="s">
        <v>434</v>
      </c>
      <c r="C27" s="53"/>
      <c r="D27" s="53"/>
      <c r="E27" s="53"/>
      <c r="F27" s="53"/>
      <c r="G27" s="53"/>
      <c r="H27" s="53"/>
      <c r="I27" s="53"/>
      <c r="J27" s="53"/>
      <c r="K27" s="53"/>
      <c r="L27" s="53"/>
      <c r="M27" s="53"/>
      <c r="N27" s="53"/>
      <c r="O27" s="53">
        <f t="shared" si="1"/>
        <v>0</v>
      </c>
      <c r="P27" s="55"/>
    </row>
    <row r="28" spans="2:16" x14ac:dyDescent="0.25">
      <c r="B28" s="34" t="s">
        <v>435</v>
      </c>
      <c r="C28" s="53"/>
      <c r="D28" s="53"/>
      <c r="E28" s="53"/>
      <c r="F28" s="53"/>
      <c r="G28" s="53"/>
      <c r="H28" s="53"/>
      <c r="I28" s="53"/>
      <c r="J28" s="53"/>
      <c r="K28" s="53"/>
      <c r="L28" s="53"/>
      <c r="M28" s="53"/>
      <c r="N28" s="53"/>
      <c r="O28" s="53">
        <f t="shared" si="1"/>
        <v>0</v>
      </c>
      <c r="P28" s="55"/>
    </row>
    <row r="29" spans="2:16" x14ac:dyDescent="0.25">
      <c r="B29" s="34" t="s">
        <v>436</v>
      </c>
      <c r="C29" s="53"/>
      <c r="D29" s="53"/>
      <c r="E29" s="53"/>
      <c r="F29" s="53"/>
      <c r="G29" s="53"/>
      <c r="H29" s="53"/>
      <c r="I29" s="53"/>
      <c r="J29" s="53"/>
      <c r="K29" s="53"/>
      <c r="L29" s="53"/>
      <c r="M29" s="53"/>
      <c r="N29" s="53"/>
      <c r="O29" s="53">
        <f t="shared" si="1"/>
        <v>0</v>
      </c>
      <c r="P29" s="55"/>
    </row>
    <row r="30" spans="2:16" x14ac:dyDescent="0.25">
      <c r="B30" s="34" t="s">
        <v>437</v>
      </c>
      <c r="C30" s="53"/>
      <c r="D30" s="53"/>
      <c r="E30" s="53"/>
      <c r="F30" s="53"/>
      <c r="G30" s="53"/>
      <c r="H30" s="53"/>
      <c r="I30" s="53"/>
      <c r="J30" s="53"/>
      <c r="K30" s="53"/>
      <c r="L30" s="53"/>
      <c r="M30" s="53"/>
      <c r="N30" s="53"/>
      <c r="O30" s="53">
        <f t="shared" si="1"/>
        <v>0</v>
      </c>
      <c r="P30" s="55"/>
    </row>
    <row r="31" spans="2:16" x14ac:dyDescent="0.25">
      <c r="B31" s="34" t="s">
        <v>438</v>
      </c>
      <c r="C31" s="53"/>
      <c r="D31" s="53"/>
      <c r="E31" s="53"/>
      <c r="F31" s="53"/>
      <c r="G31" s="53"/>
      <c r="H31" s="53"/>
      <c r="I31" s="53"/>
      <c r="J31" s="53"/>
      <c r="K31" s="53"/>
      <c r="L31" s="53"/>
      <c r="M31" s="53"/>
      <c r="N31" s="53"/>
      <c r="O31" s="53">
        <f t="shared" si="1"/>
        <v>0</v>
      </c>
      <c r="P31" s="55"/>
    </row>
    <row r="32" spans="2:16" x14ac:dyDescent="0.25">
      <c r="B32" s="34" t="s">
        <v>439</v>
      </c>
      <c r="C32" s="53"/>
      <c r="D32" s="53"/>
      <c r="E32" s="53"/>
      <c r="F32" s="53"/>
      <c r="G32" s="53"/>
      <c r="H32" s="53"/>
      <c r="I32" s="53"/>
      <c r="J32" s="53"/>
      <c r="K32" s="53"/>
      <c r="L32" s="53"/>
      <c r="M32" s="53"/>
      <c r="N32" s="53"/>
      <c r="O32" s="53">
        <f t="shared" si="1"/>
        <v>0</v>
      </c>
      <c r="P32" s="55"/>
    </row>
    <row r="33" spans="2:16" x14ac:dyDescent="0.25">
      <c r="B33" s="34" t="s">
        <v>440</v>
      </c>
      <c r="C33" s="53"/>
      <c r="D33" s="53"/>
      <c r="E33" s="53"/>
      <c r="F33" s="53"/>
      <c r="G33" s="53"/>
      <c r="H33" s="53"/>
      <c r="I33" s="53"/>
      <c r="J33" s="53"/>
      <c r="K33" s="53"/>
      <c r="L33" s="53"/>
      <c r="M33" s="53"/>
      <c r="N33" s="53"/>
      <c r="O33" s="53">
        <f t="shared" si="1"/>
        <v>0</v>
      </c>
      <c r="P33" s="55"/>
    </row>
    <row r="34" spans="2:16" x14ac:dyDescent="0.25">
      <c r="B34" s="33" t="s">
        <v>441</v>
      </c>
      <c r="C34" s="53"/>
      <c r="D34" s="53"/>
      <c r="E34" s="53"/>
      <c r="F34" s="53"/>
      <c r="G34" s="53"/>
      <c r="H34" s="53"/>
      <c r="I34" s="53"/>
      <c r="J34" s="53"/>
      <c r="K34" s="53"/>
      <c r="L34" s="53"/>
      <c r="M34" s="53"/>
      <c r="N34" s="53"/>
      <c r="O34" s="53">
        <f t="shared" si="1"/>
        <v>0</v>
      </c>
      <c r="P34" s="55"/>
    </row>
    <row r="35" spans="2:16" x14ac:dyDescent="0.25">
      <c r="B35" s="135" t="s">
        <v>442</v>
      </c>
      <c r="C35" s="140">
        <f t="shared" ref="C35:N35" si="5">SUM(C36:C39)</f>
        <v>0</v>
      </c>
      <c r="D35" s="140">
        <f t="shared" si="5"/>
        <v>0</v>
      </c>
      <c r="E35" s="140">
        <f t="shared" si="5"/>
        <v>0</v>
      </c>
      <c r="F35" s="140">
        <f t="shared" si="5"/>
        <v>0</v>
      </c>
      <c r="G35" s="140">
        <f t="shared" si="5"/>
        <v>0</v>
      </c>
      <c r="H35" s="140">
        <f t="shared" si="5"/>
        <v>0</v>
      </c>
      <c r="I35" s="140">
        <f t="shared" si="5"/>
        <v>0</v>
      </c>
      <c r="J35" s="140">
        <f t="shared" si="5"/>
        <v>0</v>
      </c>
      <c r="K35" s="140">
        <f t="shared" si="5"/>
        <v>0</v>
      </c>
      <c r="L35" s="140">
        <f t="shared" si="5"/>
        <v>0</v>
      </c>
      <c r="M35" s="140">
        <f t="shared" si="5"/>
        <v>0</v>
      </c>
      <c r="N35" s="140">
        <f t="shared" si="5"/>
        <v>0</v>
      </c>
      <c r="O35" s="140">
        <f t="shared" si="1"/>
        <v>0</v>
      </c>
      <c r="P35" s="141">
        <f>SUM(P36:P39)</f>
        <v>0</v>
      </c>
    </row>
    <row r="36" spans="2:16" x14ac:dyDescent="0.25">
      <c r="B36" s="33" t="s">
        <v>443</v>
      </c>
      <c r="C36" s="53"/>
      <c r="D36" s="53"/>
      <c r="E36" s="53"/>
      <c r="F36" s="53"/>
      <c r="G36" s="53"/>
      <c r="H36" s="53"/>
      <c r="I36" s="53"/>
      <c r="J36" s="53"/>
      <c r="K36" s="53"/>
      <c r="L36" s="53"/>
      <c r="M36" s="53"/>
      <c r="N36" s="53"/>
      <c r="O36" s="53">
        <f t="shared" si="1"/>
        <v>0</v>
      </c>
      <c r="P36" s="55"/>
    </row>
    <row r="37" spans="2:16" x14ac:dyDescent="0.25">
      <c r="B37" s="33" t="s">
        <v>444</v>
      </c>
      <c r="C37" s="53"/>
      <c r="D37" s="53"/>
      <c r="E37" s="53"/>
      <c r="F37" s="53"/>
      <c r="G37" s="53"/>
      <c r="H37" s="53"/>
      <c r="I37" s="53"/>
      <c r="J37" s="53"/>
      <c r="K37" s="53"/>
      <c r="L37" s="53"/>
      <c r="M37" s="53"/>
      <c r="N37" s="53"/>
      <c r="O37" s="53">
        <f t="shared" si="1"/>
        <v>0</v>
      </c>
      <c r="P37" s="55"/>
    </row>
    <row r="38" spans="2:16" x14ac:dyDescent="0.25">
      <c r="B38" s="33" t="s">
        <v>445</v>
      </c>
      <c r="C38" s="53"/>
      <c r="D38" s="53"/>
      <c r="E38" s="53"/>
      <c r="F38" s="53"/>
      <c r="G38" s="53"/>
      <c r="H38" s="53"/>
      <c r="I38" s="53"/>
      <c r="J38" s="53"/>
      <c r="K38" s="53"/>
      <c r="L38" s="53"/>
      <c r="M38" s="53"/>
      <c r="N38" s="53"/>
      <c r="O38" s="53">
        <f t="shared" si="1"/>
        <v>0</v>
      </c>
      <c r="P38" s="55"/>
    </row>
    <row r="39" spans="2:16" x14ac:dyDescent="0.25">
      <c r="B39" s="33" t="s">
        <v>446</v>
      </c>
      <c r="C39" s="53"/>
      <c r="D39" s="53"/>
      <c r="E39" s="53"/>
      <c r="F39" s="53"/>
      <c r="G39" s="53"/>
      <c r="H39" s="53"/>
      <c r="I39" s="53"/>
      <c r="J39" s="53"/>
      <c r="K39" s="53"/>
      <c r="L39" s="53"/>
      <c r="M39" s="53"/>
      <c r="N39" s="53"/>
      <c r="O39" s="53">
        <f t="shared" si="1"/>
        <v>0</v>
      </c>
      <c r="P39" s="55"/>
    </row>
    <row r="40" spans="2:16" x14ac:dyDescent="0.25">
      <c r="B40" s="137" t="s">
        <v>447</v>
      </c>
      <c r="C40" s="142">
        <f t="shared" ref="C40:N40" si="6">C12-C35</f>
        <v>0</v>
      </c>
      <c r="D40" s="142">
        <f t="shared" si="6"/>
        <v>0</v>
      </c>
      <c r="E40" s="142">
        <f t="shared" si="6"/>
        <v>0</v>
      </c>
      <c r="F40" s="142">
        <f t="shared" si="6"/>
        <v>0</v>
      </c>
      <c r="G40" s="142">
        <f t="shared" si="6"/>
        <v>0</v>
      </c>
      <c r="H40" s="142">
        <f t="shared" si="6"/>
        <v>0</v>
      </c>
      <c r="I40" s="142">
        <f t="shared" si="6"/>
        <v>0</v>
      </c>
      <c r="J40" s="142">
        <f t="shared" si="6"/>
        <v>0</v>
      </c>
      <c r="K40" s="142">
        <f t="shared" si="6"/>
        <v>0</v>
      </c>
      <c r="L40" s="142">
        <f t="shared" si="6"/>
        <v>0</v>
      </c>
      <c r="M40" s="142">
        <f t="shared" si="6"/>
        <v>0</v>
      </c>
      <c r="N40" s="142">
        <f t="shared" si="6"/>
        <v>0</v>
      </c>
      <c r="O40" s="142">
        <f t="shared" si="1"/>
        <v>0</v>
      </c>
      <c r="P40" s="143">
        <f>P12-P35</f>
        <v>0</v>
      </c>
    </row>
    <row r="41" spans="2:16" ht="30" customHeight="1" x14ac:dyDescent="0.25">
      <c r="B41" s="80" t="s">
        <v>448</v>
      </c>
      <c r="C41" s="53"/>
      <c r="D41" s="53"/>
      <c r="E41" s="53"/>
      <c r="F41" s="53"/>
      <c r="G41" s="53"/>
      <c r="H41" s="53"/>
      <c r="I41" s="53"/>
      <c r="J41" s="53"/>
      <c r="K41" s="53"/>
      <c r="L41" s="53"/>
      <c r="M41" s="53"/>
      <c r="N41" s="53"/>
      <c r="O41" s="53">
        <f t="shared" si="1"/>
        <v>0</v>
      </c>
      <c r="P41" s="55"/>
    </row>
    <row r="42" spans="2:16" ht="30" customHeight="1" x14ac:dyDescent="0.25">
      <c r="B42" s="138" t="s">
        <v>449</v>
      </c>
      <c r="C42" s="142">
        <f t="shared" ref="C42:N42" si="7">C40-C41</f>
        <v>0</v>
      </c>
      <c r="D42" s="142">
        <f t="shared" si="7"/>
        <v>0</v>
      </c>
      <c r="E42" s="142">
        <f t="shared" si="7"/>
        <v>0</v>
      </c>
      <c r="F42" s="142">
        <f t="shared" si="7"/>
        <v>0</v>
      </c>
      <c r="G42" s="142">
        <f t="shared" si="7"/>
        <v>0</v>
      </c>
      <c r="H42" s="142">
        <f t="shared" si="7"/>
        <v>0</v>
      </c>
      <c r="I42" s="142">
        <f t="shared" si="7"/>
        <v>0</v>
      </c>
      <c r="J42" s="142">
        <f t="shared" si="7"/>
        <v>0</v>
      </c>
      <c r="K42" s="142">
        <f t="shared" si="7"/>
        <v>0</v>
      </c>
      <c r="L42" s="142">
        <f t="shared" si="7"/>
        <v>0</v>
      </c>
      <c r="M42" s="142">
        <f t="shared" si="7"/>
        <v>0</v>
      </c>
      <c r="N42" s="142">
        <f t="shared" si="7"/>
        <v>0</v>
      </c>
      <c r="O42" s="142">
        <f t="shared" si="1"/>
        <v>0</v>
      </c>
      <c r="P42" s="143">
        <f>P40-P41</f>
        <v>0</v>
      </c>
    </row>
    <row r="43" spans="2:16" ht="30" x14ac:dyDescent="0.25">
      <c r="B43" s="80" t="s">
        <v>1310</v>
      </c>
      <c r="C43" s="53"/>
      <c r="D43" s="53"/>
      <c r="E43" s="53"/>
      <c r="F43" s="53"/>
      <c r="G43" s="53"/>
      <c r="H43" s="53"/>
      <c r="I43" s="53"/>
      <c r="J43" s="53"/>
      <c r="K43" s="53"/>
      <c r="L43" s="53"/>
      <c r="M43" s="53"/>
      <c r="N43" s="53"/>
      <c r="O43" s="53">
        <f t="shared" si="1"/>
        <v>0</v>
      </c>
      <c r="P43" s="55"/>
    </row>
    <row r="44" spans="2:16" ht="45" x14ac:dyDescent="0.25">
      <c r="B44" s="80" t="s">
        <v>1311</v>
      </c>
      <c r="C44" s="53"/>
      <c r="D44" s="53"/>
      <c r="E44" s="53"/>
      <c r="F44" s="53"/>
      <c r="G44" s="53"/>
      <c r="H44" s="53"/>
      <c r="I44" s="53"/>
      <c r="J44" s="53"/>
      <c r="K44" s="53"/>
      <c r="L44" s="53"/>
      <c r="M44" s="53"/>
      <c r="N44" s="53"/>
      <c r="O44" s="53">
        <f t="shared" ref="O44:O45" si="8">SUM(C44:N44)</f>
        <v>0</v>
      </c>
      <c r="P44" s="55"/>
    </row>
    <row r="45" spans="2:16" x14ac:dyDescent="0.25">
      <c r="B45" s="80" t="s">
        <v>1312</v>
      </c>
      <c r="C45" s="53"/>
      <c r="D45" s="53"/>
      <c r="E45" s="53"/>
      <c r="F45" s="53"/>
      <c r="G45" s="53"/>
      <c r="H45" s="53"/>
      <c r="I45" s="53"/>
      <c r="J45" s="53"/>
      <c r="K45" s="53"/>
      <c r="L45" s="53"/>
      <c r="M45" s="53"/>
      <c r="N45" s="53"/>
      <c r="O45" s="53">
        <f t="shared" si="8"/>
        <v>0</v>
      </c>
      <c r="P45" s="55"/>
    </row>
    <row r="46" spans="2:16" ht="30.75" customHeight="1" x14ac:dyDescent="0.25">
      <c r="B46" s="139" t="s">
        <v>451</v>
      </c>
      <c r="C46" s="144">
        <f>C42-C43-C44-C45</f>
        <v>0</v>
      </c>
      <c r="D46" s="144">
        <f t="shared" ref="D46:P46" si="9">D42-D43-D44-D45</f>
        <v>0</v>
      </c>
      <c r="E46" s="144">
        <f t="shared" si="9"/>
        <v>0</v>
      </c>
      <c r="F46" s="144">
        <f t="shared" si="9"/>
        <v>0</v>
      </c>
      <c r="G46" s="144">
        <f t="shared" si="9"/>
        <v>0</v>
      </c>
      <c r="H46" s="144">
        <f t="shared" si="9"/>
        <v>0</v>
      </c>
      <c r="I46" s="144">
        <f t="shared" si="9"/>
        <v>0</v>
      </c>
      <c r="J46" s="144">
        <f t="shared" si="9"/>
        <v>0</v>
      </c>
      <c r="K46" s="144">
        <f t="shared" si="9"/>
        <v>0</v>
      </c>
      <c r="L46" s="144">
        <f t="shared" si="9"/>
        <v>0</v>
      </c>
      <c r="M46" s="144">
        <f t="shared" si="9"/>
        <v>0</v>
      </c>
      <c r="N46" s="144">
        <f t="shared" si="9"/>
        <v>0</v>
      </c>
      <c r="O46" s="144">
        <f t="shared" si="1"/>
        <v>0</v>
      </c>
      <c r="P46" s="145">
        <f t="shared" si="9"/>
        <v>0</v>
      </c>
    </row>
    <row r="47" spans="2:16" x14ac:dyDescent="0.25">
      <c r="B47" s="261" t="str">
        <f ca="1">_xlfn.CONCAT("Fonte: ",paramFonte,". Emissão em ",TEXT(NOW(),"dd/mm/aaaa \à\s hh:mm:ss"))</f>
        <v>Fonte: Sistema MS Excel + SIAPC/PAD, Unidade Responsável: Secretaria da Fazenda / Setor de Contabilidade. Emissão em 09/05/2024 às 09:42:51</v>
      </c>
      <c r="C47" s="261"/>
      <c r="D47" s="261"/>
      <c r="E47" s="261"/>
      <c r="F47" s="261"/>
      <c r="G47" s="261"/>
      <c r="H47" s="261"/>
      <c r="I47" s="261"/>
      <c r="J47" s="261"/>
      <c r="K47" s="261"/>
      <c r="L47" s="261"/>
      <c r="M47" s="261"/>
      <c r="N47" s="261"/>
      <c r="O47" s="261"/>
      <c r="P47" s="261"/>
    </row>
    <row r="49" spans="2:16" x14ac:dyDescent="0.25">
      <c r="B49" t="s">
        <v>253</v>
      </c>
    </row>
    <row r="50" spans="2:16" x14ac:dyDescent="0.25">
      <c r="B50" s="247" t="str">
        <f>IFERROR(_xlfn.CONCAT(_xlfn._xlws.FILTER(tblNotasExplicativas[Nota Com Separador],tblNotasExplicativas[Demonstrativo]="RREO A3")),"")</f>
        <v/>
      </c>
      <c r="C50" s="247"/>
      <c r="D50" s="247"/>
      <c r="E50" s="247"/>
      <c r="F50" s="247"/>
      <c r="G50" s="247"/>
      <c r="H50" s="247"/>
      <c r="I50" s="247"/>
      <c r="J50" s="247"/>
      <c r="K50" s="247"/>
      <c r="L50" s="247"/>
      <c r="M50" s="247"/>
      <c r="N50" s="247"/>
      <c r="O50" s="247"/>
      <c r="P50" s="247"/>
    </row>
    <row r="54" spans="2:16" x14ac:dyDescent="0.25">
      <c r="B54" t="str">
        <f>paramNomeContador</f>
        <v>EVERTON DA ROSA</v>
      </c>
      <c r="G54" s="247" t="str">
        <f>paramNomeSecretario</f>
        <v>ANA PAULA RODRIGUES SCHNEIDER SCHMIDT</v>
      </c>
      <c r="H54" s="247"/>
      <c r="N54" s="247" t="str">
        <f>paramNomePrefeito</f>
        <v>JOÃO EDÉCIO GRAEF</v>
      </c>
      <c r="O54" s="247"/>
      <c r="P54" s="247"/>
    </row>
    <row r="55" spans="2:16" x14ac:dyDescent="0.25">
      <c r="B55" t="str">
        <f>paramCargoContador</f>
        <v>Contador</v>
      </c>
      <c r="G55" s="247" t="str">
        <f>paramCargoSecretario</f>
        <v>Secretária da Fazenda</v>
      </c>
      <c r="H55" s="247"/>
      <c r="N55" s="247" t="str">
        <f>paramCargoPrefeito</f>
        <v>Prefeito Municipal</v>
      </c>
      <c r="O55" s="247"/>
      <c r="P55" s="247"/>
    </row>
    <row r="56" spans="2:16" x14ac:dyDescent="0.25">
      <c r="B56" t="str">
        <f>_xlfn.CONCAT("CRC ",paramCRCContador)</f>
        <v>CRC 076595/O-3</v>
      </c>
    </row>
  </sheetData>
  <mergeCells count="14">
    <mergeCell ref="B3:P3"/>
    <mergeCell ref="B8:O8"/>
    <mergeCell ref="B2:P2"/>
    <mergeCell ref="B47:P47"/>
    <mergeCell ref="B9:B11"/>
    <mergeCell ref="C9:N10"/>
    <mergeCell ref="B6:P6"/>
    <mergeCell ref="B5:P5"/>
    <mergeCell ref="B4:P4"/>
    <mergeCell ref="B50:P50"/>
    <mergeCell ref="G54:H54"/>
    <mergeCell ref="G55:H55"/>
    <mergeCell ref="N54:P54"/>
    <mergeCell ref="N55:P55"/>
  </mergeCells>
  <pageMargins left="0.25" right="0.25" top="0.75" bottom="0.75" header="0.3" footer="0.3"/>
  <pageSetup paperSize="9" scale="56"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853C0C"/>
    <pageSetUpPr fitToPage="1"/>
  </sheetPr>
  <dimension ref="B2:P122"/>
  <sheetViews>
    <sheetView topLeftCell="A101" workbookViewId="0">
      <selection activeCell="C112" sqref="C112"/>
    </sheetView>
  </sheetViews>
  <sheetFormatPr defaultRowHeight="15" x14ac:dyDescent="0.25"/>
  <cols>
    <col min="1" max="1" width="4.85546875" customWidth="1"/>
    <col min="2" max="2" width="70.140625" customWidth="1"/>
    <col min="3" max="3" width="12.28515625" customWidth="1"/>
    <col min="4" max="6" width="14.28515625" customWidth="1"/>
    <col min="7" max="7" width="25.7109375" customWidth="1"/>
    <col min="8" max="14" width="12.42578125" customWidth="1"/>
    <col min="15" max="16" width="13.5703125" customWidth="1"/>
  </cols>
  <sheetData>
    <row r="2" spans="2:16" x14ac:dyDescent="0.25">
      <c r="B2" s="247" t="str">
        <f>paramEnte</f>
        <v>Município de Independência - RS</v>
      </c>
      <c r="C2" s="247"/>
      <c r="D2" s="247"/>
      <c r="E2" s="247"/>
      <c r="F2" s="247"/>
      <c r="G2" s="247"/>
    </row>
    <row r="3" spans="2:16" x14ac:dyDescent="0.25">
      <c r="B3" s="247" t="s">
        <v>125</v>
      </c>
      <c r="C3" s="247"/>
      <c r="D3" s="247"/>
      <c r="E3" s="247"/>
      <c r="F3" s="247"/>
      <c r="G3" s="247"/>
    </row>
    <row r="4" spans="2:16" x14ac:dyDescent="0.25">
      <c r="B4" s="248" t="s">
        <v>452</v>
      </c>
      <c r="C4" s="248"/>
      <c r="D4" s="248"/>
      <c r="E4" s="248"/>
      <c r="F4" s="248"/>
      <c r="G4" s="248"/>
      <c r="H4" s="132"/>
      <c r="I4" s="132"/>
      <c r="J4" s="132"/>
      <c r="K4" s="132"/>
      <c r="L4" s="132"/>
      <c r="M4" s="132"/>
      <c r="N4" s="132"/>
      <c r="O4" s="132"/>
      <c r="P4" s="132"/>
    </row>
    <row r="5" spans="2:16" x14ac:dyDescent="0.25">
      <c r="B5" s="247" t="s">
        <v>127</v>
      </c>
      <c r="C5" s="247"/>
      <c r="D5" s="247"/>
      <c r="E5" s="247"/>
      <c r="F5" s="247"/>
      <c r="G5" s="247"/>
    </row>
    <row r="6" spans="2:16" x14ac:dyDescent="0.25">
      <c r="B6" s="249" t="str">
        <f>UPPER(TEXT(paramDataBase,"mmmm \d\e aaaa"))</f>
        <v>JANEIRO DE 1900</v>
      </c>
      <c r="C6" s="249"/>
      <c r="D6" s="249"/>
      <c r="E6" s="249"/>
      <c r="F6" s="249"/>
      <c r="G6" s="249"/>
      <c r="H6" s="45"/>
      <c r="I6" s="45"/>
      <c r="J6" s="45"/>
      <c r="K6" s="45"/>
      <c r="L6" s="45"/>
      <c r="M6" s="45"/>
      <c r="N6" s="45"/>
      <c r="O6" s="45"/>
      <c r="P6" s="45"/>
    </row>
    <row r="8" spans="2:16" ht="15.75" customHeight="1" x14ac:dyDescent="0.25">
      <c r="B8" s="250" t="s">
        <v>453</v>
      </c>
      <c r="C8" s="250"/>
      <c r="D8" s="250"/>
      <c r="E8" s="250"/>
      <c r="F8" s="250"/>
      <c r="G8" s="2" t="s">
        <v>129</v>
      </c>
      <c r="H8" s="170"/>
      <c r="I8" s="170"/>
      <c r="J8" s="170"/>
      <c r="K8" s="170"/>
      <c r="L8" s="170"/>
      <c r="M8" s="170"/>
      <c r="N8" s="170"/>
      <c r="O8" s="170"/>
    </row>
    <row r="9" spans="2:16" x14ac:dyDescent="0.25">
      <c r="B9" s="273" t="s">
        <v>454</v>
      </c>
      <c r="C9" s="257"/>
      <c r="D9" s="257"/>
      <c r="E9" s="257"/>
      <c r="F9" s="257"/>
      <c r="G9" s="268"/>
    </row>
    <row r="10" spans="2:16" x14ac:dyDescent="0.25">
      <c r="B10" s="287" t="s">
        <v>455</v>
      </c>
      <c r="C10" s="288"/>
      <c r="D10" s="288"/>
      <c r="E10" s="288"/>
      <c r="F10" s="288"/>
      <c r="G10" s="289"/>
    </row>
    <row r="11" spans="2:16" x14ac:dyDescent="0.25">
      <c r="B11" s="260" t="s">
        <v>456</v>
      </c>
      <c r="C11" s="245"/>
      <c r="D11" s="245"/>
      <c r="E11" s="245"/>
      <c r="F11" s="39" t="s">
        <v>416</v>
      </c>
      <c r="G11" s="44" t="s">
        <v>133</v>
      </c>
    </row>
    <row r="12" spans="2:16" x14ac:dyDescent="0.25">
      <c r="B12" s="260"/>
      <c r="C12" s="245"/>
      <c r="D12" s="245"/>
      <c r="E12" s="245"/>
      <c r="F12" s="4" t="s">
        <v>262</v>
      </c>
      <c r="G12" s="85" t="s">
        <v>137</v>
      </c>
    </row>
    <row r="13" spans="2:16" x14ac:dyDescent="0.25">
      <c r="B13" s="260"/>
      <c r="C13" s="245"/>
      <c r="D13" s="245"/>
      <c r="E13" s="245"/>
      <c r="F13" s="5" t="s">
        <v>138</v>
      </c>
      <c r="G13" s="6" t="s">
        <v>139</v>
      </c>
    </row>
    <row r="14" spans="2:16" x14ac:dyDescent="0.25">
      <c r="B14" s="290" t="s">
        <v>419</v>
      </c>
      <c r="C14" s="291"/>
      <c r="D14" s="291"/>
      <c r="E14" s="291"/>
      <c r="F14" s="71">
        <f>F15+F19+F23+F28</f>
        <v>0</v>
      </c>
      <c r="G14" s="72">
        <f>G15+G19+G23+G28</f>
        <v>0</v>
      </c>
    </row>
    <row r="15" spans="2:16" x14ac:dyDescent="0.25">
      <c r="B15" s="283" t="s">
        <v>457</v>
      </c>
      <c r="C15" s="284"/>
      <c r="D15" s="284"/>
      <c r="E15" s="284"/>
      <c r="F15" s="31">
        <f>SUM(F16:F18)</f>
        <v>0</v>
      </c>
      <c r="G15" s="32">
        <f>SUM(G16:G18)</f>
        <v>0</v>
      </c>
    </row>
    <row r="16" spans="2:16" x14ac:dyDescent="0.25">
      <c r="B16" s="279" t="s">
        <v>458</v>
      </c>
      <c r="C16" s="280"/>
      <c r="D16" s="280"/>
      <c r="E16" s="280"/>
      <c r="F16" s="31"/>
      <c r="G16" s="32"/>
    </row>
    <row r="17" spans="2:7" x14ac:dyDescent="0.25">
      <c r="B17" s="279" t="s">
        <v>459</v>
      </c>
      <c r="C17" s="280"/>
      <c r="D17" s="280"/>
      <c r="E17" s="280"/>
      <c r="F17" s="31"/>
      <c r="G17" s="32"/>
    </row>
    <row r="18" spans="2:7" x14ac:dyDescent="0.25">
      <c r="B18" s="279" t="s">
        <v>460</v>
      </c>
      <c r="C18" s="280"/>
      <c r="D18" s="280"/>
      <c r="E18" s="280"/>
      <c r="F18" s="31"/>
      <c r="G18" s="32"/>
    </row>
    <row r="19" spans="2:7" x14ac:dyDescent="0.25">
      <c r="B19" s="283" t="s">
        <v>461</v>
      </c>
      <c r="C19" s="284"/>
      <c r="D19" s="284"/>
      <c r="E19" s="284"/>
      <c r="F19" s="31">
        <f>SUM(F20:F22)</f>
        <v>0</v>
      </c>
      <c r="G19" s="32">
        <f>SUM(G20:G22)</f>
        <v>0</v>
      </c>
    </row>
    <row r="20" spans="2:7" x14ac:dyDescent="0.25">
      <c r="B20" s="279" t="s">
        <v>458</v>
      </c>
      <c r="C20" s="280"/>
      <c r="D20" s="280"/>
      <c r="E20" s="280"/>
      <c r="F20" s="31"/>
      <c r="G20" s="32"/>
    </row>
    <row r="21" spans="2:7" x14ac:dyDescent="0.25">
      <c r="B21" s="279" t="s">
        <v>459</v>
      </c>
      <c r="C21" s="280"/>
      <c r="D21" s="280"/>
      <c r="E21" s="280"/>
      <c r="F21" s="31"/>
      <c r="G21" s="32"/>
    </row>
    <row r="22" spans="2:7" x14ac:dyDescent="0.25">
      <c r="B22" s="279" t="s">
        <v>460</v>
      </c>
      <c r="C22" s="280"/>
      <c r="D22" s="280"/>
      <c r="E22" s="280"/>
      <c r="F22" s="31"/>
      <c r="G22" s="32"/>
    </row>
    <row r="23" spans="2:7" x14ac:dyDescent="0.25">
      <c r="B23" s="283" t="s">
        <v>427</v>
      </c>
      <c r="C23" s="284"/>
      <c r="D23" s="284"/>
      <c r="E23" s="284"/>
      <c r="F23" s="31"/>
      <c r="G23" s="32"/>
    </row>
    <row r="24" spans="2:7" x14ac:dyDescent="0.25">
      <c r="B24" s="279" t="s">
        <v>462</v>
      </c>
      <c r="C24" s="280"/>
      <c r="D24" s="280"/>
      <c r="E24" s="280"/>
      <c r="F24" s="31"/>
      <c r="G24" s="32"/>
    </row>
    <row r="25" spans="2:7" x14ac:dyDescent="0.25">
      <c r="B25" s="279" t="s">
        <v>463</v>
      </c>
      <c r="C25" s="280"/>
      <c r="D25" s="280"/>
      <c r="E25" s="280"/>
      <c r="F25" s="31"/>
      <c r="G25" s="32"/>
    </row>
    <row r="26" spans="2:7" x14ac:dyDescent="0.25">
      <c r="B26" s="279" t="s">
        <v>429</v>
      </c>
      <c r="C26" s="280"/>
      <c r="D26" s="280"/>
      <c r="E26" s="280"/>
      <c r="F26" s="31">
        <f>F23-SUM(F24:F25)</f>
        <v>0</v>
      </c>
      <c r="G26" s="32">
        <f>G23-SUM(G24:G25)</f>
        <v>0</v>
      </c>
    </row>
    <row r="27" spans="2:7" x14ac:dyDescent="0.25">
      <c r="B27" s="283" t="s">
        <v>432</v>
      </c>
      <c r="C27" s="284"/>
      <c r="D27" s="284"/>
      <c r="E27" s="284"/>
      <c r="F27" s="31"/>
      <c r="G27" s="32"/>
    </row>
    <row r="28" spans="2:7" x14ac:dyDescent="0.25">
      <c r="B28" s="283" t="s">
        <v>441</v>
      </c>
      <c r="C28" s="284"/>
      <c r="D28" s="284"/>
      <c r="E28" s="284"/>
      <c r="F28" s="31"/>
      <c r="G28" s="32"/>
    </row>
    <row r="29" spans="2:7" x14ac:dyDescent="0.25">
      <c r="B29" s="279" t="s">
        <v>464</v>
      </c>
      <c r="C29" s="280"/>
      <c r="D29" s="280"/>
      <c r="E29" s="280"/>
      <c r="F29" s="31"/>
      <c r="G29" s="32"/>
    </row>
    <row r="30" spans="2:7" x14ac:dyDescent="0.25">
      <c r="B30" s="279" t="s">
        <v>465</v>
      </c>
      <c r="C30" s="280"/>
      <c r="D30" s="280"/>
      <c r="E30" s="280"/>
      <c r="F30" s="31"/>
      <c r="G30" s="32"/>
    </row>
    <row r="31" spans="2:7" x14ac:dyDescent="0.25">
      <c r="B31" s="279" t="s">
        <v>184</v>
      </c>
      <c r="C31" s="280"/>
      <c r="D31" s="280"/>
      <c r="E31" s="280"/>
      <c r="F31" s="31">
        <f>F28-SUM(F29:F30)</f>
        <v>0</v>
      </c>
      <c r="G31" s="32">
        <f>G28-SUM(G29:G30)</f>
        <v>0</v>
      </c>
    </row>
    <row r="32" spans="2:7" x14ac:dyDescent="0.25">
      <c r="B32" s="281" t="s">
        <v>466</v>
      </c>
      <c r="C32" s="282"/>
      <c r="D32" s="282"/>
      <c r="E32" s="282"/>
      <c r="F32" s="149"/>
      <c r="G32" s="150"/>
    </row>
    <row r="33" spans="2:7" x14ac:dyDescent="0.25">
      <c r="B33" s="283" t="s">
        <v>467</v>
      </c>
      <c r="C33" s="284"/>
      <c r="D33" s="284"/>
      <c r="E33" s="284"/>
      <c r="F33" s="31"/>
      <c r="G33" s="32"/>
    </row>
    <row r="34" spans="2:7" x14ac:dyDescent="0.25">
      <c r="B34" s="283" t="s">
        <v>468</v>
      </c>
      <c r="C34" s="284"/>
      <c r="D34" s="284"/>
      <c r="E34" s="284"/>
      <c r="F34" s="31"/>
      <c r="G34" s="32"/>
    </row>
    <row r="35" spans="2:7" x14ac:dyDescent="0.25">
      <c r="B35" s="285" t="s">
        <v>469</v>
      </c>
      <c r="C35" s="286"/>
      <c r="D35" s="286"/>
      <c r="E35" s="286"/>
      <c r="F35" s="68">
        <f>F32-SUM(F33:F34)</f>
        <v>0</v>
      </c>
      <c r="G35" s="69">
        <f>G32-SUM(G33:G34)</f>
        <v>0</v>
      </c>
    </row>
    <row r="36" spans="2:7" ht="15.75" customHeight="1" x14ac:dyDescent="0.25">
      <c r="B36" s="264" t="s">
        <v>470</v>
      </c>
      <c r="C36" s="265"/>
      <c r="D36" s="265"/>
      <c r="E36" s="265"/>
      <c r="F36" s="152">
        <f>F14+F32-F30</f>
        <v>0</v>
      </c>
      <c r="G36" s="153">
        <f>G14+G32-G30</f>
        <v>0</v>
      </c>
    </row>
    <row r="37" spans="2:7" ht="15.75" customHeight="1" x14ac:dyDescent="0.25"/>
    <row r="38" spans="2:7" x14ac:dyDescent="0.25">
      <c r="B38" s="234" t="s">
        <v>471</v>
      </c>
      <c r="C38" s="7" t="s">
        <v>259</v>
      </c>
      <c r="D38" s="7" t="s">
        <v>215</v>
      </c>
      <c r="E38" s="7" t="s">
        <v>215</v>
      </c>
      <c r="F38" s="7" t="s">
        <v>215</v>
      </c>
      <c r="G38" s="9" t="s">
        <v>472</v>
      </c>
    </row>
    <row r="39" spans="2:7" x14ac:dyDescent="0.25">
      <c r="B39" s="228"/>
      <c r="C39" s="8" t="s">
        <v>262</v>
      </c>
      <c r="D39" s="8" t="s">
        <v>473</v>
      </c>
      <c r="E39" s="8" t="s">
        <v>474</v>
      </c>
      <c r="F39" s="8" t="s">
        <v>475</v>
      </c>
      <c r="G39" s="10" t="s">
        <v>476</v>
      </c>
    </row>
    <row r="40" spans="2:7" x14ac:dyDescent="0.25">
      <c r="B40" s="228"/>
      <c r="C40" s="8"/>
      <c r="D40" s="8" t="s">
        <v>137</v>
      </c>
      <c r="E40" s="8" t="s">
        <v>137</v>
      </c>
      <c r="F40" s="8" t="s">
        <v>137</v>
      </c>
      <c r="G40" s="10" t="s">
        <v>477</v>
      </c>
    </row>
    <row r="41" spans="2:7" x14ac:dyDescent="0.25">
      <c r="B41" s="229"/>
      <c r="C41" s="11" t="s">
        <v>141</v>
      </c>
      <c r="D41" s="11" t="s">
        <v>224</v>
      </c>
      <c r="E41" s="11" t="s">
        <v>225</v>
      </c>
      <c r="F41" s="11" t="s">
        <v>226</v>
      </c>
      <c r="G41" s="12" t="s">
        <v>478</v>
      </c>
    </row>
    <row r="42" spans="2:7" x14ac:dyDescent="0.25">
      <c r="B42" s="49" t="s">
        <v>479</v>
      </c>
      <c r="C42" s="65">
        <f>SUM(C43:C44)</f>
        <v>0</v>
      </c>
      <c r="D42" s="65">
        <f>SUM(D43:D44)</f>
        <v>0</v>
      </c>
      <c r="E42" s="65">
        <f>SUM(E43:E44)</f>
        <v>0</v>
      </c>
      <c r="F42" s="65">
        <f>SUM(F43:F44)</f>
        <v>0</v>
      </c>
      <c r="G42" s="66" t="str">
        <f t="shared" ref="G42:G48" si="0">IF(MONTH(paramDataBase)=12,D42-E42,"")</f>
        <v/>
      </c>
    </row>
    <row r="43" spans="2:7" x14ac:dyDescent="0.25">
      <c r="B43" s="33" t="s">
        <v>480</v>
      </c>
      <c r="C43" s="31"/>
      <c r="D43" s="31"/>
      <c r="E43" s="31"/>
      <c r="F43" s="31"/>
      <c r="G43" s="32" t="str">
        <f t="shared" si="0"/>
        <v/>
      </c>
    </row>
    <row r="44" spans="2:7" x14ac:dyDescent="0.25">
      <c r="B44" s="33" t="s">
        <v>481</v>
      </c>
      <c r="C44" s="31"/>
      <c r="D44" s="31"/>
      <c r="E44" s="31"/>
      <c r="F44" s="31"/>
      <c r="G44" s="32" t="str">
        <f t="shared" si="0"/>
        <v/>
      </c>
    </row>
    <row r="45" spans="2:7" x14ac:dyDescent="0.25">
      <c r="B45" s="57" t="s">
        <v>482</v>
      </c>
      <c r="C45" s="31"/>
      <c r="D45" s="31"/>
      <c r="E45" s="31"/>
      <c r="F45" s="31"/>
      <c r="G45" s="32" t="str">
        <f t="shared" si="0"/>
        <v/>
      </c>
    </row>
    <row r="46" spans="2:7" x14ac:dyDescent="0.25">
      <c r="B46" s="33" t="s">
        <v>464</v>
      </c>
      <c r="C46" s="31"/>
      <c r="D46" s="31"/>
      <c r="E46" s="31"/>
      <c r="F46" s="31"/>
      <c r="G46" s="32" t="str">
        <f t="shared" si="0"/>
        <v/>
      </c>
    </row>
    <row r="47" spans="2:7" x14ac:dyDescent="0.25">
      <c r="B47" s="192" t="s">
        <v>483</v>
      </c>
      <c r="C47" s="68">
        <f>C45-C46</f>
        <v>0</v>
      </c>
      <c r="D47" s="68">
        <f t="shared" ref="D47:F47" si="1">D45-D46</f>
        <v>0</v>
      </c>
      <c r="E47" s="68">
        <f t="shared" si="1"/>
        <v>0</v>
      </c>
      <c r="F47" s="68">
        <f t="shared" si="1"/>
        <v>0</v>
      </c>
      <c r="G47" s="69" t="str">
        <f t="shared" si="0"/>
        <v/>
      </c>
    </row>
    <row r="48" spans="2:7" ht="15.75" customHeight="1" x14ac:dyDescent="0.25">
      <c r="B48" s="193" t="s">
        <v>484</v>
      </c>
      <c r="C48" s="152">
        <f>C42+C45</f>
        <v>0</v>
      </c>
      <c r="D48" s="152">
        <f>D42+D45</f>
        <v>0</v>
      </c>
      <c r="E48" s="152">
        <f>E42+E45</f>
        <v>0</v>
      </c>
      <c r="F48" s="152">
        <f>F42+F45</f>
        <v>0</v>
      </c>
      <c r="G48" s="153" t="str">
        <f t="shared" si="0"/>
        <v/>
      </c>
    </row>
    <row r="49" spans="2:7" ht="15.75" customHeight="1" x14ac:dyDescent="0.25"/>
    <row r="50" spans="2:7" ht="15.75" customHeight="1" x14ac:dyDescent="0.25">
      <c r="B50" s="189" t="s">
        <v>485</v>
      </c>
      <c r="C50" s="194">
        <f>F36-C48</f>
        <v>0</v>
      </c>
      <c r="D50" s="194">
        <f>G36-D48</f>
        <v>0</v>
      </c>
      <c r="E50" s="194">
        <f>G36-E48</f>
        <v>0</v>
      </c>
      <c r="F50" s="194">
        <f>G36-F48</f>
        <v>0</v>
      </c>
      <c r="G50" s="195"/>
    </row>
    <row r="51" spans="2:7" ht="15.75" customHeight="1" x14ac:dyDescent="0.25"/>
    <row r="52" spans="2:7" x14ac:dyDescent="0.25">
      <c r="B52" s="276" t="s">
        <v>486</v>
      </c>
      <c r="C52" s="277"/>
      <c r="D52" s="277"/>
      <c r="E52" s="277"/>
      <c r="F52" s="257" t="s">
        <v>487</v>
      </c>
      <c r="G52" s="268"/>
    </row>
    <row r="53" spans="2:7" ht="15.75" customHeight="1" x14ac:dyDescent="0.25">
      <c r="B53" s="274" t="s">
        <v>488</v>
      </c>
      <c r="C53" s="275"/>
      <c r="D53" s="275"/>
      <c r="E53" s="275"/>
      <c r="F53" s="272"/>
      <c r="G53" s="278"/>
    </row>
    <row r="54" spans="2:7" ht="15.75" customHeight="1" x14ac:dyDescent="0.25"/>
    <row r="55" spans="2:7" x14ac:dyDescent="0.25">
      <c r="B55" s="276" t="s">
        <v>489</v>
      </c>
      <c r="C55" s="277"/>
      <c r="D55" s="277"/>
      <c r="E55" s="277"/>
      <c r="F55" s="257" t="s">
        <v>487</v>
      </c>
      <c r="G55" s="268"/>
    </row>
    <row r="56" spans="2:7" ht="15.75" customHeight="1" x14ac:dyDescent="0.25">
      <c r="B56" s="274" t="s">
        <v>488</v>
      </c>
      <c r="C56" s="275"/>
      <c r="D56" s="275"/>
      <c r="E56" s="275"/>
      <c r="F56" s="272"/>
      <c r="G56" s="278"/>
    </row>
    <row r="57" spans="2:7" ht="15.75" customHeight="1" x14ac:dyDescent="0.25"/>
    <row r="58" spans="2:7" x14ac:dyDescent="0.25">
      <c r="B58" s="273" t="s">
        <v>490</v>
      </c>
      <c r="C58" s="257"/>
      <c r="D58" s="257"/>
      <c r="E58" s="257"/>
      <c r="F58" s="257" t="s">
        <v>491</v>
      </c>
      <c r="G58" s="268"/>
    </row>
    <row r="59" spans="2:7" x14ac:dyDescent="0.25">
      <c r="B59" s="235" t="s">
        <v>492</v>
      </c>
      <c r="C59" s="236"/>
      <c r="D59" s="236"/>
      <c r="E59" s="236"/>
      <c r="F59" s="269"/>
      <c r="G59" s="270"/>
    </row>
    <row r="60" spans="2:7" x14ac:dyDescent="0.25">
      <c r="B60" s="235" t="s">
        <v>493</v>
      </c>
      <c r="C60" s="236"/>
      <c r="D60" s="236"/>
      <c r="E60" s="236"/>
      <c r="F60" s="269"/>
      <c r="G60" s="270"/>
    </row>
    <row r="61" spans="2:7" x14ac:dyDescent="0.25">
      <c r="B61" s="235" t="s">
        <v>494</v>
      </c>
      <c r="C61" s="236"/>
      <c r="D61" s="236"/>
      <c r="E61" s="236"/>
      <c r="F61" s="269"/>
      <c r="G61" s="270"/>
    </row>
    <row r="62" spans="2:7" ht="15.75" customHeight="1" x14ac:dyDescent="0.25">
      <c r="B62" s="274" t="s">
        <v>495</v>
      </c>
      <c r="C62" s="275"/>
      <c r="D62" s="275"/>
      <c r="E62" s="275"/>
      <c r="F62" s="271"/>
      <c r="G62" s="272"/>
    </row>
    <row r="63" spans="2:7" ht="15.75" customHeight="1" x14ac:dyDescent="0.25"/>
    <row r="64" spans="2:7" x14ac:dyDescent="0.25">
      <c r="B64" s="273" t="s">
        <v>496</v>
      </c>
      <c r="C64" s="257"/>
      <c r="D64" s="257"/>
      <c r="E64" s="257"/>
      <c r="F64" s="257" t="s">
        <v>497</v>
      </c>
      <c r="G64" s="268"/>
    </row>
    <row r="65" spans="2:7" x14ac:dyDescent="0.25">
      <c r="B65" s="235" t="s">
        <v>498</v>
      </c>
      <c r="C65" s="236"/>
      <c r="D65" s="236"/>
      <c r="E65" s="236"/>
      <c r="F65" s="269"/>
      <c r="G65" s="270"/>
    </row>
    <row r="66" spans="2:7" x14ac:dyDescent="0.25">
      <c r="B66" s="235" t="s">
        <v>499</v>
      </c>
      <c r="C66" s="236"/>
      <c r="D66" s="236"/>
      <c r="E66" s="236"/>
      <c r="F66" s="269"/>
      <c r="G66" s="270"/>
    </row>
    <row r="67" spans="2:7" ht="15.75" customHeight="1" x14ac:dyDescent="0.25">
      <c r="B67" s="274" t="s">
        <v>500</v>
      </c>
      <c r="C67" s="275"/>
      <c r="D67" s="275"/>
      <c r="E67" s="275"/>
      <c r="F67" s="271"/>
      <c r="G67" s="272"/>
    </row>
    <row r="68" spans="2:7" ht="15.75" customHeight="1" x14ac:dyDescent="0.25"/>
    <row r="69" spans="2:7" x14ac:dyDescent="0.25">
      <c r="B69" s="273" t="s">
        <v>501</v>
      </c>
      <c r="C69" s="257"/>
      <c r="D69" s="257"/>
      <c r="E69" s="257"/>
      <c r="F69" s="257"/>
      <c r="G69" s="268"/>
    </row>
    <row r="70" spans="2:7" x14ac:dyDescent="0.25">
      <c r="B70" s="260" t="s">
        <v>502</v>
      </c>
      <c r="C70" s="245"/>
      <c r="D70" s="245"/>
      <c r="E70" s="245"/>
      <c r="F70" s="39" t="s">
        <v>416</v>
      </c>
      <c r="G70" s="44" t="s">
        <v>133</v>
      </c>
    </row>
    <row r="71" spans="2:7" x14ac:dyDescent="0.25">
      <c r="B71" s="260"/>
      <c r="C71" s="245"/>
      <c r="D71" s="245"/>
      <c r="E71" s="245"/>
      <c r="F71" s="4" t="s">
        <v>262</v>
      </c>
      <c r="G71" s="85" t="s">
        <v>137</v>
      </c>
    </row>
    <row r="72" spans="2:7" x14ac:dyDescent="0.25">
      <c r="B72" s="260"/>
      <c r="C72" s="245"/>
      <c r="D72" s="245"/>
      <c r="E72" s="245"/>
      <c r="F72" s="5" t="s">
        <v>138</v>
      </c>
      <c r="G72" s="6" t="s">
        <v>139</v>
      </c>
    </row>
    <row r="73" spans="2:7" x14ac:dyDescent="0.25">
      <c r="B73" s="266" t="s">
        <v>503</v>
      </c>
      <c r="C73" s="267"/>
      <c r="D73" s="267"/>
      <c r="E73" s="267"/>
      <c r="F73" s="31"/>
      <c r="G73" s="32"/>
    </row>
    <row r="74" spans="2:7" ht="15.75" customHeight="1" x14ac:dyDescent="0.25">
      <c r="B74" s="264" t="s">
        <v>504</v>
      </c>
      <c r="C74" s="265"/>
      <c r="D74" s="265"/>
      <c r="E74" s="265"/>
      <c r="F74" s="152">
        <f>F73</f>
        <v>0</v>
      </c>
      <c r="G74" s="153">
        <f>G73</f>
        <v>0</v>
      </c>
    </row>
    <row r="75" spans="2:7" ht="15.75" customHeight="1" x14ac:dyDescent="0.25"/>
    <row r="76" spans="2:7" x14ac:dyDescent="0.25">
      <c r="B76" s="234" t="s">
        <v>505</v>
      </c>
      <c r="C76" s="7" t="s">
        <v>259</v>
      </c>
      <c r="D76" s="7" t="s">
        <v>215</v>
      </c>
      <c r="E76" s="7" t="s">
        <v>215</v>
      </c>
      <c r="F76" s="7" t="s">
        <v>215</v>
      </c>
      <c r="G76" s="9" t="s">
        <v>472</v>
      </c>
    </row>
    <row r="77" spans="2:7" x14ac:dyDescent="0.25">
      <c r="B77" s="228"/>
      <c r="C77" s="8" t="s">
        <v>262</v>
      </c>
      <c r="D77" s="8" t="s">
        <v>473</v>
      </c>
      <c r="E77" s="8" t="s">
        <v>474</v>
      </c>
      <c r="F77" s="8" t="s">
        <v>475</v>
      </c>
      <c r="G77" s="10" t="s">
        <v>476</v>
      </c>
    </row>
    <row r="78" spans="2:7" x14ac:dyDescent="0.25">
      <c r="B78" s="228"/>
      <c r="C78" s="8"/>
      <c r="D78" s="8" t="s">
        <v>137</v>
      </c>
      <c r="E78" s="8" t="s">
        <v>137</v>
      </c>
      <c r="F78" s="8" t="s">
        <v>137</v>
      </c>
      <c r="G78" s="10" t="s">
        <v>477</v>
      </c>
    </row>
    <row r="79" spans="2:7" x14ac:dyDescent="0.25">
      <c r="B79" s="229"/>
      <c r="C79" s="11" t="s">
        <v>141</v>
      </c>
      <c r="D79" s="11" t="s">
        <v>224</v>
      </c>
      <c r="E79" s="11" t="s">
        <v>225</v>
      </c>
      <c r="F79" s="11" t="s">
        <v>226</v>
      </c>
      <c r="G79" s="12" t="s">
        <v>478</v>
      </c>
    </row>
    <row r="80" spans="2:7" x14ac:dyDescent="0.25">
      <c r="B80" s="49" t="s">
        <v>506</v>
      </c>
      <c r="C80" s="65">
        <f>SUM(C81:C82)</f>
        <v>0</v>
      </c>
      <c r="D80" s="65">
        <f>SUM(D81:D82)</f>
        <v>0</v>
      </c>
      <c r="E80" s="65">
        <f>SUM(E81:E82)</f>
        <v>0</v>
      </c>
      <c r="F80" s="65">
        <f>SUM(F81:F82)</f>
        <v>0</v>
      </c>
      <c r="G80" s="66">
        <f>SUM(G81:G82)</f>
        <v>0</v>
      </c>
    </row>
    <row r="81" spans="2:7" x14ac:dyDescent="0.25">
      <c r="B81" s="33" t="s">
        <v>507</v>
      </c>
      <c r="C81" s="31"/>
      <c r="D81" s="31"/>
      <c r="E81" s="31"/>
      <c r="F81" s="31"/>
      <c r="G81" s="32">
        <f>IF(MONTH(paramDataBase)=12,D81-E81,0)</f>
        <v>0</v>
      </c>
    </row>
    <row r="82" spans="2:7" x14ac:dyDescent="0.25">
      <c r="B82" s="33" t="s">
        <v>508</v>
      </c>
      <c r="C82" s="31"/>
      <c r="D82" s="31"/>
      <c r="E82" s="31"/>
      <c r="F82" s="31"/>
      <c r="G82" s="32">
        <f>IF(MONTH(paramDataBase)=12,D82-E82,0)</f>
        <v>0</v>
      </c>
    </row>
    <row r="83" spans="2:7" x14ac:dyDescent="0.25">
      <c r="B83" s="57" t="s">
        <v>509</v>
      </c>
      <c r="C83" s="31"/>
      <c r="D83" s="31"/>
      <c r="E83" s="31"/>
      <c r="F83" s="31"/>
      <c r="G83" s="32">
        <f>IF(MONTH(paramDataBase)=12,D83-E83,0)</f>
        <v>0</v>
      </c>
    </row>
    <row r="84" spans="2:7" ht="15.75" customHeight="1" x14ac:dyDescent="0.25">
      <c r="B84" s="193" t="s">
        <v>510</v>
      </c>
      <c r="C84" s="152">
        <f>C80+C83</f>
        <v>0</v>
      </c>
      <c r="D84" s="152">
        <f>D80+D83</f>
        <v>0</v>
      </c>
      <c r="E84" s="152">
        <f>E80+E83</f>
        <v>0</v>
      </c>
      <c r="F84" s="152">
        <f>F80+F83</f>
        <v>0</v>
      </c>
      <c r="G84" s="153">
        <f>G80+G83</f>
        <v>0</v>
      </c>
    </row>
    <row r="85" spans="2:7" ht="15.75" customHeight="1" x14ac:dyDescent="0.25"/>
    <row r="86" spans="2:7" ht="15.75" customHeight="1" x14ac:dyDescent="0.25">
      <c r="B86" s="189" t="s">
        <v>511</v>
      </c>
      <c r="C86" s="194">
        <f>F74-C84</f>
        <v>0</v>
      </c>
      <c r="D86" s="194">
        <f>$G$74-D84</f>
        <v>0</v>
      </c>
      <c r="E86" s="194">
        <f>$G$74-E84</f>
        <v>0</v>
      </c>
      <c r="F86" s="194">
        <f>$G$74-F84</f>
        <v>0</v>
      </c>
      <c r="G86" s="195"/>
    </row>
    <row r="87" spans="2:7" ht="15.75" customHeight="1" x14ac:dyDescent="0.25"/>
    <row r="88" spans="2:7" x14ac:dyDescent="0.25">
      <c r="B88" s="273" t="s">
        <v>512</v>
      </c>
      <c r="C88" s="257"/>
      <c r="D88" s="257"/>
      <c r="E88" s="257"/>
      <c r="F88" s="257" t="s">
        <v>497</v>
      </c>
      <c r="G88" s="268"/>
    </row>
    <row r="89" spans="2:7" x14ac:dyDescent="0.25">
      <c r="B89" s="235" t="s">
        <v>498</v>
      </c>
      <c r="C89" s="236"/>
      <c r="D89" s="236"/>
      <c r="E89" s="236"/>
      <c r="F89" s="269"/>
      <c r="G89" s="270"/>
    </row>
    <row r="90" spans="2:7" x14ac:dyDescent="0.25">
      <c r="B90" s="235" t="s">
        <v>499</v>
      </c>
      <c r="C90" s="236"/>
      <c r="D90" s="236"/>
      <c r="E90" s="236"/>
      <c r="F90" s="269"/>
      <c r="G90" s="270"/>
    </row>
    <row r="91" spans="2:7" ht="15.75" customHeight="1" x14ac:dyDescent="0.25">
      <c r="B91" s="274" t="s">
        <v>500</v>
      </c>
      <c r="C91" s="275"/>
      <c r="D91" s="275"/>
      <c r="E91" s="275"/>
      <c r="F91" s="271"/>
      <c r="G91" s="272"/>
    </row>
    <row r="92" spans="2:7" ht="15.75" customHeight="1" x14ac:dyDescent="0.25"/>
    <row r="93" spans="2:7" x14ac:dyDescent="0.25">
      <c r="B93" s="273" t="s">
        <v>513</v>
      </c>
      <c r="C93" s="257"/>
      <c r="D93" s="257"/>
      <c r="E93" s="257"/>
      <c r="F93" s="257"/>
      <c r="G93" s="268"/>
    </row>
    <row r="94" spans="2:7" x14ac:dyDescent="0.25">
      <c r="B94" s="260" t="s">
        <v>514</v>
      </c>
      <c r="C94" s="245"/>
      <c r="D94" s="245"/>
      <c r="E94" s="245"/>
      <c r="F94" s="39" t="s">
        <v>416</v>
      </c>
      <c r="G94" s="44" t="s">
        <v>133</v>
      </c>
    </row>
    <row r="95" spans="2:7" x14ac:dyDescent="0.25">
      <c r="B95" s="260"/>
      <c r="C95" s="245"/>
      <c r="D95" s="245"/>
      <c r="E95" s="245"/>
      <c r="F95" s="4" t="s">
        <v>262</v>
      </c>
      <c r="G95" s="85" t="s">
        <v>137</v>
      </c>
    </row>
    <row r="96" spans="2:7" x14ac:dyDescent="0.25">
      <c r="B96" s="260"/>
      <c r="C96" s="245"/>
      <c r="D96" s="245"/>
      <c r="E96" s="245"/>
      <c r="F96" s="5" t="s">
        <v>138</v>
      </c>
      <c r="G96" s="6" t="s">
        <v>139</v>
      </c>
    </row>
    <row r="97" spans="2:8" x14ac:dyDescent="0.25">
      <c r="B97" s="266" t="s">
        <v>515</v>
      </c>
      <c r="C97" s="267"/>
      <c r="D97" s="267"/>
      <c r="E97" s="267"/>
      <c r="F97" s="31"/>
      <c r="G97" s="32"/>
    </row>
    <row r="98" spans="2:8" x14ac:dyDescent="0.25">
      <c r="B98" s="266" t="s">
        <v>516</v>
      </c>
      <c r="C98" s="267"/>
      <c r="D98" s="267"/>
      <c r="E98" s="267"/>
      <c r="F98" s="31"/>
      <c r="G98" s="32"/>
    </row>
    <row r="99" spans="2:8" ht="15.75" customHeight="1" x14ac:dyDescent="0.25">
      <c r="B99" s="264" t="s">
        <v>517</v>
      </c>
      <c r="C99" s="265"/>
      <c r="D99" s="265"/>
      <c r="E99" s="265"/>
      <c r="F99" s="152">
        <f>SUM(F97:F98)</f>
        <v>0</v>
      </c>
      <c r="G99" s="153">
        <f>SUM(G97:G98)</f>
        <v>0</v>
      </c>
    </row>
    <row r="100" spans="2:8" ht="15.75" customHeight="1" x14ac:dyDescent="0.25"/>
    <row r="101" spans="2:8" x14ac:dyDescent="0.25">
      <c r="B101" s="234" t="s">
        <v>518</v>
      </c>
      <c r="C101" s="7" t="s">
        <v>259</v>
      </c>
      <c r="D101" s="7" t="s">
        <v>215</v>
      </c>
      <c r="E101" s="7" t="s">
        <v>215</v>
      </c>
      <c r="F101" s="7" t="s">
        <v>215</v>
      </c>
      <c r="G101" s="9" t="s">
        <v>472</v>
      </c>
    </row>
    <row r="102" spans="2:8" x14ac:dyDescent="0.25">
      <c r="B102" s="228"/>
      <c r="C102" s="8" t="s">
        <v>262</v>
      </c>
      <c r="D102" s="8" t="s">
        <v>473</v>
      </c>
      <c r="E102" s="8" t="s">
        <v>474</v>
      </c>
      <c r="F102" s="8" t="s">
        <v>475</v>
      </c>
      <c r="G102" s="10" t="s">
        <v>476</v>
      </c>
    </row>
    <row r="103" spans="2:8" x14ac:dyDescent="0.25">
      <c r="B103" s="228"/>
      <c r="C103" s="8"/>
      <c r="D103" s="8" t="s">
        <v>137</v>
      </c>
      <c r="E103" s="8" t="s">
        <v>137</v>
      </c>
      <c r="F103" s="8" t="s">
        <v>137</v>
      </c>
      <c r="G103" s="10" t="s">
        <v>477</v>
      </c>
    </row>
    <row r="104" spans="2:8" x14ac:dyDescent="0.25">
      <c r="B104" s="229"/>
      <c r="C104" s="11" t="s">
        <v>141</v>
      </c>
      <c r="D104" s="11" t="s">
        <v>224</v>
      </c>
      <c r="E104" s="11" t="s">
        <v>225</v>
      </c>
      <c r="F104" s="11" t="s">
        <v>226</v>
      </c>
      <c r="G104" s="12" t="s">
        <v>478</v>
      </c>
    </row>
    <row r="105" spans="2:8" x14ac:dyDescent="0.25">
      <c r="B105" s="179" t="s">
        <v>480</v>
      </c>
      <c r="C105" s="31"/>
      <c r="D105" s="31"/>
      <c r="E105" s="31"/>
      <c r="F105" s="31"/>
      <c r="G105" s="32">
        <f>IF(MONTH(paramDataBase)=12,D105-E105,0)</f>
        <v>0</v>
      </c>
    </row>
    <row r="106" spans="2:8" x14ac:dyDescent="0.25">
      <c r="B106" s="179" t="s">
        <v>481</v>
      </c>
      <c r="C106" s="31"/>
      <c r="D106" s="31"/>
      <c r="E106" s="31"/>
      <c r="F106" s="31"/>
      <c r="G106" s="32">
        <f>IF(MONTH(paramDataBase)=12,D106-E106,0)</f>
        <v>0</v>
      </c>
    </row>
    <row r="107" spans="2:8" x14ac:dyDescent="0.25">
      <c r="B107" s="57" t="s">
        <v>482</v>
      </c>
      <c r="C107" s="31"/>
      <c r="D107" s="31"/>
      <c r="E107" s="31"/>
      <c r="F107" s="31"/>
      <c r="G107" s="32"/>
    </row>
    <row r="108" spans="2:8" ht="15.75" customHeight="1" x14ac:dyDescent="0.25">
      <c r="B108" s="193" t="s">
        <v>519</v>
      </c>
      <c r="C108" s="152">
        <f>SUM(C105:C107)</f>
        <v>0</v>
      </c>
      <c r="D108" s="152">
        <f>SUM(D105:D107)</f>
        <v>0</v>
      </c>
      <c r="E108" s="152">
        <f>SUM(E105:E107)</f>
        <v>0</v>
      </c>
      <c r="F108" s="152">
        <f>SUM(F105:F107)</f>
        <v>0</v>
      </c>
      <c r="G108" s="153">
        <f>SUM(G105:G107)</f>
        <v>0</v>
      </c>
    </row>
    <row r="109" spans="2:8" ht="15.75" customHeight="1" x14ac:dyDescent="0.25"/>
    <row r="110" spans="2:8" ht="15.75" customHeight="1" x14ac:dyDescent="0.25">
      <c r="B110" s="189" t="s">
        <v>520</v>
      </c>
      <c r="C110" s="194">
        <f>F99-C108</f>
        <v>0</v>
      </c>
      <c r="D110" s="194">
        <f>G99-D108</f>
        <v>0</v>
      </c>
      <c r="E110" s="194">
        <f>G99-E108</f>
        <v>0</v>
      </c>
      <c r="F110" s="194">
        <f>G99-F108</f>
        <v>0</v>
      </c>
      <c r="G110" s="195"/>
    </row>
    <row r="111" spans="2:8" x14ac:dyDescent="0.25">
      <c r="B111" s="261" t="str">
        <f ca="1">_xlfn.CONCAT("Fonte: ",paramFonte,". Emissão em ",TEXT(NOW(),"dd/mm/aaaa \à\s hh:mm:ss"))</f>
        <v>Fonte: Sistema MS Excel + SIAPC/PAD, Unidade Responsável: Secretaria da Fazenda / Setor de Contabilidade. Emissão em 09/05/2024 às 09:42:51</v>
      </c>
      <c r="C111" s="261"/>
      <c r="D111" s="261"/>
      <c r="E111" s="261"/>
      <c r="F111" s="261"/>
      <c r="G111" s="261"/>
      <c r="H111" s="45"/>
    </row>
    <row r="113" spans="2:8" x14ac:dyDescent="0.25">
      <c r="B113" t="s">
        <v>253</v>
      </c>
    </row>
    <row r="114" spans="2:8" ht="30" customHeight="1" x14ac:dyDescent="0.25">
      <c r="B114" s="262" t="s">
        <v>521</v>
      </c>
      <c r="C114" s="262"/>
      <c r="D114" s="262"/>
      <c r="E114" s="262"/>
      <c r="F114" s="262"/>
      <c r="G114" s="262"/>
      <c r="H114" s="14"/>
    </row>
    <row r="115" spans="2:8" ht="30" customHeight="1" x14ac:dyDescent="0.25">
      <c r="B115" s="262" t="s">
        <v>522</v>
      </c>
      <c r="C115" s="262"/>
      <c r="D115" s="262"/>
      <c r="E115" s="262"/>
      <c r="F115" s="262"/>
      <c r="G115" s="262"/>
      <c r="H115" s="14"/>
    </row>
    <row r="116" spans="2:8" x14ac:dyDescent="0.25">
      <c r="B116" s="262" t="str">
        <f>IFERROR(_xlfn.CONCAT(_xlfn._xlws.FILTER(tblNotasExplicativas[Nota Com Separador],tblNotasExplicativas[Demonstrativo]="RREO A4")),"")</f>
        <v/>
      </c>
      <c r="C116" s="262"/>
      <c r="D116" s="262"/>
      <c r="E116" s="262"/>
      <c r="F116" s="262"/>
      <c r="G116" s="262"/>
      <c r="H116" s="14"/>
    </row>
    <row r="120" spans="2:8" x14ac:dyDescent="0.25">
      <c r="B120" t="str">
        <f>paramNomeContador</f>
        <v>EVERTON DA ROSA</v>
      </c>
      <c r="C120" s="247" t="str">
        <f>paramNomeSecretario</f>
        <v>ANA PAULA RODRIGUES SCHNEIDER SCHMIDT</v>
      </c>
      <c r="D120" s="247"/>
      <c r="F120" s="247" t="str">
        <f>paramNomePrefeito</f>
        <v>JOÃO EDÉCIO GRAEF</v>
      </c>
      <c r="G120" s="247"/>
    </row>
    <row r="121" spans="2:8" x14ac:dyDescent="0.25">
      <c r="B121" t="str">
        <f>paramCargoContador</f>
        <v>Contador</v>
      </c>
      <c r="C121" s="247" t="str">
        <f>paramCargoSecretario</f>
        <v>Secretária da Fazenda</v>
      </c>
      <c r="D121" s="247"/>
      <c r="F121" s="247" t="str">
        <f>paramCargoPrefeito</f>
        <v>Prefeito Municipal</v>
      </c>
      <c r="G121" s="247"/>
    </row>
    <row r="122" spans="2:8" x14ac:dyDescent="0.25">
      <c r="B122" t="str">
        <f>_xlfn.CONCAT("CRC ",paramCRCContador)</f>
        <v>CRC 076595/O-3</v>
      </c>
    </row>
  </sheetData>
  <mergeCells count="86">
    <mergeCell ref="B8:F8"/>
    <mergeCell ref="B2:G2"/>
    <mergeCell ref="B3:G3"/>
    <mergeCell ref="B4:G4"/>
    <mergeCell ref="B5:G5"/>
    <mergeCell ref="B6:G6"/>
    <mergeCell ref="B9:G9"/>
    <mergeCell ref="B10:G10"/>
    <mergeCell ref="B11:E13"/>
    <mergeCell ref="B14:E14"/>
    <mergeCell ref="B15:E15"/>
    <mergeCell ref="B16:E16"/>
    <mergeCell ref="B17:E17"/>
    <mergeCell ref="B18:E18"/>
    <mergeCell ref="B19:E19"/>
    <mergeCell ref="B20:E20"/>
    <mergeCell ref="B21:E21"/>
    <mergeCell ref="B22:E22"/>
    <mergeCell ref="B23:E23"/>
    <mergeCell ref="B24:E24"/>
    <mergeCell ref="B25:E25"/>
    <mergeCell ref="B26:E26"/>
    <mergeCell ref="B27:E27"/>
    <mergeCell ref="B28:E28"/>
    <mergeCell ref="B29:E29"/>
    <mergeCell ref="B30:E30"/>
    <mergeCell ref="B31:E31"/>
    <mergeCell ref="B32:E32"/>
    <mergeCell ref="B33:E33"/>
    <mergeCell ref="B34:E34"/>
    <mergeCell ref="B35:E35"/>
    <mergeCell ref="B36:E36"/>
    <mergeCell ref="B38:B41"/>
    <mergeCell ref="B52:E52"/>
    <mergeCell ref="F52:G52"/>
    <mergeCell ref="B53:E53"/>
    <mergeCell ref="F53:G53"/>
    <mergeCell ref="B55:E55"/>
    <mergeCell ref="F55:G55"/>
    <mergeCell ref="B56:E56"/>
    <mergeCell ref="F56:G56"/>
    <mergeCell ref="B58:E58"/>
    <mergeCell ref="F58:G58"/>
    <mergeCell ref="B59:E59"/>
    <mergeCell ref="B60:E60"/>
    <mergeCell ref="B61:E61"/>
    <mergeCell ref="B62:E62"/>
    <mergeCell ref="F62:G62"/>
    <mergeCell ref="F61:G61"/>
    <mergeCell ref="F60:G60"/>
    <mergeCell ref="F59:G59"/>
    <mergeCell ref="B67:E67"/>
    <mergeCell ref="F67:G67"/>
    <mergeCell ref="B69:G69"/>
    <mergeCell ref="B64:E64"/>
    <mergeCell ref="F64:G64"/>
    <mergeCell ref="B65:E65"/>
    <mergeCell ref="F65:G65"/>
    <mergeCell ref="B66:E66"/>
    <mergeCell ref="F66:G66"/>
    <mergeCell ref="B74:E74"/>
    <mergeCell ref="B76:B79"/>
    <mergeCell ref="B88:E88"/>
    <mergeCell ref="B89:E89"/>
    <mergeCell ref="B70:E72"/>
    <mergeCell ref="B73:E73"/>
    <mergeCell ref="F88:G88"/>
    <mergeCell ref="F89:G89"/>
    <mergeCell ref="F90:G90"/>
    <mergeCell ref="F91:G91"/>
    <mergeCell ref="B93:G93"/>
    <mergeCell ref="B90:E90"/>
    <mergeCell ref="B91:E91"/>
    <mergeCell ref="B99:E99"/>
    <mergeCell ref="B101:B104"/>
    <mergeCell ref="B111:G111"/>
    <mergeCell ref="B114:G114"/>
    <mergeCell ref="B94:E96"/>
    <mergeCell ref="B97:E97"/>
    <mergeCell ref="B98:E98"/>
    <mergeCell ref="B115:G115"/>
    <mergeCell ref="B116:G116"/>
    <mergeCell ref="C120:D120"/>
    <mergeCell ref="C121:D121"/>
    <mergeCell ref="F120:G120"/>
    <mergeCell ref="F121:G121"/>
  </mergeCells>
  <pageMargins left="0.25" right="0.25" top="0.75" bottom="0.75" header="0.3" footer="0.3"/>
  <pageSetup paperSize="9" scale="65" fitToHeight="0" orientation="portrait" r:id="rId1"/>
  <rowBreaks count="1" manualBreakCount="1">
    <brk id="68" max="6"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53C0C"/>
    <pageSetUpPr fitToPage="1"/>
  </sheetPr>
  <dimension ref="B2:M139"/>
  <sheetViews>
    <sheetView topLeftCell="A92" zoomScale="70" zoomScaleNormal="70" workbookViewId="0">
      <selection activeCell="B131" sqref="B131:I131"/>
    </sheetView>
  </sheetViews>
  <sheetFormatPr defaultRowHeight="15" x14ac:dyDescent="0.25"/>
  <cols>
    <col min="2" max="2" width="101.140625" customWidth="1"/>
    <col min="3" max="3" width="22" customWidth="1"/>
    <col min="4" max="4" width="23.140625" customWidth="1"/>
    <col min="5" max="5" width="21.5703125" customWidth="1"/>
    <col min="6" max="6" width="16.42578125" customWidth="1"/>
    <col min="7" max="7" width="20.85546875" customWidth="1"/>
    <col min="8" max="8" width="29.5703125" bestFit="1" customWidth="1"/>
    <col min="9" max="9" width="29.140625" bestFit="1" customWidth="1"/>
  </cols>
  <sheetData>
    <row r="2" spans="2:13" x14ac:dyDescent="0.25">
      <c r="B2" s="247" t="str">
        <f>paramEnte</f>
        <v>Município de Independência - RS</v>
      </c>
      <c r="C2" s="247"/>
      <c r="D2" s="247"/>
      <c r="E2" s="247"/>
      <c r="F2" s="247"/>
      <c r="G2" s="247"/>
      <c r="H2" s="247"/>
      <c r="I2" s="247"/>
    </row>
    <row r="3" spans="2:13" x14ac:dyDescent="0.25">
      <c r="B3" s="247" t="s">
        <v>125</v>
      </c>
      <c r="C3" s="247"/>
      <c r="D3" s="247"/>
      <c r="E3" s="247"/>
      <c r="F3" s="247"/>
      <c r="G3" s="247"/>
      <c r="H3" s="247"/>
      <c r="I3" s="247"/>
      <c r="M3" s="46"/>
    </row>
    <row r="4" spans="2:13" x14ac:dyDescent="0.25">
      <c r="B4" s="248" t="s">
        <v>523</v>
      </c>
      <c r="C4" s="248"/>
      <c r="D4" s="248"/>
      <c r="E4" s="248"/>
      <c r="F4" s="248"/>
      <c r="G4" s="248"/>
      <c r="H4" s="248"/>
      <c r="I4" s="248"/>
      <c r="J4" s="132"/>
      <c r="K4" s="132"/>
      <c r="L4" s="132"/>
      <c r="M4" s="132"/>
    </row>
    <row r="5" spans="2:13" x14ac:dyDescent="0.25">
      <c r="B5" s="247" t="s">
        <v>127</v>
      </c>
      <c r="C5" s="247"/>
      <c r="D5" s="247"/>
      <c r="E5" s="247"/>
      <c r="F5" s="247"/>
      <c r="G5" s="247"/>
      <c r="H5" s="247"/>
      <c r="I5" s="247"/>
    </row>
    <row r="6" spans="2:13" x14ac:dyDescent="0.25">
      <c r="B6" s="249" t="str">
        <f>UPPER(TEXT(paramDataBase,"mmmm \d\e aaaa"))</f>
        <v>JANEIRO DE 1900</v>
      </c>
      <c r="C6" s="249"/>
      <c r="D6" s="249"/>
      <c r="E6" s="249"/>
      <c r="F6" s="249"/>
      <c r="G6" s="249"/>
      <c r="H6" s="249"/>
      <c r="I6" s="249"/>
      <c r="J6" s="45"/>
      <c r="K6" s="45"/>
      <c r="L6" s="45"/>
      <c r="M6" s="45"/>
    </row>
    <row r="7" spans="2:13" x14ac:dyDescent="0.25">
      <c r="B7" s="46"/>
      <c r="C7" s="46"/>
      <c r="D7" s="46"/>
      <c r="E7" s="46"/>
      <c r="F7" s="46"/>
      <c r="G7" s="46"/>
      <c r="H7" s="46"/>
      <c r="I7" s="46"/>
    </row>
    <row r="8" spans="2:13" ht="15.75" customHeight="1" x14ac:dyDescent="0.25">
      <c r="B8" s="250" t="s">
        <v>524</v>
      </c>
      <c r="C8" s="250"/>
      <c r="D8" s="250"/>
      <c r="E8" s="250"/>
      <c r="F8" s="250"/>
      <c r="G8" s="250"/>
      <c r="H8" s="250"/>
      <c r="I8" s="174" t="s">
        <v>129</v>
      </c>
      <c r="J8" s="170"/>
      <c r="K8" s="170"/>
      <c r="L8" s="170"/>
    </row>
    <row r="9" spans="2:13" x14ac:dyDescent="0.25">
      <c r="B9" s="273" t="s">
        <v>525</v>
      </c>
      <c r="C9" s="257"/>
      <c r="D9" s="257"/>
      <c r="E9" s="257"/>
      <c r="F9" s="257"/>
      <c r="G9" s="257"/>
      <c r="H9" s="257"/>
      <c r="I9" s="268"/>
    </row>
    <row r="10" spans="2:13" x14ac:dyDescent="0.25">
      <c r="B10" s="227" t="s">
        <v>526</v>
      </c>
      <c r="C10" s="243"/>
      <c r="D10" s="243"/>
      <c r="E10" s="243"/>
      <c r="F10" s="243"/>
      <c r="G10" s="243"/>
      <c r="H10" s="244" t="s">
        <v>132</v>
      </c>
      <c r="I10" s="10" t="str">
        <f>"Até o Bimestre/"&amp;YEAR(paramDataBase)</f>
        <v>Até o Bimestre/1900</v>
      </c>
    </row>
    <row r="11" spans="2:13" x14ac:dyDescent="0.25">
      <c r="B11" s="228"/>
      <c r="C11" s="244"/>
      <c r="D11" s="244"/>
      <c r="E11" s="244"/>
      <c r="F11" s="244"/>
      <c r="G11" s="244"/>
      <c r="H11" s="244"/>
      <c r="I11" s="10" t="s">
        <v>133</v>
      </c>
    </row>
    <row r="12" spans="2:13" x14ac:dyDescent="0.25">
      <c r="B12" s="229"/>
      <c r="C12" s="252"/>
      <c r="D12" s="252"/>
      <c r="E12" s="252"/>
      <c r="F12" s="252"/>
      <c r="G12" s="252"/>
      <c r="H12" s="252"/>
      <c r="I12" s="12" t="s">
        <v>138</v>
      </c>
    </row>
    <row r="13" spans="2:13" x14ac:dyDescent="0.25">
      <c r="B13" s="230" t="s">
        <v>527</v>
      </c>
      <c r="C13" s="231"/>
      <c r="D13" s="231"/>
      <c r="E13" s="231"/>
      <c r="F13" s="231"/>
      <c r="G13" s="231"/>
      <c r="H13" s="65">
        <f>H14+H20+H21+H32+H24</f>
        <v>0</v>
      </c>
      <c r="I13" s="66">
        <f>I14+I20+I21+I32+I24</f>
        <v>0</v>
      </c>
    </row>
    <row r="14" spans="2:13" x14ac:dyDescent="0.25">
      <c r="B14" s="283" t="s">
        <v>420</v>
      </c>
      <c r="C14" s="284"/>
      <c r="D14" s="284"/>
      <c r="E14" s="284"/>
      <c r="F14" s="284"/>
      <c r="G14" s="284"/>
      <c r="H14" s="31"/>
      <c r="I14" s="32"/>
    </row>
    <row r="15" spans="2:13" x14ac:dyDescent="0.25">
      <c r="B15" s="279" t="s">
        <v>421</v>
      </c>
      <c r="C15" s="280"/>
      <c r="D15" s="280"/>
      <c r="E15" s="280"/>
      <c r="F15" s="280"/>
      <c r="G15" s="280"/>
      <c r="H15" s="31"/>
      <c r="I15" s="32"/>
    </row>
    <row r="16" spans="2:13" x14ac:dyDescent="0.25">
      <c r="B16" s="279" t="s">
        <v>422</v>
      </c>
      <c r="C16" s="280"/>
      <c r="D16" s="280"/>
      <c r="E16" s="280"/>
      <c r="F16" s="280"/>
      <c r="G16" s="280"/>
      <c r="H16" s="31"/>
      <c r="I16" s="32"/>
    </row>
    <row r="17" spans="2:9" x14ac:dyDescent="0.25">
      <c r="B17" s="279" t="s">
        <v>423</v>
      </c>
      <c r="C17" s="280"/>
      <c r="D17" s="280"/>
      <c r="E17" s="280"/>
      <c r="F17" s="280"/>
      <c r="G17" s="280"/>
      <c r="H17" s="31"/>
      <c r="I17" s="32"/>
    </row>
    <row r="18" spans="2:9" x14ac:dyDescent="0.25">
      <c r="B18" s="279" t="s">
        <v>424</v>
      </c>
      <c r="C18" s="280"/>
      <c r="D18" s="280"/>
      <c r="E18" s="280"/>
      <c r="F18" s="280"/>
      <c r="G18" s="280"/>
      <c r="H18" s="31"/>
      <c r="I18" s="32"/>
    </row>
    <row r="19" spans="2:9" x14ac:dyDescent="0.25">
      <c r="B19" s="279" t="s">
        <v>425</v>
      </c>
      <c r="C19" s="280"/>
      <c r="D19" s="280"/>
      <c r="E19" s="280"/>
      <c r="F19" s="280"/>
      <c r="G19" s="280"/>
      <c r="H19" s="31">
        <f>H14-SUM(H15:H18)</f>
        <v>0</v>
      </c>
      <c r="I19" s="32">
        <f>I14-SUM(I15:I18)</f>
        <v>0</v>
      </c>
    </row>
    <row r="20" spans="2:9" x14ac:dyDescent="0.25">
      <c r="B20" s="283" t="s">
        <v>426</v>
      </c>
      <c r="C20" s="284"/>
      <c r="D20" s="284"/>
      <c r="E20" s="284"/>
      <c r="F20" s="284"/>
      <c r="G20" s="284"/>
      <c r="H20" s="31"/>
      <c r="I20" s="32"/>
    </row>
    <row r="21" spans="2:9" x14ac:dyDescent="0.25">
      <c r="B21" s="283" t="s">
        <v>427</v>
      </c>
      <c r="C21" s="284"/>
      <c r="D21" s="284"/>
      <c r="E21" s="284"/>
      <c r="F21" s="284"/>
      <c r="G21" s="284"/>
      <c r="H21" s="31"/>
      <c r="I21" s="32"/>
    </row>
    <row r="22" spans="2:9" x14ac:dyDescent="0.25">
      <c r="B22" s="279" t="s">
        <v>528</v>
      </c>
      <c r="C22" s="280"/>
      <c r="D22" s="280"/>
      <c r="E22" s="280"/>
      <c r="F22" s="280"/>
      <c r="G22" s="280"/>
      <c r="H22" s="31"/>
      <c r="I22" s="32"/>
    </row>
    <row r="23" spans="2:9" x14ac:dyDescent="0.25">
      <c r="B23" s="279" t="s">
        <v>429</v>
      </c>
      <c r="C23" s="280"/>
      <c r="D23" s="280"/>
      <c r="E23" s="280"/>
      <c r="F23" s="280"/>
      <c r="G23" s="280"/>
      <c r="H23" s="31">
        <f>H21-H22</f>
        <v>0</v>
      </c>
      <c r="I23" s="32">
        <f>I21-I22</f>
        <v>0</v>
      </c>
    </row>
    <row r="24" spans="2:9" x14ac:dyDescent="0.25">
      <c r="B24" s="283" t="s">
        <v>433</v>
      </c>
      <c r="C24" s="284"/>
      <c r="D24" s="284"/>
      <c r="E24" s="284"/>
      <c r="F24" s="284"/>
      <c r="G24" s="284"/>
      <c r="H24" s="31"/>
      <c r="I24" s="32"/>
    </row>
    <row r="25" spans="2:9" x14ac:dyDescent="0.25">
      <c r="B25" s="279" t="s">
        <v>529</v>
      </c>
      <c r="C25" s="280"/>
      <c r="D25" s="280"/>
      <c r="E25" s="280"/>
      <c r="F25" s="280"/>
      <c r="G25" s="280"/>
      <c r="H25" s="31"/>
      <c r="I25" s="32"/>
    </row>
    <row r="26" spans="2:9" x14ac:dyDescent="0.25">
      <c r="B26" s="279" t="s">
        <v>530</v>
      </c>
      <c r="C26" s="280"/>
      <c r="D26" s="280"/>
      <c r="E26" s="280"/>
      <c r="F26" s="280"/>
      <c r="G26" s="280"/>
      <c r="H26" s="31"/>
      <c r="I26" s="32"/>
    </row>
    <row r="27" spans="2:9" x14ac:dyDescent="0.25">
      <c r="B27" s="279" t="s">
        <v>531</v>
      </c>
      <c r="C27" s="280"/>
      <c r="D27" s="280"/>
      <c r="E27" s="280"/>
      <c r="F27" s="280"/>
      <c r="G27" s="280"/>
      <c r="H27" s="31"/>
      <c r="I27" s="32"/>
    </row>
    <row r="28" spans="2:9" x14ac:dyDescent="0.25">
      <c r="B28" s="279" t="s">
        <v>532</v>
      </c>
      <c r="C28" s="280"/>
      <c r="D28" s="280"/>
      <c r="E28" s="280"/>
      <c r="F28" s="280"/>
      <c r="G28" s="280"/>
      <c r="H28" s="31"/>
      <c r="I28" s="32"/>
    </row>
    <row r="29" spans="2:9" x14ac:dyDescent="0.25">
      <c r="B29" s="279" t="s">
        <v>533</v>
      </c>
      <c r="C29" s="280"/>
      <c r="D29" s="280"/>
      <c r="E29" s="280"/>
      <c r="F29" s="280"/>
      <c r="G29" s="280"/>
      <c r="H29" s="31"/>
      <c r="I29" s="32"/>
    </row>
    <row r="30" spans="2:9" x14ac:dyDescent="0.25">
      <c r="B30" s="279" t="s">
        <v>439</v>
      </c>
      <c r="C30" s="280"/>
      <c r="D30" s="280"/>
      <c r="E30" s="280"/>
      <c r="F30" s="280"/>
      <c r="G30" s="280"/>
      <c r="H30" s="31"/>
      <c r="I30" s="32"/>
    </row>
    <row r="31" spans="2:9" x14ac:dyDescent="0.25">
      <c r="B31" s="279" t="s">
        <v>440</v>
      </c>
      <c r="C31" s="280"/>
      <c r="D31" s="280"/>
      <c r="E31" s="280"/>
      <c r="F31" s="280"/>
      <c r="G31" s="280"/>
      <c r="H31" s="31">
        <f>H24-SUM(H25:H30)</f>
        <v>0</v>
      </c>
      <c r="I31" s="32">
        <f>I24-SUM(I25:I30)</f>
        <v>0</v>
      </c>
    </row>
    <row r="32" spans="2:9" x14ac:dyDescent="0.25">
      <c r="B32" s="283" t="s">
        <v>184</v>
      </c>
      <c r="C32" s="284"/>
      <c r="D32" s="284"/>
      <c r="E32" s="284"/>
      <c r="F32" s="284"/>
      <c r="G32" s="284"/>
      <c r="H32" s="31"/>
      <c r="I32" s="32"/>
    </row>
    <row r="33" spans="2:9" x14ac:dyDescent="0.25">
      <c r="B33" s="279" t="s">
        <v>534</v>
      </c>
      <c r="C33" s="280"/>
      <c r="D33" s="280"/>
      <c r="E33" s="280"/>
      <c r="F33" s="280"/>
      <c r="G33" s="280"/>
      <c r="H33" s="31"/>
      <c r="I33" s="32"/>
    </row>
    <row r="34" spans="2:9" x14ac:dyDescent="0.25">
      <c r="B34" s="279" t="s">
        <v>535</v>
      </c>
      <c r="C34" s="280"/>
      <c r="D34" s="280"/>
      <c r="E34" s="280"/>
      <c r="F34" s="280"/>
      <c r="G34" s="280"/>
      <c r="H34" s="31">
        <f>H32-H33</f>
        <v>0</v>
      </c>
      <c r="I34" s="32">
        <f>I32-I33</f>
        <v>0</v>
      </c>
    </row>
    <row r="35" spans="2:9" x14ac:dyDescent="0.25">
      <c r="B35" s="266" t="s">
        <v>536</v>
      </c>
      <c r="C35" s="267"/>
      <c r="D35" s="267"/>
      <c r="E35" s="267"/>
      <c r="F35" s="267"/>
      <c r="G35" s="267"/>
      <c r="H35" s="31">
        <f>H13-(H22+H33)</f>
        <v>0</v>
      </c>
      <c r="I35" s="32">
        <f>I13-(I22+I33)</f>
        <v>0</v>
      </c>
    </row>
    <row r="36" spans="2:9" x14ac:dyDescent="0.25">
      <c r="B36" s="266" t="s">
        <v>537</v>
      </c>
      <c r="C36" s="267"/>
      <c r="D36" s="267"/>
      <c r="E36" s="267"/>
      <c r="F36" s="267"/>
      <c r="G36" s="267"/>
      <c r="H36" s="31"/>
      <c r="I36" s="32"/>
    </row>
    <row r="37" spans="2:9" x14ac:dyDescent="0.25">
      <c r="B37" s="266" t="s">
        <v>538</v>
      </c>
      <c r="C37" s="267"/>
      <c r="D37" s="267"/>
      <c r="E37" s="267"/>
      <c r="F37" s="267"/>
      <c r="G37" s="267"/>
      <c r="H37" s="31"/>
      <c r="I37" s="32"/>
    </row>
    <row r="38" spans="2:9" x14ac:dyDescent="0.25">
      <c r="B38" s="266" t="s">
        <v>539</v>
      </c>
      <c r="C38" s="267"/>
      <c r="D38" s="267"/>
      <c r="E38" s="267"/>
      <c r="F38" s="267"/>
      <c r="G38" s="267"/>
      <c r="H38" s="31">
        <f>H39+H40+H41+H45+H48</f>
        <v>0</v>
      </c>
      <c r="I38" s="32">
        <f>I39+I40+I41+I45+I48</f>
        <v>0</v>
      </c>
    </row>
    <row r="39" spans="2:9" x14ac:dyDescent="0.25">
      <c r="B39" s="283" t="s">
        <v>540</v>
      </c>
      <c r="C39" s="284"/>
      <c r="D39" s="284"/>
      <c r="E39" s="284"/>
      <c r="F39" s="284"/>
      <c r="G39" s="284"/>
      <c r="H39" s="31"/>
      <c r="I39" s="32"/>
    </row>
    <row r="40" spans="2:9" x14ac:dyDescent="0.25">
      <c r="B40" s="283" t="s">
        <v>541</v>
      </c>
      <c r="C40" s="284"/>
      <c r="D40" s="284"/>
      <c r="E40" s="284"/>
      <c r="F40" s="284"/>
      <c r="G40" s="284"/>
      <c r="H40" s="31"/>
      <c r="I40" s="32"/>
    </row>
    <row r="41" spans="2:9" x14ac:dyDescent="0.25">
      <c r="B41" s="283" t="s">
        <v>542</v>
      </c>
      <c r="C41" s="284"/>
      <c r="D41" s="284"/>
      <c r="E41" s="284"/>
      <c r="F41" s="284"/>
      <c r="G41" s="284"/>
      <c r="H41" s="31"/>
      <c r="I41" s="32"/>
    </row>
    <row r="42" spans="2:9" x14ac:dyDescent="0.25">
      <c r="B42" s="279" t="s">
        <v>543</v>
      </c>
      <c r="C42" s="280"/>
      <c r="D42" s="280"/>
      <c r="E42" s="280"/>
      <c r="F42" s="280"/>
      <c r="G42" s="280"/>
      <c r="H42" s="31"/>
      <c r="I42" s="32"/>
    </row>
    <row r="43" spans="2:9" x14ac:dyDescent="0.25">
      <c r="B43" s="279" t="s">
        <v>544</v>
      </c>
      <c r="C43" s="280"/>
      <c r="D43" s="280"/>
      <c r="E43" s="280"/>
      <c r="F43" s="280"/>
      <c r="G43" s="280"/>
      <c r="H43" s="31"/>
      <c r="I43" s="32"/>
    </row>
    <row r="44" spans="2:9" x14ac:dyDescent="0.25">
      <c r="B44" s="279" t="s">
        <v>545</v>
      </c>
      <c r="C44" s="280"/>
      <c r="D44" s="280"/>
      <c r="E44" s="280"/>
      <c r="F44" s="280"/>
      <c r="G44" s="280"/>
      <c r="H44" s="31">
        <f>H41-SUM(H42:H43)</f>
        <v>0</v>
      </c>
      <c r="I44" s="32">
        <f>I41-SUM(I42:I43)</f>
        <v>0</v>
      </c>
    </row>
    <row r="45" spans="2:9" x14ac:dyDescent="0.25">
      <c r="B45" s="283" t="s">
        <v>546</v>
      </c>
      <c r="C45" s="284"/>
      <c r="D45" s="284"/>
      <c r="E45" s="284"/>
      <c r="F45" s="284"/>
      <c r="G45" s="284"/>
      <c r="H45" s="31"/>
      <c r="I45" s="32"/>
    </row>
    <row r="46" spans="2:9" x14ac:dyDescent="0.25">
      <c r="B46" s="279" t="s">
        <v>547</v>
      </c>
      <c r="C46" s="280"/>
      <c r="D46" s="280"/>
      <c r="E46" s="280"/>
      <c r="F46" s="280"/>
      <c r="G46" s="280"/>
      <c r="H46" s="31"/>
      <c r="I46" s="32"/>
    </row>
    <row r="47" spans="2:9" x14ac:dyDescent="0.25">
      <c r="B47" s="279" t="s">
        <v>548</v>
      </c>
      <c r="C47" s="280"/>
      <c r="D47" s="280"/>
      <c r="E47" s="280"/>
      <c r="F47" s="280"/>
      <c r="G47" s="280"/>
      <c r="H47" s="31">
        <f>H45-H46</f>
        <v>0</v>
      </c>
      <c r="I47" s="32">
        <f>I45-I46</f>
        <v>0</v>
      </c>
    </row>
    <row r="48" spans="2:9" x14ac:dyDescent="0.25">
      <c r="B48" s="283" t="s">
        <v>469</v>
      </c>
      <c r="C48" s="284"/>
      <c r="D48" s="284"/>
      <c r="E48" s="284"/>
      <c r="F48" s="284"/>
      <c r="G48" s="284"/>
      <c r="H48" s="31"/>
      <c r="I48" s="32"/>
    </row>
    <row r="49" spans="2:9" x14ac:dyDescent="0.25">
      <c r="B49" s="279" t="s">
        <v>549</v>
      </c>
      <c r="C49" s="280"/>
      <c r="D49" s="280"/>
      <c r="E49" s="280"/>
      <c r="F49" s="280"/>
      <c r="G49" s="280"/>
      <c r="H49" s="31"/>
      <c r="I49" s="32"/>
    </row>
    <row r="50" spans="2:9" x14ac:dyDescent="0.25">
      <c r="B50" s="279" t="s">
        <v>550</v>
      </c>
      <c r="C50" s="280"/>
      <c r="D50" s="280"/>
      <c r="E50" s="280"/>
      <c r="F50" s="280"/>
      <c r="G50" s="280"/>
      <c r="H50" s="31">
        <f>H48-H49</f>
        <v>0</v>
      </c>
      <c r="I50" s="32">
        <f>I48-I49</f>
        <v>0</v>
      </c>
    </row>
    <row r="51" spans="2:9" x14ac:dyDescent="0.25">
      <c r="B51" s="266" t="s">
        <v>551</v>
      </c>
      <c r="C51" s="267"/>
      <c r="D51" s="267"/>
      <c r="E51" s="267"/>
      <c r="F51" s="267"/>
      <c r="G51" s="267"/>
      <c r="H51" s="31">
        <f>H38-(H39+H40+H42+H43+H49)</f>
        <v>0</v>
      </c>
      <c r="I51" s="32">
        <f>I38-(I39+I40+I42+I43+I49)</f>
        <v>0</v>
      </c>
    </row>
    <row r="52" spans="2:9" x14ac:dyDescent="0.25">
      <c r="B52" s="266" t="s">
        <v>552</v>
      </c>
      <c r="C52" s="267"/>
      <c r="D52" s="267"/>
      <c r="E52" s="267"/>
      <c r="F52" s="267"/>
      <c r="G52" s="267"/>
      <c r="H52" s="31"/>
      <c r="I52" s="32"/>
    </row>
    <row r="53" spans="2:9" x14ac:dyDescent="0.25">
      <c r="B53" s="333" t="s">
        <v>553</v>
      </c>
      <c r="C53" s="334"/>
      <c r="D53" s="334"/>
      <c r="E53" s="334"/>
      <c r="F53" s="334"/>
      <c r="G53" s="334"/>
      <c r="H53" s="68"/>
      <c r="I53" s="69"/>
    </row>
    <row r="54" spans="2:9" x14ac:dyDescent="0.25">
      <c r="B54" s="331" t="s">
        <v>554</v>
      </c>
      <c r="C54" s="332"/>
      <c r="D54" s="332"/>
      <c r="E54" s="332"/>
      <c r="F54" s="332"/>
      <c r="G54" s="332"/>
      <c r="H54" s="180">
        <f>H35+H36+H51+H52</f>
        <v>0</v>
      </c>
      <c r="I54" s="181">
        <f>I35+I36+I51+I52</f>
        <v>0</v>
      </c>
    </row>
    <row r="55" spans="2:9" ht="15.75" customHeight="1" x14ac:dyDescent="0.25">
      <c r="B55" s="327" t="s">
        <v>555</v>
      </c>
      <c r="C55" s="328"/>
      <c r="D55" s="328"/>
      <c r="E55" s="328"/>
      <c r="F55" s="328"/>
      <c r="G55" s="328"/>
      <c r="H55" s="182">
        <f>H35+H51</f>
        <v>0</v>
      </c>
      <c r="I55" s="183">
        <f>I35+I51</f>
        <v>0</v>
      </c>
    </row>
    <row r="56" spans="2:9" ht="15.75" customHeight="1" x14ac:dyDescent="0.25"/>
    <row r="57" spans="2:9" x14ac:dyDescent="0.25">
      <c r="B57" s="234" t="s">
        <v>556</v>
      </c>
      <c r="C57" s="251" t="s">
        <v>217</v>
      </c>
      <c r="D57" s="241" t="str">
        <f>"Até o Bimestre/"&amp;YEAR(paramDataBase)</f>
        <v>Até o Bimestre/1900</v>
      </c>
      <c r="E57" s="241"/>
      <c r="F57" s="241"/>
      <c r="G57" s="241"/>
      <c r="H57" s="241"/>
      <c r="I57" s="242"/>
    </row>
    <row r="58" spans="2:9" x14ac:dyDescent="0.25">
      <c r="B58" s="228"/>
      <c r="C58" s="244"/>
      <c r="D58" s="244" t="s">
        <v>218</v>
      </c>
      <c r="E58" s="244" t="s">
        <v>219</v>
      </c>
      <c r="F58" s="244" t="s">
        <v>220</v>
      </c>
      <c r="G58" s="4" t="s">
        <v>260</v>
      </c>
      <c r="H58" s="244" t="s">
        <v>260</v>
      </c>
      <c r="I58" s="329"/>
    </row>
    <row r="59" spans="2:9" x14ac:dyDescent="0.25">
      <c r="B59" s="228"/>
      <c r="C59" s="244"/>
      <c r="D59" s="244"/>
      <c r="E59" s="244"/>
      <c r="F59" s="244"/>
      <c r="G59" s="244" t="s">
        <v>557</v>
      </c>
      <c r="H59" s="252" t="s">
        <v>223</v>
      </c>
      <c r="I59" s="330"/>
    </row>
    <row r="60" spans="2:9" x14ac:dyDescent="0.25">
      <c r="B60" s="228"/>
      <c r="C60" s="244"/>
      <c r="D60" s="244"/>
      <c r="E60" s="244"/>
      <c r="F60" s="244"/>
      <c r="G60" s="244"/>
      <c r="H60" s="4" t="s">
        <v>558</v>
      </c>
      <c r="I60" s="85" t="s">
        <v>559</v>
      </c>
    </row>
    <row r="61" spans="2:9" x14ac:dyDescent="0.25">
      <c r="B61" s="229"/>
      <c r="C61" s="252"/>
      <c r="D61" s="252"/>
      <c r="E61" s="252"/>
      <c r="F61" s="5" t="s">
        <v>138</v>
      </c>
      <c r="G61" s="5" t="s">
        <v>139</v>
      </c>
      <c r="H61" s="5"/>
      <c r="I61" s="6" t="s">
        <v>141</v>
      </c>
    </row>
    <row r="62" spans="2:9" x14ac:dyDescent="0.25">
      <c r="B62" s="49" t="s">
        <v>560</v>
      </c>
      <c r="C62" s="65">
        <f t="shared" ref="C62:I62" si="0">SUM(C63:C65)</f>
        <v>0</v>
      </c>
      <c r="D62" s="65">
        <f t="shared" si="0"/>
        <v>0</v>
      </c>
      <c r="E62" s="65">
        <f t="shared" si="0"/>
        <v>0</v>
      </c>
      <c r="F62" s="65">
        <f t="shared" si="0"/>
        <v>0</v>
      </c>
      <c r="G62" s="65">
        <f t="shared" si="0"/>
        <v>0</v>
      </c>
      <c r="H62" s="65">
        <f t="shared" si="0"/>
        <v>0</v>
      </c>
      <c r="I62" s="66">
        <f t="shared" si="0"/>
        <v>0</v>
      </c>
    </row>
    <row r="63" spans="2:9" x14ac:dyDescent="0.25">
      <c r="B63" s="33" t="s">
        <v>507</v>
      </c>
      <c r="C63" s="31"/>
      <c r="D63" s="31"/>
      <c r="E63" s="31"/>
      <c r="F63" s="31"/>
      <c r="G63" s="31"/>
      <c r="H63" s="31"/>
      <c r="I63" s="32"/>
    </row>
    <row r="64" spans="2:9" x14ac:dyDescent="0.25">
      <c r="B64" s="33" t="s">
        <v>561</v>
      </c>
      <c r="C64" s="31"/>
      <c r="D64" s="31"/>
      <c r="E64" s="31"/>
      <c r="F64" s="31"/>
      <c r="G64" s="31"/>
      <c r="H64" s="31"/>
      <c r="I64" s="32"/>
    </row>
    <row r="65" spans="2:9" x14ac:dyDescent="0.25">
      <c r="B65" s="33" t="s">
        <v>562</v>
      </c>
      <c r="C65" s="31"/>
      <c r="D65" s="31"/>
      <c r="E65" s="31"/>
      <c r="F65" s="31"/>
      <c r="G65" s="31"/>
      <c r="H65" s="31"/>
      <c r="I65" s="32"/>
    </row>
    <row r="66" spans="2:9" x14ac:dyDescent="0.25">
      <c r="B66" s="57" t="s">
        <v>563</v>
      </c>
      <c r="C66" s="31">
        <f t="shared" ref="C66:I66" si="1">C62-C64</f>
        <v>0</v>
      </c>
      <c r="D66" s="31">
        <f t="shared" si="1"/>
        <v>0</v>
      </c>
      <c r="E66" s="31">
        <f t="shared" si="1"/>
        <v>0</v>
      </c>
      <c r="F66" s="31">
        <f t="shared" si="1"/>
        <v>0</v>
      </c>
      <c r="G66" s="31">
        <f t="shared" si="1"/>
        <v>0</v>
      </c>
      <c r="H66" s="31">
        <f t="shared" si="1"/>
        <v>0</v>
      </c>
      <c r="I66" s="32">
        <f t="shared" si="1"/>
        <v>0</v>
      </c>
    </row>
    <row r="67" spans="2:9" x14ac:dyDescent="0.25">
      <c r="B67" s="57" t="s">
        <v>564</v>
      </c>
      <c r="C67" s="31"/>
      <c r="D67" s="31"/>
      <c r="E67" s="31"/>
      <c r="F67" s="31"/>
      <c r="G67" s="31"/>
      <c r="H67" s="31"/>
      <c r="I67" s="32"/>
    </row>
    <row r="68" spans="2:9" x14ac:dyDescent="0.25">
      <c r="B68" s="57" t="s">
        <v>565</v>
      </c>
      <c r="C68" s="31"/>
      <c r="D68" s="31"/>
      <c r="E68" s="31"/>
      <c r="F68" s="31"/>
      <c r="G68" s="31"/>
      <c r="H68" s="31"/>
      <c r="I68" s="32"/>
    </row>
    <row r="69" spans="2:9" x14ac:dyDescent="0.25">
      <c r="B69" s="57" t="s">
        <v>566</v>
      </c>
      <c r="C69" s="31">
        <f t="shared" ref="C69:I69" si="2">C70+C71+C76</f>
        <v>0</v>
      </c>
      <c r="D69" s="31">
        <f t="shared" si="2"/>
        <v>0</v>
      </c>
      <c r="E69" s="31">
        <f t="shared" si="2"/>
        <v>0</v>
      </c>
      <c r="F69" s="31">
        <f t="shared" si="2"/>
        <v>0</v>
      </c>
      <c r="G69" s="31">
        <f t="shared" si="2"/>
        <v>0</v>
      </c>
      <c r="H69" s="31">
        <f t="shared" si="2"/>
        <v>0</v>
      </c>
      <c r="I69" s="32">
        <f t="shared" si="2"/>
        <v>0</v>
      </c>
    </row>
    <row r="70" spans="2:9" x14ac:dyDescent="0.25">
      <c r="B70" s="33" t="s">
        <v>567</v>
      </c>
      <c r="C70" s="31"/>
      <c r="D70" s="31"/>
      <c r="E70" s="31"/>
      <c r="F70" s="31"/>
      <c r="G70" s="31"/>
      <c r="H70" s="31"/>
      <c r="I70" s="32"/>
    </row>
    <row r="71" spans="2:9" x14ac:dyDescent="0.25">
      <c r="B71" s="33" t="s">
        <v>568</v>
      </c>
      <c r="C71" s="31"/>
      <c r="D71" s="31"/>
      <c r="E71" s="31"/>
      <c r="F71" s="31"/>
      <c r="G71" s="31"/>
      <c r="H71" s="31"/>
      <c r="I71" s="32"/>
    </row>
    <row r="72" spans="2:9" x14ac:dyDescent="0.25">
      <c r="B72" s="34" t="s">
        <v>569</v>
      </c>
      <c r="C72" s="31"/>
      <c r="D72" s="31"/>
      <c r="E72" s="31"/>
      <c r="F72" s="31"/>
      <c r="G72" s="31"/>
      <c r="H72" s="31"/>
      <c r="I72" s="32"/>
    </row>
    <row r="73" spans="2:9" x14ac:dyDescent="0.25">
      <c r="B73" s="34" t="s">
        <v>570</v>
      </c>
      <c r="C73" s="31"/>
      <c r="D73" s="31"/>
      <c r="E73" s="31"/>
      <c r="F73" s="31"/>
      <c r="G73" s="31"/>
      <c r="H73" s="31"/>
      <c r="I73" s="32"/>
    </row>
    <row r="74" spans="2:9" x14ac:dyDescent="0.25">
      <c r="B74" s="34" t="s">
        <v>571</v>
      </c>
      <c r="C74" s="31"/>
      <c r="D74" s="31"/>
      <c r="E74" s="31"/>
      <c r="F74" s="31"/>
      <c r="G74" s="31"/>
      <c r="H74" s="31"/>
      <c r="I74" s="32"/>
    </row>
    <row r="75" spans="2:9" x14ac:dyDescent="0.25">
      <c r="B75" s="34" t="s">
        <v>572</v>
      </c>
      <c r="C75" s="31"/>
      <c r="D75" s="31"/>
      <c r="E75" s="31"/>
      <c r="F75" s="31"/>
      <c r="G75" s="31"/>
      <c r="H75" s="31"/>
      <c r="I75" s="32"/>
    </row>
    <row r="76" spans="2:9" x14ac:dyDescent="0.25">
      <c r="B76" s="33" t="s">
        <v>573</v>
      </c>
      <c r="C76" s="31"/>
      <c r="D76" s="31"/>
      <c r="E76" s="31"/>
      <c r="F76" s="31"/>
      <c r="G76" s="31"/>
      <c r="H76" s="31"/>
      <c r="I76" s="32"/>
    </row>
    <row r="77" spans="2:9" x14ac:dyDescent="0.25">
      <c r="B77" s="179" t="s">
        <v>574</v>
      </c>
      <c r="C77" s="31">
        <f t="shared" ref="C77:I77" si="3">C69-(C72+C73+C74+C76)</f>
        <v>0</v>
      </c>
      <c r="D77" s="31">
        <f t="shared" si="3"/>
        <v>0</v>
      </c>
      <c r="E77" s="31">
        <f t="shared" si="3"/>
        <v>0</v>
      </c>
      <c r="F77" s="31">
        <f t="shared" si="3"/>
        <v>0</v>
      </c>
      <c r="G77" s="31">
        <f t="shared" si="3"/>
        <v>0</v>
      </c>
      <c r="H77" s="31">
        <f t="shared" si="3"/>
        <v>0</v>
      </c>
      <c r="I77" s="32">
        <f t="shared" si="3"/>
        <v>0</v>
      </c>
    </row>
    <row r="78" spans="2:9" x14ac:dyDescent="0.25">
      <c r="B78" s="179" t="s">
        <v>575</v>
      </c>
      <c r="C78" s="31"/>
      <c r="D78" s="31"/>
      <c r="E78" s="31"/>
      <c r="F78" s="31"/>
      <c r="G78" s="31"/>
      <c r="H78" s="31"/>
      <c r="I78" s="32"/>
    </row>
    <row r="79" spans="2:9" x14ac:dyDescent="0.25">
      <c r="B79" s="57" t="s">
        <v>576</v>
      </c>
      <c r="C79" s="31"/>
      <c r="D79" s="31"/>
      <c r="E79" s="31"/>
      <c r="F79" s="31"/>
      <c r="G79" s="31"/>
      <c r="H79" s="31"/>
      <c r="I79" s="32"/>
    </row>
    <row r="80" spans="2:9" x14ac:dyDescent="0.25">
      <c r="B80" s="76" t="s">
        <v>577</v>
      </c>
      <c r="C80" s="68"/>
      <c r="D80" s="68"/>
      <c r="E80" s="68"/>
      <c r="F80" s="68"/>
      <c r="G80" s="68"/>
      <c r="H80" s="68"/>
      <c r="I80" s="69"/>
    </row>
    <row r="81" spans="2:9" x14ac:dyDescent="0.25">
      <c r="B81" s="184" t="s">
        <v>578</v>
      </c>
      <c r="C81" s="180">
        <f t="shared" ref="C81:I81" si="4">C66+C67+C77+C78+C79</f>
        <v>0</v>
      </c>
      <c r="D81" s="180">
        <f t="shared" si="4"/>
        <v>0</v>
      </c>
      <c r="E81" s="180">
        <f t="shared" si="4"/>
        <v>0</v>
      </c>
      <c r="F81" s="180">
        <f t="shared" si="4"/>
        <v>0</v>
      </c>
      <c r="G81" s="180">
        <f t="shared" si="4"/>
        <v>0</v>
      </c>
      <c r="H81" s="180">
        <f t="shared" si="4"/>
        <v>0</v>
      </c>
      <c r="I81" s="181">
        <f t="shared" si="4"/>
        <v>0</v>
      </c>
    </row>
    <row r="82" spans="2:9" ht="15.75" customHeight="1" x14ac:dyDescent="0.25">
      <c r="B82" s="185" t="s">
        <v>579</v>
      </c>
      <c r="C82" s="182">
        <f t="shared" ref="C82:I82" si="5">C66+C77+C78</f>
        <v>0</v>
      </c>
      <c r="D82" s="182">
        <f t="shared" si="5"/>
        <v>0</v>
      </c>
      <c r="E82" s="182">
        <f t="shared" si="5"/>
        <v>0</v>
      </c>
      <c r="F82" s="182">
        <f t="shared" si="5"/>
        <v>0</v>
      </c>
      <c r="G82" s="182">
        <f t="shared" si="5"/>
        <v>0</v>
      </c>
      <c r="H82" s="182">
        <f t="shared" si="5"/>
        <v>0</v>
      </c>
      <c r="I82" s="183">
        <f t="shared" si="5"/>
        <v>0</v>
      </c>
    </row>
    <row r="83" spans="2:9" ht="15.75" customHeight="1" x14ac:dyDescent="0.25"/>
    <row r="84" spans="2:9" x14ac:dyDescent="0.25">
      <c r="B84" s="187" t="s">
        <v>580</v>
      </c>
      <c r="C84" s="314">
        <f>I54-(F81+G81+I81)</f>
        <v>0</v>
      </c>
      <c r="D84" s="314"/>
      <c r="E84" s="314"/>
      <c r="F84" s="314"/>
      <c r="G84" s="314"/>
      <c r="H84" s="314"/>
      <c r="I84" s="315"/>
    </row>
    <row r="85" spans="2:9" ht="15.75" customHeight="1" x14ac:dyDescent="0.25">
      <c r="B85" s="151" t="s">
        <v>581</v>
      </c>
      <c r="C85" s="316">
        <f>I55-(F82+G82+I82)</f>
        <v>0</v>
      </c>
      <c r="D85" s="316"/>
      <c r="E85" s="316"/>
      <c r="F85" s="316"/>
      <c r="G85" s="316"/>
      <c r="H85" s="316"/>
      <c r="I85" s="304"/>
    </row>
    <row r="86" spans="2:9" ht="15.75" customHeight="1" x14ac:dyDescent="0.25"/>
    <row r="87" spans="2:9" x14ac:dyDescent="0.25">
      <c r="B87" s="188" t="s">
        <v>582</v>
      </c>
      <c r="C87" s="298" t="s">
        <v>583</v>
      </c>
      <c r="D87" s="298"/>
      <c r="E87" s="298"/>
      <c r="F87" s="298"/>
      <c r="G87" s="298"/>
      <c r="H87" s="298"/>
      <c r="I87" s="299"/>
    </row>
    <row r="88" spans="2:9" ht="15.75" customHeight="1" x14ac:dyDescent="0.25">
      <c r="B88" s="186" t="s">
        <v>66</v>
      </c>
      <c r="C88" s="271">
        <f>'Valores manuais'!$D$17</f>
        <v>0</v>
      </c>
      <c r="D88" s="271"/>
      <c r="E88" s="271"/>
      <c r="F88" s="271"/>
      <c r="G88" s="271"/>
      <c r="H88" s="271"/>
      <c r="I88" s="272"/>
    </row>
    <row r="89" spans="2:9" ht="15.75" customHeight="1" x14ac:dyDescent="0.25"/>
    <row r="90" spans="2:9" x14ac:dyDescent="0.25">
      <c r="B90" s="259" t="s">
        <v>584</v>
      </c>
      <c r="C90" s="268" t="str">
        <f>"Até o Bimestre/"&amp;YEAR(paramDataBase)</f>
        <v>Até o Bimestre/1900</v>
      </c>
      <c r="D90" s="317"/>
      <c r="E90" s="317"/>
      <c r="F90" s="317"/>
      <c r="G90" s="317"/>
      <c r="H90" s="317"/>
      <c r="I90" s="317"/>
    </row>
    <row r="91" spans="2:9" x14ac:dyDescent="0.25">
      <c r="B91" s="260"/>
      <c r="C91" s="288" t="s">
        <v>585</v>
      </c>
      <c r="D91" s="288"/>
      <c r="E91" s="288"/>
      <c r="F91" s="288"/>
      <c r="G91" s="288"/>
      <c r="H91" s="288"/>
      <c r="I91" s="289"/>
    </row>
    <row r="92" spans="2:9" x14ac:dyDescent="0.25">
      <c r="B92" s="49" t="s">
        <v>586</v>
      </c>
      <c r="C92" s="318"/>
      <c r="D92" s="319"/>
      <c r="E92" s="319"/>
      <c r="F92" s="319"/>
      <c r="G92" s="319"/>
      <c r="H92" s="319"/>
      <c r="I92" s="319"/>
    </row>
    <row r="93" spans="2:9" ht="15.75" customHeight="1" x14ac:dyDescent="0.25">
      <c r="B93" s="21" t="s">
        <v>587</v>
      </c>
      <c r="C93" s="320"/>
      <c r="D93" s="321"/>
      <c r="E93" s="321"/>
      <c r="F93" s="321"/>
      <c r="G93" s="321"/>
      <c r="H93" s="321"/>
      <c r="I93" s="321"/>
    </row>
    <row r="94" spans="2:9" ht="15.75" customHeight="1" x14ac:dyDescent="0.25"/>
    <row r="95" spans="2:9" ht="15.75" customHeight="1" x14ac:dyDescent="0.25">
      <c r="B95" s="189" t="s">
        <v>588</v>
      </c>
      <c r="C95" s="322">
        <f>C85+(C92-C93)</f>
        <v>0</v>
      </c>
      <c r="D95" s="322"/>
      <c r="E95" s="322"/>
      <c r="F95" s="322"/>
      <c r="G95" s="322"/>
      <c r="H95" s="322"/>
      <c r="I95" s="323"/>
    </row>
    <row r="97" spans="2:9" ht="15.75" customHeight="1" x14ac:dyDescent="0.25">
      <c r="B97" t="s">
        <v>589</v>
      </c>
    </row>
    <row r="98" spans="2:9" x14ac:dyDescent="0.25">
      <c r="B98" s="234" t="s">
        <v>590</v>
      </c>
      <c r="C98" s="257" t="s">
        <v>134</v>
      </c>
      <c r="D98" s="257"/>
      <c r="E98" s="257"/>
      <c r="F98" s="257"/>
      <c r="G98" s="257"/>
      <c r="H98" s="257"/>
      <c r="I98" s="268"/>
    </row>
    <row r="99" spans="2:9" x14ac:dyDescent="0.25">
      <c r="B99" s="228"/>
      <c r="C99" s="254" t="str">
        <f>"Em 31/Dez/"&amp;YEAR(paramDataBase)-1</f>
        <v>Em 31/Dez/1899</v>
      </c>
      <c r="D99" s="254"/>
      <c r="E99" s="254"/>
      <c r="F99" s="254" t="str">
        <f>"Até o Bimestre/"&amp;YEAR(paramDataBase)</f>
        <v>Até o Bimestre/1900</v>
      </c>
      <c r="G99" s="254"/>
      <c r="H99" s="254"/>
      <c r="I99" s="256"/>
    </row>
    <row r="100" spans="2:9" x14ac:dyDescent="0.25">
      <c r="B100" s="229"/>
      <c r="C100" s="324" t="s">
        <v>138</v>
      </c>
      <c r="D100" s="324"/>
      <c r="E100" s="324"/>
      <c r="F100" s="324" t="s">
        <v>139</v>
      </c>
      <c r="G100" s="324"/>
      <c r="H100" s="324"/>
      <c r="I100" s="325"/>
    </row>
    <row r="101" spans="2:9" x14ac:dyDescent="0.25">
      <c r="B101" s="49" t="s">
        <v>591</v>
      </c>
      <c r="C101" s="319">
        <f>'RGF A2'!C12</f>
        <v>0</v>
      </c>
      <c r="D101" s="319"/>
      <c r="E101" s="326"/>
      <c r="F101" s="318">
        <f>IF(MONTH(paramDataBase)=12,'RGF A2'!E12,'RGF A2'!D12)</f>
        <v>0</v>
      </c>
      <c r="G101" s="319"/>
      <c r="H101" s="319"/>
      <c r="I101" s="319"/>
    </row>
    <row r="102" spans="2:9" x14ac:dyDescent="0.25">
      <c r="B102" s="57" t="s">
        <v>592</v>
      </c>
      <c r="C102" s="296">
        <f>'RGF A2'!C31</f>
        <v>0</v>
      </c>
      <c r="D102" s="296"/>
      <c r="E102" s="297"/>
      <c r="F102" s="303">
        <f>IF(MONTH(paramDataBase)=12,'RGF A2'!E31,'RGF A2'!D31)</f>
        <v>0</v>
      </c>
      <c r="G102" s="296"/>
      <c r="H102" s="296"/>
      <c r="I102" s="296"/>
    </row>
    <row r="103" spans="2:9" x14ac:dyDescent="0.25">
      <c r="B103" s="33" t="s">
        <v>593</v>
      </c>
      <c r="C103" s="296">
        <f>'RGF A2'!C32</f>
        <v>0</v>
      </c>
      <c r="D103" s="296"/>
      <c r="E103" s="297"/>
      <c r="F103" s="303">
        <f>IF(MONTH(paramDataBase)=12,'RGF A2'!E32,'RGF A2'!D32)</f>
        <v>0</v>
      </c>
      <c r="G103" s="296"/>
      <c r="H103" s="296"/>
      <c r="I103" s="296"/>
    </row>
    <row r="104" spans="2:9" x14ac:dyDescent="0.25">
      <c r="B104" s="34" t="s">
        <v>594</v>
      </c>
      <c r="C104" s="296">
        <f>'RGF A2'!C33</f>
        <v>0</v>
      </c>
      <c r="D104" s="296"/>
      <c r="E104" s="297"/>
      <c r="F104" s="303">
        <f>IF(MONTH(paramDataBase)=12,'RGF A2'!E33,'RGF A2'!D33)</f>
        <v>0</v>
      </c>
      <c r="G104" s="296"/>
      <c r="H104" s="296"/>
      <c r="I104" s="296"/>
    </row>
    <row r="105" spans="2:9" x14ac:dyDescent="0.25">
      <c r="B105" s="34" t="s">
        <v>595</v>
      </c>
      <c r="C105" s="296">
        <f>'RGF A2'!C34</f>
        <v>0</v>
      </c>
      <c r="D105" s="296"/>
      <c r="E105" s="297"/>
      <c r="F105" s="303">
        <f>IF(MONTH(paramDataBase)=12,'RGF A2'!E34,'RGF A2'!D34)</f>
        <v>0</v>
      </c>
      <c r="G105" s="296"/>
      <c r="H105" s="296"/>
      <c r="I105" s="296"/>
    </row>
    <row r="106" spans="2:9" x14ac:dyDescent="0.25">
      <c r="B106" s="34" t="s">
        <v>596</v>
      </c>
      <c r="C106" s="296">
        <f>'RGF A2'!C35</f>
        <v>0</v>
      </c>
      <c r="D106" s="296"/>
      <c r="E106" s="297"/>
      <c r="F106" s="303">
        <f>IF(MONTH(paramDataBase)=12,'RGF A2'!E35,'RGF A2'!D35)</f>
        <v>0</v>
      </c>
      <c r="G106" s="296"/>
      <c r="H106" s="296"/>
      <c r="I106" s="296"/>
    </row>
    <row r="107" spans="2:9" x14ac:dyDescent="0.25">
      <c r="B107" s="33" t="s">
        <v>597</v>
      </c>
      <c r="C107" s="296">
        <f>'RGF A2'!C36</f>
        <v>0</v>
      </c>
      <c r="D107" s="296"/>
      <c r="E107" s="297"/>
      <c r="F107" s="303">
        <f>IF(MONTH(paramDataBase)=12,'RGF A2'!E36,'RGF A2'!D36)</f>
        <v>0</v>
      </c>
      <c r="G107" s="296"/>
      <c r="H107" s="296"/>
      <c r="I107" s="296"/>
    </row>
    <row r="108" spans="2:9" x14ac:dyDescent="0.25">
      <c r="B108" s="76" t="s">
        <v>598</v>
      </c>
      <c r="C108" s="300">
        <f>'RGF A2'!C37</f>
        <v>0</v>
      </c>
      <c r="D108" s="300"/>
      <c r="E108" s="301"/>
      <c r="F108" s="302">
        <f>IF(MONTH(paramDataBase)=12,'RGF A2'!E37,'RGF A2'!D37)</f>
        <v>0</v>
      </c>
      <c r="G108" s="300"/>
      <c r="H108" s="300"/>
      <c r="I108" s="300"/>
    </row>
    <row r="109" spans="2:9" ht="15.75" customHeight="1" x14ac:dyDescent="0.25">
      <c r="B109" s="151" t="s">
        <v>599</v>
      </c>
      <c r="C109" s="304">
        <f>C108-F108</f>
        <v>0</v>
      </c>
      <c r="D109" s="305"/>
      <c r="E109" s="305"/>
      <c r="F109" s="305"/>
      <c r="G109" s="305"/>
      <c r="H109" s="305"/>
      <c r="I109" s="305"/>
    </row>
    <row r="110" spans="2:9" ht="15.75" customHeight="1" x14ac:dyDescent="0.25"/>
    <row r="111" spans="2:9" x14ac:dyDescent="0.25">
      <c r="B111" s="188" t="s">
        <v>600</v>
      </c>
      <c r="C111" s="298" t="s">
        <v>583</v>
      </c>
      <c r="D111" s="298"/>
      <c r="E111" s="298"/>
      <c r="F111" s="298"/>
      <c r="G111" s="298"/>
      <c r="H111" s="298"/>
      <c r="I111" s="299"/>
    </row>
    <row r="112" spans="2:9" ht="15.75" customHeight="1" x14ac:dyDescent="0.25">
      <c r="B112" s="186" t="s">
        <v>66</v>
      </c>
      <c r="C112" s="271">
        <f>'Valores manuais'!$D$23</f>
        <v>3120489</v>
      </c>
      <c r="D112" s="271"/>
      <c r="E112" s="271"/>
      <c r="F112" s="271"/>
      <c r="G112" s="271"/>
      <c r="H112" s="271"/>
      <c r="I112" s="272"/>
    </row>
    <row r="113" spans="2:9" ht="15.75" customHeight="1" x14ac:dyDescent="0.25"/>
    <row r="114" spans="2:9" x14ac:dyDescent="0.25">
      <c r="B114" s="48" t="s">
        <v>601</v>
      </c>
      <c r="C114" s="257" t="str">
        <f>"Até o Bimestre/"&amp;YEAR(paramDataBase)</f>
        <v>Até o Bimestre/1900</v>
      </c>
      <c r="D114" s="257"/>
      <c r="E114" s="257"/>
      <c r="F114" s="257"/>
      <c r="G114" s="257"/>
      <c r="H114" s="257"/>
      <c r="I114" s="268"/>
    </row>
    <row r="115" spans="2:9" x14ac:dyDescent="0.25">
      <c r="B115" s="49" t="s">
        <v>602</v>
      </c>
      <c r="C115" s="292">
        <f>C105-F105</f>
        <v>0</v>
      </c>
      <c r="D115" s="292"/>
      <c r="E115" s="292"/>
      <c r="F115" s="292"/>
      <c r="G115" s="292"/>
      <c r="H115" s="292"/>
      <c r="I115" s="293"/>
    </row>
    <row r="116" spans="2:9" x14ac:dyDescent="0.25">
      <c r="B116" s="57" t="s">
        <v>603</v>
      </c>
      <c r="C116" s="294">
        <f>I43</f>
        <v>0</v>
      </c>
      <c r="D116" s="294"/>
      <c r="E116" s="294"/>
      <c r="F116" s="294"/>
      <c r="G116" s="294"/>
      <c r="H116" s="294"/>
      <c r="I116" s="295"/>
    </row>
    <row r="117" spans="2:9" x14ac:dyDescent="0.25">
      <c r="B117" s="57" t="s">
        <v>604</v>
      </c>
      <c r="C117" s="294"/>
      <c r="D117" s="294"/>
      <c r="E117" s="294"/>
      <c r="F117" s="294"/>
      <c r="G117" s="294"/>
      <c r="H117" s="294"/>
      <c r="I117" s="295"/>
    </row>
    <row r="118" spans="2:9" x14ac:dyDescent="0.25">
      <c r="B118" s="57" t="s">
        <v>605</v>
      </c>
      <c r="C118" s="294">
        <f>IF(MONTH(paramDataBase)=12,'RGF A2'!E29,'RGF A2'!D29)-'RGF A2'!C29</f>
        <v>0</v>
      </c>
      <c r="D118" s="294"/>
      <c r="E118" s="294"/>
      <c r="F118" s="294"/>
      <c r="G118" s="294"/>
      <c r="H118" s="294"/>
      <c r="I118" s="295"/>
    </row>
    <row r="119" spans="2:9" x14ac:dyDescent="0.25">
      <c r="B119" s="57" t="s">
        <v>606</v>
      </c>
      <c r="C119" s="294">
        <f>IF(MONTH(paramDataBase)=12,'RGF A2'!E12,'RGF A2'!D12)-'RGF A2'!C12-C118</f>
        <v>0</v>
      </c>
      <c r="D119" s="294"/>
      <c r="E119" s="294"/>
      <c r="F119" s="294"/>
      <c r="G119" s="294"/>
      <c r="H119" s="294"/>
      <c r="I119" s="295"/>
    </row>
    <row r="120" spans="2:9" x14ac:dyDescent="0.25">
      <c r="B120" s="76" t="s">
        <v>607</v>
      </c>
      <c r="C120" s="310">
        <f>SUM('RGF A2 Outros ajustes'!B2:B20)</f>
        <v>0</v>
      </c>
      <c r="D120" s="310"/>
      <c r="E120" s="310"/>
      <c r="F120" s="310"/>
      <c r="G120" s="310"/>
      <c r="H120" s="310"/>
      <c r="I120" s="311"/>
    </row>
    <row r="121" spans="2:9" ht="15.75" customHeight="1" x14ac:dyDescent="0.25">
      <c r="B121" s="151" t="s">
        <v>608</v>
      </c>
      <c r="C121" s="308">
        <f>C109+(C115-C116+C117+C118+C119+C120)</f>
        <v>0</v>
      </c>
      <c r="D121" s="308"/>
      <c r="E121" s="308"/>
      <c r="F121" s="308"/>
      <c r="G121" s="308"/>
      <c r="H121" s="308"/>
      <c r="I121" s="309"/>
    </row>
    <row r="122" spans="2:9" ht="15.75" customHeight="1" x14ac:dyDescent="0.25"/>
    <row r="123" spans="2:9" ht="15.75" customHeight="1" x14ac:dyDescent="0.25">
      <c r="B123" s="189" t="s">
        <v>609</v>
      </c>
      <c r="C123" s="312">
        <f>C121-(C92-C93)</f>
        <v>0</v>
      </c>
      <c r="D123" s="312"/>
      <c r="E123" s="312"/>
      <c r="F123" s="312"/>
      <c r="G123" s="312"/>
      <c r="H123" s="312"/>
      <c r="I123" s="313"/>
    </row>
    <row r="124" spans="2:9" ht="15.75" customHeight="1" x14ac:dyDescent="0.25"/>
    <row r="125" spans="2:9" x14ac:dyDescent="0.25">
      <c r="B125" s="48" t="s">
        <v>610</v>
      </c>
      <c r="C125" s="257" t="s">
        <v>487</v>
      </c>
      <c r="D125" s="257"/>
      <c r="E125" s="257"/>
      <c r="F125" s="257"/>
      <c r="G125" s="257"/>
      <c r="H125" s="257"/>
      <c r="I125" s="268"/>
    </row>
    <row r="126" spans="2:9" x14ac:dyDescent="0.25">
      <c r="B126" s="49" t="s">
        <v>611</v>
      </c>
      <c r="C126" s="292">
        <f>SUM(C127:I128)</f>
        <v>0</v>
      </c>
      <c r="D126" s="292"/>
      <c r="E126" s="292"/>
      <c r="F126" s="292"/>
      <c r="G126" s="292"/>
      <c r="H126" s="292"/>
      <c r="I126" s="293"/>
    </row>
    <row r="127" spans="2:9" x14ac:dyDescent="0.25">
      <c r="B127" s="33" t="s">
        <v>211</v>
      </c>
      <c r="C127" s="294">
        <f>'RREO A1 BO Receita'!D88</f>
        <v>0</v>
      </c>
      <c r="D127" s="294"/>
      <c r="E127" s="294"/>
      <c r="F127" s="294"/>
      <c r="G127" s="294"/>
      <c r="H127" s="294"/>
      <c r="I127" s="295"/>
    </row>
    <row r="128" spans="2:9" x14ac:dyDescent="0.25">
      <c r="B128" s="33" t="s">
        <v>612</v>
      </c>
      <c r="C128" s="294">
        <f>'RREO A1 BO Receita'!D89</f>
        <v>0</v>
      </c>
      <c r="D128" s="294"/>
      <c r="E128" s="294"/>
      <c r="F128" s="294"/>
      <c r="G128" s="294"/>
      <c r="H128" s="294"/>
      <c r="I128" s="295"/>
    </row>
    <row r="129" spans="2:9" ht="15.75" customHeight="1" x14ac:dyDescent="0.25">
      <c r="B129" s="21" t="s">
        <v>489</v>
      </c>
      <c r="C129" s="306">
        <f>'RREO A1 BO Despesa'!D34</f>
        <v>0</v>
      </c>
      <c r="D129" s="306"/>
      <c r="E129" s="306"/>
      <c r="F129" s="306"/>
      <c r="G129" s="306"/>
      <c r="H129" s="306"/>
      <c r="I129" s="307"/>
    </row>
    <row r="130" spans="2:9" x14ac:dyDescent="0.25">
      <c r="B130" s="261" t="str">
        <f ca="1">_xlfn.CONCAT("Fonte: ",paramFonte,". Emissão em ",TEXT(NOW(),"dd/mm/aaaa \à\s hh:mm:ss"))</f>
        <v>Fonte: Sistema MS Excel + SIAPC/PAD, Unidade Responsável: Secretaria da Fazenda / Setor de Contabilidade. Emissão em 09/05/2024 às 09:42:51</v>
      </c>
      <c r="C130" s="261"/>
      <c r="D130" s="261"/>
      <c r="E130" s="261"/>
      <c r="F130" s="261"/>
      <c r="G130" s="261"/>
      <c r="H130" s="261"/>
      <c r="I130" s="261"/>
    </row>
    <row r="131" spans="2:9" ht="15" customHeight="1" x14ac:dyDescent="0.25">
      <c r="B131" s="262" t="s">
        <v>613</v>
      </c>
      <c r="C131" s="262"/>
      <c r="D131" s="262"/>
      <c r="E131" s="262"/>
      <c r="F131" s="262"/>
      <c r="G131" s="262"/>
      <c r="H131" s="262"/>
      <c r="I131" s="262"/>
    </row>
    <row r="133" spans="2:9" x14ac:dyDescent="0.25">
      <c r="B133" t="s">
        <v>253</v>
      </c>
    </row>
    <row r="134" spans="2:9" x14ac:dyDescent="0.25">
      <c r="B134" s="247" t="str">
        <f>IFERROR(_xlfn.CONCAT(_xlfn._xlws.FILTER(tblNotasExplicativas[Nota Com Separador],tblNotasExplicativas[Demonstrativo]="RREO A6")),"")</f>
        <v/>
      </c>
      <c r="C134" s="247"/>
      <c r="D134" s="247"/>
      <c r="E134" s="247"/>
      <c r="F134" s="247"/>
      <c r="G134" s="247"/>
      <c r="H134" s="247"/>
      <c r="I134" s="247"/>
    </row>
    <row r="137" spans="2:9" x14ac:dyDescent="0.25">
      <c r="B137" t="str">
        <f>paramNomeContador</f>
        <v>EVERTON DA ROSA</v>
      </c>
      <c r="D137" s="247" t="str">
        <f>paramNomeSecretario</f>
        <v>ANA PAULA RODRIGUES SCHNEIDER SCHMIDT</v>
      </c>
      <c r="E137" s="247"/>
      <c r="H137" s="247" t="str">
        <f>paramNomePrefeito</f>
        <v>JOÃO EDÉCIO GRAEF</v>
      </c>
      <c r="I137" s="247"/>
    </row>
    <row r="138" spans="2:9" x14ac:dyDescent="0.25">
      <c r="B138" t="str">
        <f>paramCargoContador</f>
        <v>Contador</v>
      </c>
      <c r="D138" s="247" t="str">
        <f>paramCargoSecretario</f>
        <v>Secretária da Fazenda</v>
      </c>
      <c r="E138" s="247"/>
      <c r="H138" s="247" t="str">
        <f>paramCargoPrefeito</f>
        <v>Prefeito Municipal</v>
      </c>
      <c r="I138" s="247"/>
    </row>
    <row r="139" spans="2:9" x14ac:dyDescent="0.25">
      <c r="B139" t="str">
        <f>_xlfn.CONCAT("CRC ",paramCRCContador)</f>
        <v>CRC 076595/O-3</v>
      </c>
    </row>
  </sheetData>
  <mergeCells count="117">
    <mergeCell ref="B2:I2"/>
    <mergeCell ref="B3:I3"/>
    <mergeCell ref="B4:I4"/>
    <mergeCell ref="B5:I5"/>
    <mergeCell ref="B18:G18"/>
    <mergeCell ref="B6:I6"/>
    <mergeCell ref="B8:H8"/>
    <mergeCell ref="H10:H12"/>
    <mergeCell ref="B9:I9"/>
    <mergeCell ref="B10:G12"/>
    <mergeCell ref="B13:G13"/>
    <mergeCell ref="B14:G14"/>
    <mergeCell ref="B15:G15"/>
    <mergeCell ref="B16:G16"/>
    <mergeCell ref="B17:G17"/>
    <mergeCell ref="B30:G30"/>
    <mergeCell ref="B19:G19"/>
    <mergeCell ref="B20:G20"/>
    <mergeCell ref="B21:G21"/>
    <mergeCell ref="B22:G22"/>
    <mergeCell ref="B23:G23"/>
    <mergeCell ref="B24:G24"/>
    <mergeCell ref="B25:G25"/>
    <mergeCell ref="B26:G26"/>
    <mergeCell ref="B27:G27"/>
    <mergeCell ref="B28:G28"/>
    <mergeCell ref="B29:G29"/>
    <mergeCell ref="B42:G42"/>
    <mergeCell ref="B31:G31"/>
    <mergeCell ref="B32:G32"/>
    <mergeCell ref="B33:G33"/>
    <mergeCell ref="B34:G34"/>
    <mergeCell ref="B35:G35"/>
    <mergeCell ref="B36:G36"/>
    <mergeCell ref="B37:G37"/>
    <mergeCell ref="B38:G38"/>
    <mergeCell ref="B39:G39"/>
    <mergeCell ref="B40:G40"/>
    <mergeCell ref="B41:G41"/>
    <mergeCell ref="B54:G54"/>
    <mergeCell ref="B43:G43"/>
    <mergeCell ref="B44:G44"/>
    <mergeCell ref="B45:G45"/>
    <mergeCell ref="B46:G46"/>
    <mergeCell ref="B47:G47"/>
    <mergeCell ref="B48:G48"/>
    <mergeCell ref="B49:G49"/>
    <mergeCell ref="B50:G50"/>
    <mergeCell ref="B51:G51"/>
    <mergeCell ref="B52:G52"/>
    <mergeCell ref="B53:G53"/>
    <mergeCell ref="B55:G55"/>
    <mergeCell ref="D57:I57"/>
    <mergeCell ref="H58:I58"/>
    <mergeCell ref="H59:I59"/>
    <mergeCell ref="G59:G60"/>
    <mergeCell ref="F58:F60"/>
    <mergeCell ref="E58:E61"/>
    <mergeCell ref="D58:D61"/>
    <mergeCell ref="C57:C61"/>
    <mergeCell ref="B57:B61"/>
    <mergeCell ref="B90:B91"/>
    <mergeCell ref="C90:I90"/>
    <mergeCell ref="C105:E105"/>
    <mergeCell ref="C92:I92"/>
    <mergeCell ref="C93:I93"/>
    <mergeCell ref="C95:I95"/>
    <mergeCell ref="F99:I99"/>
    <mergeCell ref="F100:I100"/>
    <mergeCell ref="C99:E99"/>
    <mergeCell ref="C100:E100"/>
    <mergeCell ref="C98:I98"/>
    <mergeCell ref="F105:I105"/>
    <mergeCell ref="F104:I104"/>
    <mergeCell ref="F103:I103"/>
    <mergeCell ref="F102:I102"/>
    <mergeCell ref="F101:I101"/>
    <mergeCell ref="B98:B100"/>
    <mergeCell ref="C101:E101"/>
    <mergeCell ref="C102:E102"/>
    <mergeCell ref="C115:I115"/>
    <mergeCell ref="C116:I116"/>
    <mergeCell ref="C117:I117"/>
    <mergeCell ref="C118:I118"/>
    <mergeCell ref="C119:I119"/>
    <mergeCell ref="C120:I120"/>
    <mergeCell ref="C123:I123"/>
    <mergeCell ref="C125:I125"/>
    <mergeCell ref="C84:I84"/>
    <mergeCell ref="C85:I85"/>
    <mergeCell ref="C87:I87"/>
    <mergeCell ref="C88:I88"/>
    <mergeCell ref="C91:I91"/>
    <mergeCell ref="C126:I126"/>
    <mergeCell ref="C127:I127"/>
    <mergeCell ref="C128:I128"/>
    <mergeCell ref="H137:I137"/>
    <mergeCell ref="H138:I138"/>
    <mergeCell ref="D137:E137"/>
    <mergeCell ref="D138:E138"/>
    <mergeCell ref="B134:I134"/>
    <mergeCell ref="C103:E103"/>
    <mergeCell ref="C104:E104"/>
    <mergeCell ref="B130:I130"/>
    <mergeCell ref="B131:I131"/>
    <mergeCell ref="C111:I111"/>
    <mergeCell ref="C106:E106"/>
    <mergeCell ref="C107:E107"/>
    <mergeCell ref="C108:E108"/>
    <mergeCell ref="F108:I108"/>
    <mergeCell ref="F107:I107"/>
    <mergeCell ref="F106:I106"/>
    <mergeCell ref="C112:I112"/>
    <mergeCell ref="C114:I114"/>
    <mergeCell ref="C109:I109"/>
    <mergeCell ref="C129:I129"/>
    <mergeCell ref="C121:I121"/>
  </mergeCells>
  <pageMargins left="0.25" right="0.25" top="0.75" bottom="0.75" header="0.3" footer="0.3"/>
  <pageSetup paperSize="9" scale="54" fitToHeight="0" orientation="landscape" r:id="rId1"/>
  <rowBreaks count="2" manualBreakCount="2">
    <brk id="56" max="8" man="1"/>
    <brk id="113"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853C0C"/>
    <pageSetUpPr fitToPage="1"/>
  </sheetPr>
  <dimension ref="B2:N30"/>
  <sheetViews>
    <sheetView topLeftCell="A11" workbookViewId="0">
      <selection activeCell="H19" sqref="H19"/>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2" width="12.42578125"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7" t="s">
        <v>617</v>
      </c>
      <c r="D9" s="257"/>
      <c r="E9" s="257"/>
      <c r="F9" s="257"/>
      <c r="G9" s="257"/>
      <c r="H9" s="257" t="s">
        <v>618</v>
      </c>
      <c r="I9" s="257"/>
      <c r="J9" s="257"/>
      <c r="K9" s="257"/>
      <c r="L9" s="257"/>
      <c r="M9" s="257"/>
      <c r="N9" s="335" t="s">
        <v>619</v>
      </c>
    </row>
    <row r="10" spans="2:14" x14ac:dyDescent="0.25">
      <c r="B10" s="228"/>
      <c r="C10" s="324" t="s">
        <v>620</v>
      </c>
      <c r="D10" s="324"/>
      <c r="E10" s="244" t="s">
        <v>621</v>
      </c>
      <c r="F10" s="244" t="s">
        <v>622</v>
      </c>
      <c r="G10" s="244" t="s">
        <v>623</v>
      </c>
      <c r="H10" s="324" t="s">
        <v>620</v>
      </c>
      <c r="I10" s="324"/>
      <c r="J10" s="244" t="s">
        <v>624</v>
      </c>
      <c r="K10" s="244" t="s">
        <v>621</v>
      </c>
      <c r="L10" s="244" t="s">
        <v>622</v>
      </c>
      <c r="M10" s="244" t="s">
        <v>623</v>
      </c>
      <c r="N10" s="329"/>
    </row>
    <row r="11" spans="2:14" x14ac:dyDescent="0.25">
      <c r="B11" s="228"/>
      <c r="C11" s="8" t="s">
        <v>625</v>
      </c>
      <c r="D11" s="8" t="s">
        <v>626</v>
      </c>
      <c r="E11" s="244"/>
      <c r="F11" s="244"/>
      <c r="G11" s="244"/>
      <c r="H11" s="8" t="s">
        <v>625</v>
      </c>
      <c r="I11" s="8" t="s">
        <v>626</v>
      </c>
      <c r="J11" s="244"/>
      <c r="K11" s="244"/>
      <c r="L11" s="244"/>
      <c r="M11" s="244"/>
      <c r="N11" s="329"/>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329"/>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632</v>
      </c>
      <c r="C14" s="31">
        <f>C15+C16</f>
        <v>0</v>
      </c>
      <c r="D14" s="31">
        <f>D15+D16</f>
        <v>0</v>
      </c>
      <c r="E14" s="31">
        <f>E15+E16</f>
        <v>0</v>
      </c>
      <c r="F14" s="31">
        <f>F15+F16</f>
        <v>0</v>
      </c>
      <c r="G14" s="31">
        <f t="shared" ref="G14:G19" si="0">(C14+D14)-(E14+F14)</f>
        <v>0</v>
      </c>
      <c r="H14" s="31">
        <f>H15+H16</f>
        <v>0</v>
      </c>
      <c r="I14" s="31">
        <f>I15+I16</f>
        <v>0</v>
      </c>
      <c r="J14" s="31">
        <f>J15+J16</f>
        <v>0</v>
      </c>
      <c r="K14" s="31">
        <f>K15+K16</f>
        <v>0</v>
      </c>
      <c r="L14" s="31">
        <f>L15+L16</f>
        <v>0</v>
      </c>
      <c r="M14" s="31">
        <f t="shared" ref="M14:M19" si="1">(H14+I14)-(K14+L14)</f>
        <v>0</v>
      </c>
      <c r="N14" s="32">
        <f t="shared" ref="N14:N19" si="2">G14+M14</f>
        <v>0</v>
      </c>
    </row>
    <row r="15" spans="2:14" x14ac:dyDescent="0.25">
      <c r="B15" s="33" t="s">
        <v>633</v>
      </c>
      <c r="C15" s="31"/>
      <c r="D15" s="31"/>
      <c r="E15" s="31"/>
      <c r="F15" s="31"/>
      <c r="G15" s="31">
        <f t="shared" si="0"/>
        <v>0</v>
      </c>
      <c r="H15" s="31"/>
      <c r="I15" s="31"/>
      <c r="J15" s="31"/>
      <c r="K15" s="31"/>
      <c r="L15" s="31"/>
      <c r="M15" s="31">
        <f t="shared" si="1"/>
        <v>0</v>
      </c>
      <c r="N15" s="32">
        <f t="shared" si="2"/>
        <v>0</v>
      </c>
    </row>
    <row r="16" spans="2:14" x14ac:dyDescent="0.25">
      <c r="B16" s="33" t="s">
        <v>634</v>
      </c>
      <c r="C16" s="31">
        <f>SUM(C17:C18)</f>
        <v>0</v>
      </c>
      <c r="D16" s="31">
        <f>SUM(D17:D18)</f>
        <v>0</v>
      </c>
      <c r="E16" s="31">
        <f>SUM(E17:E18)</f>
        <v>0</v>
      </c>
      <c r="F16" s="31">
        <f>SUM(F17:F18)</f>
        <v>0</v>
      </c>
      <c r="G16" s="31">
        <f t="shared" si="0"/>
        <v>0</v>
      </c>
      <c r="H16" s="31">
        <f>SUM(H17:H18)</f>
        <v>0</v>
      </c>
      <c r="I16" s="31">
        <f>SUM(I17:I18)</f>
        <v>0</v>
      </c>
      <c r="J16" s="31">
        <f>SUM(J17:J18)</f>
        <v>0</v>
      </c>
      <c r="K16" s="31">
        <f>SUM(K17:K18)</f>
        <v>0</v>
      </c>
      <c r="L16" s="31">
        <f>SUM(L17:L18)</f>
        <v>0</v>
      </c>
      <c r="M16" s="31">
        <f t="shared" si="1"/>
        <v>0</v>
      </c>
      <c r="N16" s="32">
        <f t="shared" si="2"/>
        <v>0</v>
      </c>
    </row>
    <row r="17" spans="2:14" x14ac:dyDescent="0.25">
      <c r="B17" s="34" t="s">
        <v>635</v>
      </c>
      <c r="C17" s="31"/>
      <c r="D17" s="31"/>
      <c r="E17" s="31"/>
      <c r="F17" s="31"/>
      <c r="G17" s="31">
        <f t="shared" si="0"/>
        <v>0</v>
      </c>
      <c r="H17" s="31"/>
      <c r="I17" s="31"/>
      <c r="J17" s="31"/>
      <c r="K17" s="31"/>
      <c r="L17" s="31"/>
      <c r="M17" s="31">
        <f t="shared" si="1"/>
        <v>0</v>
      </c>
      <c r="N17" s="32">
        <f t="shared" si="2"/>
        <v>0</v>
      </c>
    </row>
    <row r="18" spans="2:14" x14ac:dyDescent="0.25">
      <c r="B18" s="34" t="s">
        <v>636</v>
      </c>
      <c r="C18" s="31">
        <v>0</v>
      </c>
      <c r="D18" s="31">
        <v>0</v>
      </c>
      <c r="E18" s="31">
        <v>0</v>
      </c>
      <c r="F18" s="31">
        <v>0</v>
      </c>
      <c r="G18" s="31">
        <f t="shared" si="0"/>
        <v>0</v>
      </c>
      <c r="H18" s="31">
        <v>0</v>
      </c>
      <c r="I18" s="31">
        <v>0</v>
      </c>
      <c r="J18" s="31">
        <v>0</v>
      </c>
      <c r="K18" s="31">
        <v>0</v>
      </c>
      <c r="L18" s="31">
        <v>0</v>
      </c>
      <c r="M18" s="31">
        <f t="shared" si="1"/>
        <v>0</v>
      </c>
      <c r="N18" s="32">
        <f t="shared" si="2"/>
        <v>0</v>
      </c>
    </row>
    <row r="19" spans="2:14" x14ac:dyDescent="0.25">
      <c r="B19" s="57" t="s">
        <v>637</v>
      </c>
      <c r="C19" s="31">
        <f>'RREO A7 Intra'!C14</f>
        <v>0</v>
      </c>
      <c r="D19" s="31">
        <f>'RREO A7 Intra'!D14</f>
        <v>0</v>
      </c>
      <c r="E19" s="31">
        <f>'RREO A7 Intra'!E14</f>
        <v>0</v>
      </c>
      <c r="F19" s="31">
        <f>'RREO A7 Intra'!F14</f>
        <v>0</v>
      </c>
      <c r="G19" s="31">
        <f t="shared" si="0"/>
        <v>0</v>
      </c>
      <c r="H19" s="31">
        <f>'RREO A7 Intra'!H14</f>
        <v>0</v>
      </c>
      <c r="I19" s="31">
        <f>'RREO A7 Intra'!I14</f>
        <v>0</v>
      </c>
      <c r="J19" s="31">
        <f>'RREO A7 Intra'!J14</f>
        <v>0</v>
      </c>
      <c r="K19" s="31">
        <f>'RREO A7 Intra'!K14</f>
        <v>0</v>
      </c>
      <c r="L19" s="31">
        <f>'RREO A7 Intra'!L14</f>
        <v>0</v>
      </c>
      <c r="M19" s="31">
        <f t="shared" si="1"/>
        <v>0</v>
      </c>
      <c r="N19" s="32">
        <f t="shared" si="2"/>
        <v>0</v>
      </c>
    </row>
    <row r="20" spans="2:14" ht="15.75" customHeight="1" x14ac:dyDescent="0.25">
      <c r="B20" s="151" t="s">
        <v>638</v>
      </c>
      <c r="C20" s="152">
        <f t="shared" ref="C20:N20" si="3">C14+C19</f>
        <v>0</v>
      </c>
      <c r="D20" s="152">
        <f t="shared" si="3"/>
        <v>0</v>
      </c>
      <c r="E20" s="152">
        <f t="shared" si="3"/>
        <v>0</v>
      </c>
      <c r="F20" s="152">
        <f t="shared" si="3"/>
        <v>0</v>
      </c>
      <c r="G20" s="152">
        <f t="shared" si="3"/>
        <v>0</v>
      </c>
      <c r="H20" s="152">
        <f t="shared" si="3"/>
        <v>0</v>
      </c>
      <c r="I20" s="152">
        <f t="shared" si="3"/>
        <v>0</v>
      </c>
      <c r="J20" s="152">
        <f t="shared" si="3"/>
        <v>0</v>
      </c>
      <c r="K20" s="152">
        <f t="shared" si="3"/>
        <v>0</v>
      </c>
      <c r="L20" s="152">
        <f t="shared" si="3"/>
        <v>0</v>
      </c>
      <c r="M20" s="152">
        <f t="shared" si="3"/>
        <v>0</v>
      </c>
      <c r="N20" s="153">
        <f t="shared" si="3"/>
        <v>0</v>
      </c>
    </row>
    <row r="21" spans="2:14" x14ac:dyDescent="0.25">
      <c r="B21" s="249" t="str">
        <f ca="1">_xlfn.CONCAT("Fonte: ",paramFonte,". Emissão em ",TEXT(NOW(),"dd/mm/aaaa \à\s hh:mm:ss"))</f>
        <v>Fonte: Sistema MS Excel + SIAPC/PAD, Unidade Responsável: Secretaria da Fazenda / Setor de Contabilidade. Emissão em 09/05/2024 às 09:42:51</v>
      </c>
      <c r="C21" s="249"/>
      <c r="D21" s="249"/>
      <c r="E21" s="249"/>
      <c r="F21" s="249"/>
      <c r="G21" s="249"/>
      <c r="H21" s="249"/>
      <c r="I21" s="249"/>
      <c r="J21" s="249"/>
      <c r="K21" s="249"/>
      <c r="L21" s="249"/>
      <c r="M21" s="249"/>
      <c r="N21" s="249"/>
    </row>
    <row r="23" spans="2:14" x14ac:dyDescent="0.25">
      <c r="B23" s="247" t="s">
        <v>253</v>
      </c>
      <c r="C23" s="247"/>
      <c r="D23" s="247"/>
      <c r="E23" s="247"/>
      <c r="F23" s="247"/>
      <c r="G23" s="247"/>
      <c r="H23" s="247"/>
      <c r="I23" s="247"/>
      <c r="J23" s="247"/>
      <c r="K23" s="247"/>
      <c r="L23" s="247"/>
      <c r="M23" s="247"/>
      <c r="N23" s="247"/>
    </row>
    <row r="24" spans="2:14" x14ac:dyDescent="0.25">
      <c r="B24" s="196" t="str">
        <f>IFERROR(_xlfn.CONCAT(_xlfn._xlws.FILTER(tblNotasExplicativas[Nota Com Separador],tblNotasExplicativas[Demonstrativo]="RREO A7")),"")</f>
        <v/>
      </c>
      <c r="C24" s="196"/>
      <c r="D24" s="196"/>
      <c r="E24" s="196"/>
      <c r="F24" s="196"/>
      <c r="G24" s="196"/>
      <c r="H24" s="46"/>
      <c r="I24" s="46"/>
      <c r="J24" s="46"/>
      <c r="K24" s="46"/>
      <c r="L24" s="46"/>
      <c r="M24" s="46"/>
      <c r="N24" s="46"/>
    </row>
    <row r="28" spans="2:14" x14ac:dyDescent="0.25">
      <c r="B28" t="str">
        <f>paramNomeContador</f>
        <v>EVERTON DA ROSA</v>
      </c>
      <c r="H28" s="247" t="str">
        <f>paramNomeSecretario</f>
        <v>ANA PAULA RODRIGUES SCHNEIDER SCHMIDT</v>
      </c>
      <c r="I28" s="247"/>
      <c r="M28" s="247" t="str">
        <f>paramNomePrefeito</f>
        <v>JOÃO EDÉCIO GRAEF</v>
      </c>
      <c r="N28" s="247"/>
    </row>
    <row r="29" spans="2:14" x14ac:dyDescent="0.25">
      <c r="B29" t="str">
        <f>paramCargoContador</f>
        <v>Contador</v>
      </c>
      <c r="H29" s="247" t="str">
        <f>paramCargoSecretario</f>
        <v>Secretária da Fazenda</v>
      </c>
      <c r="I29" s="247"/>
      <c r="M29" s="247" t="str">
        <f>paramCargoPrefeito</f>
        <v>Prefeito Municipal</v>
      </c>
      <c r="N29" s="247"/>
    </row>
    <row r="30" spans="2:14" x14ac:dyDescent="0.25">
      <c r="B30" t="str">
        <f>_xlfn.CONCAT("CRC ",paramCRCContador)</f>
        <v>CRC 076595/O-3</v>
      </c>
    </row>
  </sheetData>
  <mergeCells count="25">
    <mergeCell ref="B2:N2"/>
    <mergeCell ref="B3:N3"/>
    <mergeCell ref="B4:N4"/>
    <mergeCell ref="B5:N5"/>
    <mergeCell ref="K10:K12"/>
    <mergeCell ref="J10:J12"/>
    <mergeCell ref="H10:I10"/>
    <mergeCell ref="G10:G12"/>
    <mergeCell ref="B8:F8"/>
    <mergeCell ref="B6:N6"/>
    <mergeCell ref="F10:F12"/>
    <mergeCell ref="E10:E12"/>
    <mergeCell ref="N9:N12"/>
    <mergeCell ref="M10:M12"/>
    <mergeCell ref="L10:L12"/>
    <mergeCell ref="C10:D10"/>
    <mergeCell ref="B9:B13"/>
    <mergeCell ref="C9:G9"/>
    <mergeCell ref="H9:M9"/>
    <mergeCell ref="H29:I29"/>
    <mergeCell ref="M29:N29"/>
    <mergeCell ref="B21:N21"/>
    <mergeCell ref="B23:N23"/>
    <mergeCell ref="H28:I28"/>
    <mergeCell ref="M28:N28"/>
  </mergeCells>
  <pageMargins left="0.25" right="0.25" top="0.75" bottom="0.75" header="0.3" footer="0.3"/>
  <pageSetup paperSize="9" scale="64" fitToHeight="0" orientation="landscape" r:id="rId1"/>
  <ignoredErrors>
    <ignoredError sqref="G14 G1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548135"/>
  </sheetPr>
  <dimension ref="B3:D23"/>
  <sheetViews>
    <sheetView workbookViewId="0">
      <selection activeCell="D18" sqref="D18"/>
    </sheetView>
  </sheetViews>
  <sheetFormatPr defaultRowHeight="15" x14ac:dyDescent="0.25"/>
  <cols>
    <col min="2" max="2" width="9" customWidth="1"/>
    <col min="3" max="3" width="125.140625" customWidth="1"/>
    <col min="4" max="4" width="14.28515625" customWidth="1"/>
  </cols>
  <sheetData>
    <row r="3" spans="2:4" x14ac:dyDescent="0.25">
      <c r="B3" t="s">
        <v>49</v>
      </c>
      <c r="C3" t="s">
        <v>50</v>
      </c>
      <c r="D3" t="s">
        <v>13</v>
      </c>
    </row>
    <row r="4" spans="2:4" x14ac:dyDescent="0.25">
      <c r="B4" s="106" t="s">
        <v>51</v>
      </c>
      <c r="C4" s="163" t="s">
        <v>52</v>
      </c>
      <c r="D4" s="165">
        <v>549353.56000000006</v>
      </c>
    </row>
    <row r="5" spans="2:4" x14ac:dyDescent="0.25">
      <c r="B5" s="106" t="s">
        <v>51</v>
      </c>
      <c r="C5" s="106" t="s">
        <v>53</v>
      </c>
      <c r="D5" s="164">
        <v>0</v>
      </c>
    </row>
    <row r="6" spans="2:4" x14ac:dyDescent="0.25">
      <c r="B6" s="106" t="s">
        <v>51</v>
      </c>
      <c r="C6" s="163" t="s">
        <v>54</v>
      </c>
      <c r="D6" s="165">
        <v>0</v>
      </c>
    </row>
    <row r="7" spans="2:4" x14ac:dyDescent="0.25">
      <c r="B7" s="106" t="s">
        <v>51</v>
      </c>
      <c r="C7" s="106" t="s">
        <v>55</v>
      </c>
      <c r="D7" s="164">
        <v>0</v>
      </c>
    </row>
    <row r="8" spans="2:4" x14ac:dyDescent="0.25">
      <c r="B8" s="106" t="s">
        <v>51</v>
      </c>
      <c r="C8" s="163" t="s">
        <v>56</v>
      </c>
      <c r="D8" s="166">
        <v>0.47</v>
      </c>
    </row>
    <row r="9" spans="2:4" x14ac:dyDescent="0.25">
      <c r="B9" s="106" t="s">
        <v>57</v>
      </c>
      <c r="C9" s="106" t="s">
        <v>58</v>
      </c>
      <c r="D9" s="164">
        <v>0</v>
      </c>
    </row>
    <row r="10" spans="2:4" x14ac:dyDescent="0.25">
      <c r="B10" s="163" t="s">
        <v>57</v>
      </c>
      <c r="C10" s="163" t="s">
        <v>59</v>
      </c>
      <c r="D10" s="164">
        <v>0</v>
      </c>
    </row>
    <row r="11" spans="2:4" x14ac:dyDescent="0.25">
      <c r="B11" s="106" t="s">
        <v>57</v>
      </c>
      <c r="C11" s="106" t="s">
        <v>60</v>
      </c>
      <c r="D11" s="164">
        <v>0</v>
      </c>
    </row>
    <row r="12" spans="2:4" x14ac:dyDescent="0.25">
      <c r="B12" s="106" t="s">
        <v>57</v>
      </c>
      <c r="C12" s="163" t="s">
        <v>61</v>
      </c>
      <c r="D12" s="164">
        <v>0</v>
      </c>
    </row>
    <row r="13" spans="2:4" x14ac:dyDescent="0.25">
      <c r="B13" s="106" t="s">
        <v>62</v>
      </c>
      <c r="C13" s="163" t="s">
        <v>63</v>
      </c>
      <c r="D13" s="167">
        <v>44742424.130000003</v>
      </c>
    </row>
    <row r="14" spans="2:4" x14ac:dyDescent="0.25">
      <c r="B14" s="106" t="s">
        <v>62</v>
      </c>
      <c r="C14" s="163" t="s">
        <v>64</v>
      </c>
      <c r="D14" s="164">
        <v>688856</v>
      </c>
    </row>
    <row r="15" spans="2:4" x14ac:dyDescent="0.25">
      <c r="B15" s="106" t="s">
        <v>62</v>
      </c>
      <c r="C15" s="163" t="s">
        <v>9</v>
      </c>
      <c r="D15" s="164"/>
    </row>
    <row r="16" spans="2:4" x14ac:dyDescent="0.25">
      <c r="B16" s="106" t="s">
        <v>62</v>
      </c>
      <c r="C16" s="163" t="s">
        <v>10</v>
      </c>
      <c r="D16" s="164"/>
    </row>
    <row r="17" spans="2:4" x14ac:dyDescent="0.25">
      <c r="B17" s="106" t="s">
        <v>65</v>
      </c>
      <c r="C17" s="163" t="s">
        <v>66</v>
      </c>
      <c r="D17" s="164"/>
    </row>
    <row r="18" spans="2:4" x14ac:dyDescent="0.25">
      <c r="B18" s="106" t="s">
        <v>67</v>
      </c>
      <c r="C18" s="163" t="s">
        <v>68</v>
      </c>
      <c r="D18" s="221"/>
    </row>
    <row r="19" spans="2:4" x14ac:dyDescent="0.25">
      <c r="B19" s="106" t="s">
        <v>67</v>
      </c>
      <c r="C19" s="163" t="s">
        <v>69</v>
      </c>
      <c r="D19" s="224"/>
    </row>
    <row r="20" spans="2:4" x14ac:dyDescent="0.25">
      <c r="B20" s="103" t="s">
        <v>70</v>
      </c>
      <c r="C20" s="218" t="s">
        <v>71</v>
      </c>
      <c r="D20" s="103"/>
    </row>
    <row r="21" spans="2:4" x14ac:dyDescent="0.25">
      <c r="B21" s="106" t="s">
        <v>70</v>
      </c>
      <c r="C21" s="163" t="s">
        <v>72</v>
      </c>
      <c r="D21" s="106"/>
    </row>
    <row r="22" spans="2:4" x14ac:dyDescent="0.25">
      <c r="B22" s="103" t="s">
        <v>70</v>
      </c>
      <c r="C22" s="218" t="s">
        <v>73</v>
      </c>
      <c r="D22" s="103"/>
    </row>
    <row r="23" spans="2:4" x14ac:dyDescent="0.25">
      <c r="B23" t="s">
        <v>65</v>
      </c>
      <c r="C23" t="s">
        <v>66</v>
      </c>
      <c r="D23" s="226">
        <v>3120489</v>
      </c>
    </row>
  </sheetData>
  <pageMargins left="0.511811024" right="0.511811024" top="0.78740157499999996" bottom="0.78740157499999996" header="0.31496062000000002" footer="0.31496062000000002"/>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53C0C"/>
    <pageSetUpPr fitToPage="1"/>
  </sheetPr>
  <dimension ref="B2:N28"/>
  <sheetViews>
    <sheetView workbookViewId="0">
      <selection activeCell="C17" sqref="C17"/>
    </sheetView>
  </sheetViews>
  <sheetFormatPr defaultRowHeight="15" x14ac:dyDescent="0.25"/>
  <cols>
    <col min="2" max="2" width="50.42578125" customWidth="1"/>
    <col min="3" max="3" width="12.7109375" customWidth="1"/>
    <col min="4" max="4" width="18.5703125" customWidth="1"/>
    <col min="5" max="5" width="10.85546875" customWidth="1"/>
    <col min="6" max="6" width="11" customWidth="1"/>
    <col min="7" max="7" width="14.42578125" customWidth="1"/>
    <col min="8" max="8" width="12.7109375" customWidth="1"/>
    <col min="9" max="9" width="18.5703125" customWidth="1"/>
    <col min="10" max="11" width="12.42578125" customWidth="1"/>
    <col min="12" max="12" width="11" customWidth="1"/>
    <col min="13" max="13" width="12.85546875" customWidth="1"/>
    <col min="14" max="14" width="12.42578125" customWidth="1"/>
  </cols>
  <sheetData>
    <row r="2" spans="2:14" x14ac:dyDescent="0.25">
      <c r="B2" s="247" t="str">
        <f>paramEnte</f>
        <v>Município de Independência - RS</v>
      </c>
      <c r="C2" s="247"/>
      <c r="D2" s="247"/>
      <c r="E2" s="247"/>
      <c r="F2" s="247"/>
      <c r="G2" s="247"/>
      <c r="H2" s="247"/>
      <c r="I2" s="247"/>
      <c r="J2" s="247"/>
      <c r="K2" s="247"/>
      <c r="L2" s="247"/>
      <c r="M2" s="247"/>
      <c r="N2" s="247"/>
    </row>
    <row r="3" spans="2:14" x14ac:dyDescent="0.25">
      <c r="B3" s="247" t="s">
        <v>125</v>
      </c>
      <c r="C3" s="247"/>
      <c r="D3" s="247"/>
      <c r="E3" s="247"/>
      <c r="F3" s="247"/>
      <c r="G3" s="247"/>
      <c r="H3" s="247"/>
      <c r="I3" s="247"/>
      <c r="J3" s="247"/>
      <c r="K3" s="247"/>
      <c r="L3" s="247"/>
      <c r="M3" s="247"/>
      <c r="N3" s="247"/>
    </row>
    <row r="4" spans="2:14" x14ac:dyDescent="0.25">
      <c r="B4" s="248" t="s">
        <v>614</v>
      </c>
      <c r="C4" s="248"/>
      <c r="D4" s="248"/>
      <c r="E4" s="248"/>
      <c r="F4" s="248"/>
      <c r="G4" s="248"/>
      <c r="H4" s="248"/>
      <c r="I4" s="248"/>
      <c r="J4" s="248"/>
      <c r="K4" s="248"/>
      <c r="L4" s="248"/>
      <c r="M4" s="248"/>
      <c r="N4" s="248"/>
    </row>
    <row r="5" spans="2:14" x14ac:dyDescent="0.25">
      <c r="B5" s="247" t="s">
        <v>127</v>
      </c>
      <c r="C5" s="247"/>
      <c r="D5" s="247"/>
      <c r="E5" s="247"/>
      <c r="F5" s="247"/>
      <c r="G5" s="247"/>
      <c r="H5" s="247"/>
      <c r="I5" s="247"/>
      <c r="J5" s="247"/>
      <c r="K5" s="247"/>
      <c r="L5" s="247"/>
      <c r="M5" s="247"/>
      <c r="N5" s="247"/>
    </row>
    <row r="6" spans="2:14" x14ac:dyDescent="0.25">
      <c r="B6" s="249" t="str">
        <f>UPPER(TEXT(paramDataBase,"mmmm \d\e aaaa"))</f>
        <v>JANEIRO DE 1900</v>
      </c>
      <c r="C6" s="249"/>
      <c r="D6" s="249"/>
      <c r="E6" s="249"/>
      <c r="F6" s="249"/>
      <c r="G6" s="249"/>
      <c r="H6" s="249"/>
      <c r="I6" s="249"/>
      <c r="J6" s="249"/>
      <c r="K6" s="249"/>
      <c r="L6" s="249"/>
      <c r="M6" s="249"/>
      <c r="N6" s="249"/>
    </row>
    <row r="8" spans="2:14" ht="15.75" customHeight="1" x14ac:dyDescent="0.25">
      <c r="B8" s="250" t="s">
        <v>615</v>
      </c>
      <c r="C8" s="250"/>
      <c r="D8" s="250"/>
      <c r="E8" s="250"/>
      <c r="F8" s="250"/>
      <c r="N8" s="2" t="s">
        <v>129</v>
      </c>
    </row>
    <row r="9" spans="2:14" x14ac:dyDescent="0.25">
      <c r="B9" s="234" t="s">
        <v>616</v>
      </c>
      <c r="C9" s="257" t="s">
        <v>617</v>
      </c>
      <c r="D9" s="257"/>
      <c r="E9" s="257"/>
      <c r="F9" s="257"/>
      <c r="G9" s="257"/>
      <c r="H9" s="257" t="s">
        <v>618</v>
      </c>
      <c r="I9" s="257"/>
      <c r="J9" s="257"/>
      <c r="K9" s="257"/>
      <c r="L9" s="257"/>
      <c r="M9" s="257"/>
      <c r="N9" s="335" t="s">
        <v>619</v>
      </c>
    </row>
    <row r="10" spans="2:14" x14ac:dyDescent="0.25">
      <c r="B10" s="228"/>
      <c r="C10" s="324" t="s">
        <v>620</v>
      </c>
      <c r="D10" s="324"/>
      <c r="E10" s="244" t="s">
        <v>621</v>
      </c>
      <c r="F10" s="244" t="s">
        <v>622</v>
      </c>
      <c r="G10" s="244" t="s">
        <v>623</v>
      </c>
      <c r="H10" s="324" t="s">
        <v>620</v>
      </c>
      <c r="I10" s="324"/>
      <c r="J10" s="244" t="s">
        <v>624</v>
      </c>
      <c r="K10" s="244" t="s">
        <v>621</v>
      </c>
      <c r="L10" s="244" t="s">
        <v>622</v>
      </c>
      <c r="M10" s="244" t="s">
        <v>623</v>
      </c>
      <c r="N10" s="329"/>
    </row>
    <row r="11" spans="2:14" x14ac:dyDescent="0.25">
      <c r="B11" s="228"/>
      <c r="C11" s="8" t="s">
        <v>625</v>
      </c>
      <c r="D11" s="8" t="s">
        <v>626</v>
      </c>
      <c r="E11" s="244"/>
      <c r="F11" s="244"/>
      <c r="G11" s="244"/>
      <c r="H11" s="8" t="s">
        <v>625</v>
      </c>
      <c r="I11" s="8" t="s">
        <v>626</v>
      </c>
      <c r="J11" s="244"/>
      <c r="K11" s="244"/>
      <c r="L11" s="244"/>
      <c r="M11" s="244"/>
      <c r="N11" s="329"/>
    </row>
    <row r="12" spans="2:14" x14ac:dyDescent="0.25">
      <c r="B12" s="228"/>
      <c r="C12" s="8" t="s">
        <v>627</v>
      </c>
      <c r="D12" s="8" t="str">
        <f>"de "&amp;YEAR(paramDataBase)-1</f>
        <v>de 1899</v>
      </c>
      <c r="E12" s="244"/>
      <c r="F12" s="244"/>
      <c r="G12" s="244"/>
      <c r="H12" s="8" t="s">
        <v>627</v>
      </c>
      <c r="I12" s="8" t="str">
        <f>"de "&amp;YEAR(paramDataBase)-1</f>
        <v>de 1899</v>
      </c>
      <c r="J12" s="244"/>
      <c r="K12" s="244"/>
      <c r="L12" s="244"/>
      <c r="M12" s="244"/>
      <c r="N12" s="329"/>
    </row>
    <row r="13" spans="2:14" x14ac:dyDescent="0.25">
      <c r="B13" s="229"/>
      <c r="C13" s="11" t="s">
        <v>138</v>
      </c>
      <c r="D13" s="11" t="s">
        <v>139</v>
      </c>
      <c r="E13" s="11" t="s">
        <v>141</v>
      </c>
      <c r="F13" s="11" t="s">
        <v>224</v>
      </c>
      <c r="G13" s="11" t="s">
        <v>628</v>
      </c>
      <c r="H13" s="11" t="s">
        <v>226</v>
      </c>
      <c r="I13" s="11" t="s">
        <v>478</v>
      </c>
      <c r="J13" s="11" t="s">
        <v>228</v>
      </c>
      <c r="K13" s="11" t="s">
        <v>629</v>
      </c>
      <c r="L13" s="11" t="s">
        <v>230</v>
      </c>
      <c r="M13" s="11" t="s">
        <v>630</v>
      </c>
      <c r="N13" s="12" t="s">
        <v>631</v>
      </c>
    </row>
    <row r="14" spans="2:14" x14ac:dyDescent="0.25">
      <c r="B14" s="57" t="s">
        <v>639</v>
      </c>
      <c r="C14" s="31">
        <f>C15+C16</f>
        <v>0</v>
      </c>
      <c r="D14" s="31">
        <f>D15+D16</f>
        <v>0</v>
      </c>
      <c r="E14" s="31">
        <f>E15+E16</f>
        <v>0</v>
      </c>
      <c r="F14" s="31">
        <f>F15+F16</f>
        <v>0</v>
      </c>
      <c r="G14" s="31">
        <f>(C14+D14)-(E14+F14)</f>
        <v>0</v>
      </c>
      <c r="H14" s="31">
        <f>H15+H16</f>
        <v>0</v>
      </c>
      <c r="I14" s="31">
        <f>I15+I16</f>
        <v>0</v>
      </c>
      <c r="J14" s="31">
        <f>J15+J16</f>
        <v>0</v>
      </c>
      <c r="K14" s="31">
        <f>K15+K16</f>
        <v>0</v>
      </c>
      <c r="L14" s="31">
        <f>L15+L16</f>
        <v>0</v>
      </c>
      <c r="M14" s="31">
        <f>(H14+I14)-(K14+L14)</f>
        <v>0</v>
      </c>
      <c r="N14" s="32">
        <f>G14+M14</f>
        <v>0</v>
      </c>
    </row>
    <row r="15" spans="2:14" x14ac:dyDescent="0.25">
      <c r="B15" s="33" t="s">
        <v>633</v>
      </c>
      <c r="C15" s="31"/>
      <c r="D15" s="31"/>
      <c r="E15" s="31"/>
      <c r="F15" s="31"/>
      <c r="G15" s="31">
        <f>(C15+D15)-(E15+F15)</f>
        <v>0</v>
      </c>
      <c r="H15" s="31"/>
      <c r="I15" s="31"/>
      <c r="J15" s="31"/>
      <c r="K15" s="31"/>
      <c r="L15" s="31"/>
      <c r="M15" s="31">
        <f>(H15+I15)-(K15+L15)</f>
        <v>0</v>
      </c>
      <c r="N15" s="32">
        <f>G15+M15</f>
        <v>0</v>
      </c>
    </row>
    <row r="16" spans="2:14" x14ac:dyDescent="0.25">
      <c r="B16" s="33" t="s">
        <v>634</v>
      </c>
      <c r="C16" s="31">
        <f>SUM(C17:C18)</f>
        <v>0</v>
      </c>
      <c r="D16" s="31">
        <f>SUM(D17:D18)</f>
        <v>0</v>
      </c>
      <c r="E16" s="31">
        <f>SUM(E17:E18)</f>
        <v>0</v>
      </c>
      <c r="F16" s="31">
        <f>SUM(F17:F18)</f>
        <v>0</v>
      </c>
      <c r="G16" s="31">
        <f>(C16+D16)-(E16+F16)</f>
        <v>0</v>
      </c>
      <c r="H16" s="31">
        <f>SUM(H17:H18)</f>
        <v>0</v>
      </c>
      <c r="I16" s="31">
        <f>SUM(I17:I18)</f>
        <v>0</v>
      </c>
      <c r="J16" s="31">
        <f>SUM(J17:J18)</f>
        <v>0</v>
      </c>
      <c r="K16" s="31">
        <f>SUM(K17:K18)</f>
        <v>0</v>
      </c>
      <c r="L16" s="31">
        <f>SUM(L17:L18)</f>
        <v>0</v>
      </c>
      <c r="M16" s="31">
        <f>(H16+I16)-(K16+L16)</f>
        <v>0</v>
      </c>
      <c r="N16" s="32">
        <f>G16+M16</f>
        <v>0</v>
      </c>
    </row>
    <row r="17" spans="2:14" x14ac:dyDescent="0.25">
      <c r="B17" s="34" t="s">
        <v>635</v>
      </c>
      <c r="C17" s="31"/>
      <c r="D17" s="31"/>
      <c r="E17" s="31"/>
      <c r="F17" s="31"/>
      <c r="G17" s="31">
        <f>(C17+D17)-(E17+F17)</f>
        <v>0</v>
      </c>
      <c r="H17" s="31"/>
      <c r="I17" s="31"/>
      <c r="J17" s="31"/>
      <c r="K17" s="31"/>
      <c r="L17" s="31"/>
      <c r="M17" s="31">
        <f>(H17+I17)-(K17+L17)</f>
        <v>0</v>
      </c>
      <c r="N17" s="32">
        <f>G17+M17</f>
        <v>0</v>
      </c>
    </row>
    <row r="18" spans="2:14" ht="15.75" customHeight="1" x14ac:dyDescent="0.25">
      <c r="B18" s="197" t="s">
        <v>636</v>
      </c>
      <c r="C18" s="22"/>
      <c r="D18" s="22"/>
      <c r="E18" s="22"/>
      <c r="F18" s="22"/>
      <c r="G18" s="22">
        <f>(C18+D18)-(E18+F18)</f>
        <v>0</v>
      </c>
      <c r="H18" s="22"/>
      <c r="I18" s="22"/>
      <c r="J18" s="22"/>
      <c r="K18" s="22"/>
      <c r="L18" s="22"/>
      <c r="M18" s="22">
        <f>(H18+I18)-(K18+L18)</f>
        <v>0</v>
      </c>
      <c r="N18" s="23">
        <f>G18+M18</f>
        <v>0</v>
      </c>
    </row>
    <row r="19" spans="2:14" x14ac:dyDescent="0.25">
      <c r="B19" s="249" t="str">
        <f ca="1">_xlfn.CONCAT("Fonte: ",paramFonte,". Emissão em ",TEXT(NOW(),"dd/mm/aaaa \à\s hh:mm:ss"))</f>
        <v>Fonte: Sistema MS Excel + SIAPC/PAD, Unidade Responsável: Secretaria da Fazenda / Setor de Contabilidade. Emissão em 09/05/2024 às 09:42:51</v>
      </c>
      <c r="C19" s="249"/>
      <c r="D19" s="249"/>
      <c r="E19" s="249"/>
      <c r="F19" s="249"/>
      <c r="G19" s="249"/>
      <c r="H19" s="249"/>
      <c r="I19" s="249"/>
      <c r="J19" s="249"/>
      <c r="K19" s="249"/>
      <c r="L19" s="249"/>
      <c r="M19" s="249"/>
      <c r="N19" s="249"/>
    </row>
    <row r="21" spans="2:14" x14ac:dyDescent="0.25">
      <c r="B21" s="247" t="s">
        <v>253</v>
      </c>
      <c r="C21" s="247"/>
      <c r="D21" s="247"/>
      <c r="E21" s="247"/>
      <c r="F21" s="247"/>
      <c r="G21" s="247"/>
      <c r="H21" s="247"/>
      <c r="I21" s="247"/>
      <c r="J21" s="247"/>
      <c r="K21" s="247"/>
      <c r="L21" s="247"/>
      <c r="M21" s="247"/>
      <c r="N21" s="247"/>
    </row>
    <row r="22" spans="2:14" x14ac:dyDescent="0.25">
      <c r="B22" s="196" t="str">
        <f>IFERROR(_xlfn.CONCAT(_xlfn._xlws.FILTER(tblNotasExplicativas[Nota Com Separador],tblNotasExplicativas[Demonstrativo]="RREO A7")),"")</f>
        <v/>
      </c>
      <c r="C22" s="196"/>
      <c r="D22" s="196"/>
      <c r="E22" s="196"/>
      <c r="F22" s="196"/>
      <c r="G22" s="196"/>
      <c r="H22" s="46"/>
      <c r="I22" s="46"/>
      <c r="J22" s="46"/>
      <c r="K22" s="46"/>
      <c r="L22" s="46"/>
      <c r="M22" s="46"/>
      <c r="N22" s="46"/>
    </row>
    <row r="26" spans="2:14" x14ac:dyDescent="0.25">
      <c r="B26" t="str">
        <f>paramNomeContador</f>
        <v>EVERTON DA ROSA</v>
      </c>
      <c r="H26" s="247" t="str">
        <f>paramNomeSecretario</f>
        <v>ANA PAULA RODRIGUES SCHNEIDER SCHMIDT</v>
      </c>
      <c r="I26" s="247"/>
      <c r="M26" s="247" t="str">
        <f>paramNomePrefeito</f>
        <v>JOÃO EDÉCIO GRAEF</v>
      </c>
      <c r="N26" s="247"/>
    </row>
    <row r="27" spans="2:14" x14ac:dyDescent="0.25">
      <c r="B27" t="str">
        <f>paramCargoContador</f>
        <v>Contador</v>
      </c>
      <c r="H27" s="247" t="str">
        <f>paramCargoSecretario</f>
        <v>Secretária da Fazenda</v>
      </c>
      <c r="I27" s="247"/>
      <c r="M27" s="247" t="str">
        <f>paramCargoPrefeito</f>
        <v>Prefeito Municipal</v>
      </c>
      <c r="N27" s="247"/>
    </row>
    <row r="28" spans="2:14" x14ac:dyDescent="0.25">
      <c r="B28" t="str">
        <f>_xlfn.CONCAT("CRC ",paramCRCContador)</f>
        <v>CRC 076595/O-3</v>
      </c>
    </row>
  </sheetData>
  <mergeCells count="25">
    <mergeCell ref="H27:I27"/>
    <mergeCell ref="M27:N27"/>
    <mergeCell ref="K10:K12"/>
    <mergeCell ref="L10:L12"/>
    <mergeCell ref="M10:M12"/>
    <mergeCell ref="B19:N19"/>
    <mergeCell ref="B21:N21"/>
    <mergeCell ref="H26:I26"/>
    <mergeCell ref="M26:N26"/>
    <mergeCell ref="B9:B13"/>
    <mergeCell ref="C9:G9"/>
    <mergeCell ref="H9:M9"/>
    <mergeCell ref="N9:N12"/>
    <mergeCell ref="C10:D10"/>
    <mergeCell ref="E10:E12"/>
    <mergeCell ref="F10:F12"/>
    <mergeCell ref="G10:G12"/>
    <mergeCell ref="H10:I10"/>
    <mergeCell ref="J10:J12"/>
    <mergeCell ref="B2:N2"/>
    <mergeCell ref="B3:N3"/>
    <mergeCell ref="B4:N4"/>
    <mergeCell ref="B5:N5"/>
    <mergeCell ref="B6:N6"/>
    <mergeCell ref="B8:F8"/>
  </mergeCells>
  <pageMargins left="0.25" right="0.25" top="0.75" bottom="0.75" header="0.3" footer="0.3"/>
  <pageSetup paperSize="9" scale="6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853C0C"/>
    <pageSetUpPr fitToPage="1"/>
  </sheetPr>
  <dimension ref="B2:I227"/>
  <sheetViews>
    <sheetView tabSelected="1" topLeftCell="A201" zoomScaleNormal="100" workbookViewId="0">
      <selection activeCell="B210" sqref="B210:H210"/>
    </sheetView>
  </sheetViews>
  <sheetFormatPr defaultRowHeight="15" x14ac:dyDescent="0.25"/>
  <cols>
    <col min="2" max="2" width="93.28515625" bestFit="1" customWidth="1"/>
    <col min="3" max="3" width="41.5703125" bestFit="1" customWidth="1"/>
    <col min="4" max="4" width="23.28515625" bestFit="1" customWidth="1"/>
    <col min="5" max="5" width="24.85546875" bestFit="1" customWidth="1"/>
    <col min="6" max="6" width="21.5703125" bestFit="1" customWidth="1"/>
    <col min="7" max="7" width="36.5703125" bestFit="1" customWidth="1"/>
    <col min="8" max="8" width="31.140625" bestFit="1" customWidth="1"/>
    <col min="13" max="13" width="11.5703125" customWidth="1"/>
    <col min="15" max="15" width="11.5703125" customWidth="1"/>
  </cols>
  <sheetData>
    <row r="2" spans="2:8" x14ac:dyDescent="0.25">
      <c r="B2" s="247" t="str">
        <f>paramEnte</f>
        <v>Município de Independência - RS</v>
      </c>
      <c r="C2" s="247"/>
      <c r="D2" s="247"/>
      <c r="E2" s="247"/>
      <c r="F2" s="247"/>
      <c r="G2" s="247"/>
      <c r="H2" s="247"/>
    </row>
    <row r="3" spans="2:8" x14ac:dyDescent="0.25">
      <c r="B3" s="247" t="s">
        <v>125</v>
      </c>
      <c r="C3" s="247"/>
      <c r="D3" s="247"/>
      <c r="E3" s="247"/>
      <c r="F3" s="247"/>
      <c r="G3" s="247"/>
      <c r="H3" s="247"/>
    </row>
    <row r="4" spans="2:8" x14ac:dyDescent="0.25">
      <c r="B4" s="248" t="s">
        <v>640</v>
      </c>
      <c r="C4" s="248"/>
      <c r="D4" s="248"/>
      <c r="E4" s="248"/>
      <c r="F4" s="248"/>
      <c r="G4" s="248"/>
      <c r="H4" s="248"/>
    </row>
    <row r="5" spans="2:8" x14ac:dyDescent="0.25">
      <c r="B5" s="247" t="s">
        <v>127</v>
      </c>
      <c r="C5" s="247"/>
      <c r="D5" s="247"/>
      <c r="E5" s="247"/>
      <c r="F5" s="247"/>
      <c r="G5" s="247"/>
      <c r="H5" s="247"/>
    </row>
    <row r="6" spans="2:8" x14ac:dyDescent="0.25">
      <c r="B6" s="249" t="str">
        <f>UPPER(TEXT(paramDataBase,"mmmm \d\e aaaa"))</f>
        <v>JANEIRO DE 1900</v>
      </c>
      <c r="C6" s="249"/>
      <c r="D6" s="249"/>
      <c r="E6" s="249"/>
      <c r="F6" s="249"/>
      <c r="G6" s="249"/>
      <c r="H6" s="249"/>
    </row>
    <row r="8" spans="2:8" ht="15.75" customHeight="1" x14ac:dyDescent="0.25">
      <c r="B8" s="250" t="s">
        <v>641</v>
      </c>
      <c r="C8" s="250"/>
      <c r="D8" s="250"/>
      <c r="E8" s="250"/>
      <c r="F8" s="250"/>
      <c r="G8" s="250"/>
      <c r="H8" s="24">
        <v>1</v>
      </c>
    </row>
    <row r="9" spans="2:8" x14ac:dyDescent="0.25">
      <c r="B9" s="273" t="s">
        <v>642</v>
      </c>
      <c r="C9" s="257"/>
      <c r="D9" s="257"/>
      <c r="E9" s="257"/>
      <c r="F9" s="257"/>
      <c r="G9" s="257"/>
      <c r="H9" s="268"/>
    </row>
    <row r="10" spans="2:8" x14ac:dyDescent="0.25">
      <c r="B10" s="228" t="s">
        <v>643</v>
      </c>
      <c r="C10" s="244"/>
      <c r="D10" s="244"/>
      <c r="E10" s="244"/>
      <c r="F10" s="244"/>
      <c r="G10" s="8" t="s">
        <v>416</v>
      </c>
      <c r="H10" s="10" t="s">
        <v>133</v>
      </c>
    </row>
    <row r="11" spans="2:8" x14ac:dyDescent="0.25">
      <c r="B11" s="228"/>
      <c r="C11" s="244"/>
      <c r="D11" s="244"/>
      <c r="E11" s="244"/>
      <c r="F11" s="244"/>
      <c r="G11" s="8" t="s">
        <v>262</v>
      </c>
      <c r="H11" s="10" t="s">
        <v>137</v>
      </c>
    </row>
    <row r="12" spans="2:8" x14ac:dyDescent="0.25">
      <c r="B12" s="229"/>
      <c r="C12" s="252"/>
      <c r="D12" s="252"/>
      <c r="E12" s="252"/>
      <c r="F12" s="252"/>
      <c r="G12" s="11" t="s">
        <v>138</v>
      </c>
      <c r="H12" s="12" t="s">
        <v>139</v>
      </c>
    </row>
    <row r="13" spans="2:8" x14ac:dyDescent="0.25">
      <c r="B13" s="230" t="s">
        <v>644</v>
      </c>
      <c r="C13" s="231"/>
      <c r="D13" s="231"/>
      <c r="E13" s="231"/>
      <c r="F13" s="231"/>
      <c r="G13" s="50">
        <f>SUM(G14:G17)</f>
        <v>0</v>
      </c>
      <c r="H13" s="52">
        <f>SUM(H14:H17)</f>
        <v>0</v>
      </c>
    </row>
    <row r="14" spans="2:8" x14ac:dyDescent="0.25">
      <c r="B14" s="283" t="s">
        <v>645</v>
      </c>
      <c r="C14" s="284"/>
      <c r="D14" s="284"/>
      <c r="E14" s="284"/>
      <c r="F14" s="284"/>
      <c r="G14" s="53"/>
      <c r="H14" s="55"/>
    </row>
    <row r="15" spans="2:8" x14ac:dyDescent="0.25">
      <c r="B15" s="283" t="s">
        <v>646</v>
      </c>
      <c r="C15" s="284"/>
      <c r="D15" s="284"/>
      <c r="E15" s="284"/>
      <c r="F15" s="284"/>
      <c r="G15" s="53"/>
      <c r="H15" s="55"/>
    </row>
    <row r="16" spans="2:8" x14ac:dyDescent="0.25">
      <c r="B16" s="283" t="s">
        <v>647</v>
      </c>
      <c r="C16" s="284"/>
      <c r="D16" s="284"/>
      <c r="E16" s="284"/>
      <c r="F16" s="284"/>
      <c r="G16" s="53"/>
      <c r="H16" s="55"/>
    </row>
    <row r="17" spans="2:8" x14ac:dyDescent="0.25">
      <c r="B17" s="283" t="s">
        <v>648</v>
      </c>
      <c r="C17" s="284"/>
      <c r="D17" s="284"/>
      <c r="E17" s="284"/>
      <c r="F17" s="284"/>
      <c r="G17" s="53"/>
      <c r="H17" s="55"/>
    </row>
    <row r="18" spans="2:8" x14ac:dyDescent="0.25">
      <c r="B18" s="266" t="s">
        <v>649</v>
      </c>
      <c r="C18" s="267"/>
      <c r="D18" s="267"/>
      <c r="E18" s="267"/>
      <c r="F18" s="267"/>
      <c r="G18" s="53">
        <f>SUM(G22:G27,G19)</f>
        <v>0</v>
      </c>
      <c r="H18" s="55">
        <f>SUM(H22:H27,H19)</f>
        <v>0</v>
      </c>
    </row>
    <row r="19" spans="2:8" x14ac:dyDescent="0.25">
      <c r="B19" s="283" t="s">
        <v>650</v>
      </c>
      <c r="C19" s="284"/>
      <c r="D19" s="284"/>
      <c r="E19" s="284"/>
      <c r="F19" s="284"/>
      <c r="G19" s="53">
        <f>SUM(G20:G21)</f>
        <v>0</v>
      </c>
      <c r="H19" s="55">
        <f>SUM(H20:H21)</f>
        <v>0</v>
      </c>
    </row>
    <row r="20" spans="2:8" x14ac:dyDescent="0.25">
      <c r="B20" s="279" t="s">
        <v>651</v>
      </c>
      <c r="C20" s="280"/>
      <c r="D20" s="280"/>
      <c r="E20" s="280"/>
      <c r="F20" s="280"/>
      <c r="G20" s="53"/>
      <c r="H20" s="55"/>
    </row>
    <row r="21" spans="2:8" x14ac:dyDescent="0.25">
      <c r="B21" s="279" t="s">
        <v>652</v>
      </c>
      <c r="C21" s="280"/>
      <c r="D21" s="280"/>
      <c r="E21" s="280"/>
      <c r="F21" s="280"/>
      <c r="G21" s="53"/>
      <c r="H21" s="55"/>
    </row>
    <row r="22" spans="2:8" x14ac:dyDescent="0.25">
      <c r="B22" s="283" t="s">
        <v>653</v>
      </c>
      <c r="C22" s="284"/>
      <c r="D22" s="284"/>
      <c r="E22" s="284"/>
      <c r="F22" s="284"/>
      <c r="G22" s="53"/>
      <c r="H22" s="55"/>
    </row>
    <row r="23" spans="2:8" x14ac:dyDescent="0.25">
      <c r="B23" s="283" t="s">
        <v>654</v>
      </c>
      <c r="C23" s="284"/>
      <c r="D23" s="284"/>
      <c r="E23" s="284"/>
      <c r="F23" s="284"/>
      <c r="G23" s="53"/>
      <c r="H23" s="55"/>
    </row>
    <row r="24" spans="2:8" x14ac:dyDescent="0.25">
      <c r="B24" s="283" t="s">
        <v>655</v>
      </c>
      <c r="C24" s="284"/>
      <c r="D24" s="284"/>
      <c r="E24" s="284"/>
      <c r="F24" s="284"/>
      <c r="G24" s="53"/>
      <c r="H24" s="55"/>
    </row>
    <row r="25" spans="2:8" x14ac:dyDescent="0.25">
      <c r="B25" s="283" t="s">
        <v>656</v>
      </c>
      <c r="C25" s="284"/>
      <c r="D25" s="284"/>
      <c r="E25" s="284"/>
      <c r="F25" s="284"/>
      <c r="G25" s="53"/>
      <c r="H25" s="55"/>
    </row>
    <row r="26" spans="2:8" x14ac:dyDescent="0.25">
      <c r="B26" s="283" t="s">
        <v>657</v>
      </c>
      <c r="C26" s="284"/>
      <c r="D26" s="284"/>
      <c r="E26" s="284"/>
      <c r="F26" s="284"/>
      <c r="G26" s="53"/>
      <c r="H26" s="55"/>
    </row>
    <row r="27" spans="2:8" x14ac:dyDescent="0.25">
      <c r="B27" s="365" t="s">
        <v>658</v>
      </c>
      <c r="C27" s="366"/>
      <c r="D27" s="366"/>
      <c r="E27" s="366"/>
      <c r="F27" s="366"/>
      <c r="G27" s="78"/>
      <c r="H27" s="79"/>
    </row>
    <row r="28" spans="2:8" ht="15.75" customHeight="1" x14ac:dyDescent="0.25">
      <c r="B28" s="349" t="s">
        <v>659</v>
      </c>
      <c r="C28" s="350"/>
      <c r="D28" s="350"/>
      <c r="E28" s="350"/>
      <c r="F28" s="350"/>
      <c r="G28" s="27">
        <f>G13+G18</f>
        <v>0</v>
      </c>
      <c r="H28" s="28">
        <f>H13+H18</f>
        <v>0</v>
      </c>
    </row>
    <row r="29" spans="2:8" ht="15.75" customHeight="1" x14ac:dyDescent="0.25"/>
    <row r="30" spans="2:8" ht="15.75" customHeight="1" x14ac:dyDescent="0.25">
      <c r="B30" s="362" t="s">
        <v>660</v>
      </c>
      <c r="C30" s="364"/>
      <c r="D30" s="364"/>
      <c r="E30" s="364"/>
      <c r="F30" s="364"/>
      <c r="G30" s="29">
        <f>ROUND((G20+G22+G23+G24+G25)*20%,2)</f>
        <v>0</v>
      </c>
      <c r="H30" s="30">
        <f>ROUND((H20+H22+H23+H24+H25+H27)*20%,2)</f>
        <v>0</v>
      </c>
    </row>
    <row r="31" spans="2:8" ht="15.75" customHeight="1" x14ac:dyDescent="0.25"/>
    <row r="32" spans="2:8" ht="30.75" customHeight="1" x14ac:dyDescent="0.25">
      <c r="B32" s="367" t="s">
        <v>661</v>
      </c>
      <c r="C32" s="368"/>
      <c r="D32" s="368"/>
      <c r="E32" s="368"/>
      <c r="F32" s="368"/>
      <c r="G32" s="29">
        <f>ROUND(((G20+G22+G23+G24+G25)*5%)+((G14+G15+G16+G17+G21+G26+G27)*paramMinimoMDE),2)</f>
        <v>0</v>
      </c>
      <c r="H32" s="30">
        <f>ROUND(((H20+H22+H23+H24+H25)*5%)+((H14+H15+H16+H17+H21+H26+H27)*paramMinimoMDE),2)</f>
        <v>0</v>
      </c>
    </row>
    <row r="33" spans="2:8" ht="15.75" customHeight="1" x14ac:dyDescent="0.25"/>
    <row r="34" spans="2:8" x14ac:dyDescent="0.25">
      <c r="B34" s="273" t="s">
        <v>662</v>
      </c>
      <c r="C34" s="257"/>
      <c r="D34" s="257"/>
      <c r="E34" s="257"/>
      <c r="F34" s="257"/>
      <c r="G34" s="257"/>
      <c r="H34" s="268"/>
    </row>
    <row r="35" spans="2:8" x14ac:dyDescent="0.25">
      <c r="B35" s="228" t="s">
        <v>663</v>
      </c>
      <c r="C35" s="244"/>
      <c r="D35" s="244"/>
      <c r="E35" s="244"/>
      <c r="F35" s="244"/>
      <c r="G35" s="8" t="s">
        <v>416</v>
      </c>
      <c r="H35" s="10" t="s">
        <v>133</v>
      </c>
    </row>
    <row r="36" spans="2:8" x14ac:dyDescent="0.25">
      <c r="B36" s="228"/>
      <c r="C36" s="244"/>
      <c r="D36" s="244"/>
      <c r="E36" s="244"/>
      <c r="F36" s="244"/>
      <c r="G36" s="8" t="s">
        <v>262</v>
      </c>
      <c r="H36" s="10" t="s">
        <v>137</v>
      </c>
    </row>
    <row r="37" spans="2:8" x14ac:dyDescent="0.25">
      <c r="B37" s="229"/>
      <c r="C37" s="252"/>
      <c r="D37" s="252"/>
      <c r="E37" s="252"/>
      <c r="F37" s="252"/>
      <c r="G37" s="11" t="s">
        <v>138</v>
      </c>
      <c r="H37" s="12" t="s">
        <v>139</v>
      </c>
    </row>
    <row r="38" spans="2:8" x14ac:dyDescent="0.25">
      <c r="B38" s="290" t="s">
        <v>664</v>
      </c>
      <c r="C38" s="291"/>
      <c r="D38" s="291"/>
      <c r="E38" s="291"/>
      <c r="F38" s="291"/>
      <c r="G38" s="71">
        <f>G39+G43+G47+G51</f>
        <v>0</v>
      </c>
      <c r="H38" s="72">
        <f>H39+H43+H47+H51</f>
        <v>0</v>
      </c>
    </row>
    <row r="39" spans="2:8" x14ac:dyDescent="0.25">
      <c r="B39" s="283" t="s">
        <v>665</v>
      </c>
      <c r="C39" s="284"/>
      <c r="D39" s="284"/>
      <c r="E39" s="284"/>
      <c r="F39" s="284"/>
      <c r="G39" s="31">
        <f>SUM(G40:G42)</f>
        <v>0</v>
      </c>
      <c r="H39" s="32">
        <f>SUM(H40:H42)</f>
        <v>0</v>
      </c>
    </row>
    <row r="40" spans="2:8" x14ac:dyDescent="0.25">
      <c r="B40" s="279" t="s">
        <v>666</v>
      </c>
      <c r="C40" s="280"/>
      <c r="D40" s="280"/>
      <c r="E40" s="280"/>
      <c r="F40" s="280"/>
      <c r="G40" s="31"/>
      <c r="H40" s="32"/>
    </row>
    <row r="41" spans="2:8" x14ac:dyDescent="0.25">
      <c r="B41" s="279" t="s">
        <v>667</v>
      </c>
      <c r="C41" s="280"/>
      <c r="D41" s="280"/>
      <c r="E41" s="280"/>
      <c r="F41" s="280"/>
      <c r="G41" s="31"/>
      <c r="H41" s="32"/>
    </row>
    <row r="42" spans="2:8" x14ac:dyDescent="0.25">
      <c r="B42" s="279" t="s">
        <v>668</v>
      </c>
      <c r="C42" s="280"/>
      <c r="D42" s="280"/>
      <c r="E42" s="280"/>
      <c r="F42" s="280"/>
      <c r="G42" s="31"/>
      <c r="H42" s="32"/>
    </row>
    <row r="43" spans="2:8" x14ac:dyDescent="0.25">
      <c r="B43" s="283" t="s">
        <v>669</v>
      </c>
      <c r="C43" s="284"/>
      <c r="D43" s="284"/>
      <c r="E43" s="284"/>
      <c r="F43" s="284"/>
      <c r="G43" s="31">
        <f>SUM(G44:G46)</f>
        <v>0</v>
      </c>
      <c r="H43" s="32">
        <f>SUM(H44:H46)</f>
        <v>0</v>
      </c>
    </row>
    <row r="44" spans="2:8" x14ac:dyDescent="0.25">
      <c r="B44" s="279" t="s">
        <v>670</v>
      </c>
      <c r="C44" s="280"/>
      <c r="D44" s="280"/>
      <c r="E44" s="280"/>
      <c r="F44" s="280"/>
      <c r="G44" s="31"/>
      <c r="H44" s="32"/>
    </row>
    <row r="45" spans="2:8" x14ac:dyDescent="0.25">
      <c r="B45" s="279" t="s">
        <v>671</v>
      </c>
      <c r="C45" s="280"/>
      <c r="D45" s="280"/>
      <c r="E45" s="280"/>
      <c r="F45" s="280"/>
      <c r="G45" s="31"/>
      <c r="H45" s="32"/>
    </row>
    <row r="46" spans="2:8" x14ac:dyDescent="0.25">
      <c r="B46" s="279" t="s">
        <v>672</v>
      </c>
      <c r="C46" s="280"/>
      <c r="D46" s="280"/>
      <c r="E46" s="280"/>
      <c r="F46" s="280"/>
      <c r="G46" s="31"/>
      <c r="H46" s="32"/>
    </row>
    <row r="47" spans="2:8" x14ac:dyDescent="0.25">
      <c r="B47" s="283" t="s">
        <v>673</v>
      </c>
      <c r="C47" s="284"/>
      <c r="D47" s="284"/>
      <c r="E47" s="284"/>
      <c r="F47" s="284"/>
      <c r="G47" s="31">
        <f>SUM(G48:G50)</f>
        <v>0</v>
      </c>
      <c r="H47" s="32">
        <f>SUM(H48:H50)</f>
        <v>0</v>
      </c>
    </row>
    <row r="48" spans="2:8" x14ac:dyDescent="0.25">
      <c r="B48" s="279" t="s">
        <v>674</v>
      </c>
      <c r="C48" s="280"/>
      <c r="D48" s="280"/>
      <c r="E48" s="280"/>
      <c r="F48" s="280"/>
      <c r="G48" s="31"/>
      <c r="H48" s="32"/>
    </row>
    <row r="49" spans="2:8" x14ac:dyDescent="0.25">
      <c r="B49" s="279" t="s">
        <v>675</v>
      </c>
      <c r="C49" s="280"/>
      <c r="D49" s="280"/>
      <c r="E49" s="280"/>
      <c r="F49" s="280"/>
      <c r="G49" s="31"/>
      <c r="H49" s="32"/>
    </row>
    <row r="50" spans="2:8" x14ac:dyDescent="0.25">
      <c r="B50" s="279" t="s">
        <v>676</v>
      </c>
      <c r="C50" s="280"/>
      <c r="D50" s="280"/>
      <c r="E50" s="280"/>
      <c r="F50" s="280"/>
      <c r="G50" s="31"/>
      <c r="H50" s="32"/>
    </row>
    <row r="51" spans="2:8" x14ac:dyDescent="0.25">
      <c r="B51" s="283" t="s">
        <v>677</v>
      </c>
      <c r="C51" s="284"/>
      <c r="D51" s="284"/>
      <c r="E51" s="284"/>
      <c r="F51" s="284"/>
      <c r="G51" s="31">
        <f>SUM(G52:G54)</f>
        <v>0</v>
      </c>
      <c r="H51" s="32">
        <f>SUM(H52:H54)</f>
        <v>0</v>
      </c>
    </row>
    <row r="52" spans="2:8" x14ac:dyDescent="0.25">
      <c r="B52" s="279" t="s">
        <v>678</v>
      </c>
      <c r="C52" s="280"/>
      <c r="D52" s="280"/>
      <c r="E52" s="280"/>
      <c r="F52" s="280"/>
      <c r="G52" s="31"/>
      <c r="H52" s="32"/>
    </row>
    <row r="53" spans="2:8" x14ac:dyDescent="0.25">
      <c r="B53" s="279" t="s">
        <v>679</v>
      </c>
      <c r="C53" s="280"/>
      <c r="D53" s="280"/>
      <c r="E53" s="280"/>
      <c r="F53" s="280"/>
      <c r="G53" s="31"/>
      <c r="H53" s="32"/>
    </row>
    <row r="54" spans="2:8" ht="15.75" customHeight="1" x14ac:dyDescent="0.25">
      <c r="B54" s="358" t="s">
        <v>680</v>
      </c>
      <c r="C54" s="359"/>
      <c r="D54" s="359"/>
      <c r="E54" s="359"/>
      <c r="F54" s="359"/>
      <c r="G54" s="22"/>
      <c r="H54" s="23"/>
    </row>
    <row r="55" spans="2:8" ht="15.75" customHeight="1" x14ac:dyDescent="0.25"/>
    <row r="56" spans="2:8" ht="15.75" customHeight="1" x14ac:dyDescent="0.25">
      <c r="B56" s="362" t="s">
        <v>681</v>
      </c>
      <c r="C56" s="364"/>
      <c r="D56" s="364"/>
      <c r="E56" s="364"/>
      <c r="F56" s="364"/>
      <c r="G56" s="29">
        <f>G40-G30</f>
        <v>0</v>
      </c>
      <c r="H56" s="30">
        <f>H40-H30</f>
        <v>0</v>
      </c>
    </row>
    <row r="57" spans="2:8" ht="15.75" customHeight="1" x14ac:dyDescent="0.25"/>
    <row r="58" spans="2:8" x14ac:dyDescent="0.25">
      <c r="B58" s="273" t="s">
        <v>682</v>
      </c>
      <c r="C58" s="257"/>
      <c r="D58" s="257"/>
      <c r="E58" s="257"/>
      <c r="F58" s="257"/>
      <c r="G58" s="257"/>
      <c r="H58" s="25" t="s">
        <v>488</v>
      </c>
    </row>
    <row r="59" spans="2:8" x14ac:dyDescent="0.25">
      <c r="B59" s="290" t="s">
        <v>683</v>
      </c>
      <c r="C59" s="291"/>
      <c r="D59" s="291"/>
      <c r="E59" s="291"/>
      <c r="F59" s="291"/>
      <c r="G59" s="291"/>
      <c r="H59" s="72">
        <f>SUM(H60:H61)</f>
        <v>0</v>
      </c>
    </row>
    <row r="60" spans="2:8" x14ac:dyDescent="0.25">
      <c r="B60" s="283" t="s">
        <v>684</v>
      </c>
      <c r="C60" s="284"/>
      <c r="D60" s="284"/>
      <c r="E60" s="284"/>
      <c r="F60" s="284"/>
      <c r="G60" s="284"/>
      <c r="H60" s="32"/>
    </row>
    <row r="61" spans="2:8" ht="15.75" customHeight="1" x14ac:dyDescent="0.25">
      <c r="B61" s="345" t="s">
        <v>685</v>
      </c>
      <c r="C61" s="346"/>
      <c r="D61" s="346"/>
      <c r="E61" s="346"/>
      <c r="F61" s="346"/>
      <c r="G61" s="346"/>
      <c r="H61" s="23"/>
    </row>
    <row r="62" spans="2:8" ht="15.75" customHeight="1" x14ac:dyDescent="0.25"/>
    <row r="63" spans="2:8" ht="15.75" customHeight="1" x14ac:dyDescent="0.25">
      <c r="B63" s="361" t="s">
        <v>686</v>
      </c>
      <c r="C63" s="361"/>
      <c r="D63" s="361"/>
      <c r="E63" s="361"/>
      <c r="F63" s="361"/>
      <c r="G63" s="362"/>
      <c r="H63" s="30">
        <f>H38+H59</f>
        <v>0</v>
      </c>
    </row>
    <row r="64" spans="2:8" ht="15.75" customHeight="1" x14ac:dyDescent="0.25"/>
    <row r="65" spans="2:8" x14ac:dyDescent="0.25">
      <c r="B65" s="363" t="s">
        <v>687</v>
      </c>
      <c r="C65" s="253"/>
      <c r="D65" s="253" t="s">
        <v>217</v>
      </c>
      <c r="E65" s="253" t="s">
        <v>218</v>
      </c>
      <c r="F65" s="253" t="s">
        <v>219</v>
      </c>
      <c r="G65" s="253" t="s">
        <v>220</v>
      </c>
      <c r="H65" s="9" t="s">
        <v>688</v>
      </c>
    </row>
    <row r="66" spans="2:8" x14ac:dyDescent="0.25">
      <c r="B66" s="342"/>
      <c r="C66" s="254"/>
      <c r="D66" s="254"/>
      <c r="E66" s="254"/>
      <c r="F66" s="254"/>
      <c r="G66" s="254"/>
      <c r="H66" s="10" t="s">
        <v>689</v>
      </c>
    </row>
    <row r="67" spans="2:8" x14ac:dyDescent="0.25">
      <c r="B67" s="344" t="s">
        <v>690</v>
      </c>
      <c r="C67" s="324"/>
      <c r="D67" s="11" t="s">
        <v>141</v>
      </c>
      <c r="E67" s="11" t="s">
        <v>224</v>
      </c>
      <c r="F67" s="11" t="s">
        <v>225</v>
      </c>
      <c r="G67" s="11" t="s">
        <v>226</v>
      </c>
      <c r="H67" s="12" t="s">
        <v>478</v>
      </c>
    </row>
    <row r="68" spans="2:8" x14ac:dyDescent="0.25">
      <c r="B68" s="230" t="s">
        <v>691</v>
      </c>
      <c r="C68" s="231"/>
      <c r="D68" s="65">
        <f>D69+D76</f>
        <v>0</v>
      </c>
      <c r="E68" s="65">
        <f>E69+E76</f>
        <v>0</v>
      </c>
      <c r="F68" s="65">
        <f>F69+F76</f>
        <v>0</v>
      </c>
      <c r="G68" s="65">
        <f>G69+G76</f>
        <v>0</v>
      </c>
      <c r="H68" s="66" t="str">
        <f t="shared" ref="H68:H83" si="0">IF(MONTH(paramDataBase)=12,E68-F68,"")</f>
        <v/>
      </c>
    </row>
    <row r="69" spans="2:8" x14ac:dyDescent="0.25">
      <c r="B69" s="283" t="s">
        <v>692</v>
      </c>
      <c r="C69" s="284"/>
      <c r="D69" s="31"/>
      <c r="E69" s="31"/>
      <c r="F69" s="31"/>
      <c r="G69" s="31"/>
      <c r="H69" s="32" t="str">
        <f t="shared" si="0"/>
        <v/>
      </c>
    </row>
    <row r="70" spans="2:8" x14ac:dyDescent="0.25">
      <c r="B70" s="279" t="s">
        <v>693</v>
      </c>
      <c r="C70" s="280"/>
      <c r="D70" s="31"/>
      <c r="E70" s="31"/>
      <c r="F70" s="31"/>
      <c r="G70" s="31"/>
      <c r="H70" s="32" t="str">
        <f t="shared" si="0"/>
        <v/>
      </c>
    </row>
    <row r="71" spans="2:8" x14ac:dyDescent="0.25">
      <c r="B71" s="279" t="s">
        <v>694</v>
      </c>
      <c r="C71" s="280"/>
      <c r="D71" s="31"/>
      <c r="E71" s="31"/>
      <c r="F71" s="31"/>
      <c r="G71" s="31"/>
      <c r="H71" s="32" t="str">
        <f t="shared" si="0"/>
        <v/>
      </c>
    </row>
    <row r="72" spans="2:8" x14ac:dyDescent="0.25">
      <c r="B72" s="279" t="s">
        <v>695</v>
      </c>
      <c r="C72" s="280"/>
      <c r="D72" s="31"/>
      <c r="E72" s="31"/>
      <c r="F72" s="31"/>
      <c r="G72" s="31"/>
      <c r="H72" s="32" t="str">
        <f t="shared" si="0"/>
        <v/>
      </c>
    </row>
    <row r="73" spans="2:8" x14ac:dyDescent="0.25">
      <c r="B73" s="279" t="s">
        <v>696</v>
      </c>
      <c r="C73" s="280"/>
      <c r="D73" s="31"/>
      <c r="E73" s="31"/>
      <c r="F73" s="31"/>
      <c r="G73" s="31"/>
      <c r="H73" s="32" t="str">
        <f t="shared" si="0"/>
        <v/>
      </c>
    </row>
    <row r="74" spans="2:8" x14ac:dyDescent="0.25">
      <c r="B74" s="279" t="s">
        <v>697</v>
      </c>
      <c r="C74" s="280"/>
      <c r="D74" s="31"/>
      <c r="E74" s="31"/>
      <c r="F74" s="31"/>
      <c r="G74" s="31"/>
      <c r="H74" s="32" t="str">
        <f t="shared" si="0"/>
        <v/>
      </c>
    </row>
    <row r="75" spans="2:8" x14ac:dyDescent="0.25">
      <c r="B75" s="279" t="s">
        <v>698</v>
      </c>
      <c r="C75" s="280"/>
      <c r="D75" s="31">
        <f>D69-SUM(D70:D74)</f>
        <v>0</v>
      </c>
      <c r="E75" s="31">
        <f t="shared" ref="E75:G75" si="1">E69-SUM(E70:E74)</f>
        <v>0</v>
      </c>
      <c r="F75" s="31">
        <f t="shared" si="1"/>
        <v>0</v>
      </c>
      <c r="G75" s="31">
        <f t="shared" si="1"/>
        <v>0</v>
      </c>
      <c r="H75" s="32" t="str">
        <f t="shared" si="0"/>
        <v/>
      </c>
    </row>
    <row r="76" spans="2:8" x14ac:dyDescent="0.25">
      <c r="B76" s="283" t="s">
        <v>699</v>
      </c>
      <c r="C76" s="284"/>
      <c r="D76" s="31"/>
      <c r="E76" s="31"/>
      <c r="F76" s="31"/>
      <c r="G76" s="31"/>
      <c r="H76" s="32" t="str">
        <f t="shared" si="0"/>
        <v/>
      </c>
    </row>
    <row r="77" spans="2:8" x14ac:dyDescent="0.25">
      <c r="B77" s="279" t="s">
        <v>700</v>
      </c>
      <c r="C77" s="280"/>
      <c r="D77" s="31"/>
      <c r="E77" s="112"/>
      <c r="F77" s="31"/>
      <c r="G77" s="31"/>
      <c r="H77" s="32" t="str">
        <f t="shared" si="0"/>
        <v/>
      </c>
    </row>
    <row r="78" spans="2:8" x14ac:dyDescent="0.25">
      <c r="B78" s="279" t="s">
        <v>701</v>
      </c>
      <c r="C78" s="280"/>
      <c r="D78" s="31"/>
      <c r="E78" s="31"/>
      <c r="F78" s="31"/>
      <c r="G78" s="31"/>
      <c r="H78" s="32" t="str">
        <f t="shared" si="0"/>
        <v/>
      </c>
    </row>
    <row r="79" spans="2:8" x14ac:dyDescent="0.25">
      <c r="B79" s="279" t="s">
        <v>702</v>
      </c>
      <c r="C79" s="280"/>
      <c r="D79" s="31"/>
      <c r="E79" s="31"/>
      <c r="F79" s="31"/>
      <c r="G79" s="31"/>
      <c r="H79" s="32" t="str">
        <f t="shared" si="0"/>
        <v/>
      </c>
    </row>
    <row r="80" spans="2:8" x14ac:dyDescent="0.25">
      <c r="B80" s="279" t="s">
        <v>703</v>
      </c>
      <c r="C80" s="280"/>
      <c r="D80" s="31"/>
      <c r="E80" s="31"/>
      <c r="F80" s="31"/>
      <c r="G80" s="31"/>
      <c r="H80" s="32" t="str">
        <f t="shared" si="0"/>
        <v/>
      </c>
    </row>
    <row r="81" spans="2:8" x14ac:dyDescent="0.25">
      <c r="B81" s="279" t="s">
        <v>704</v>
      </c>
      <c r="C81" s="280"/>
      <c r="D81" s="31"/>
      <c r="E81" s="31"/>
      <c r="F81" s="31"/>
      <c r="G81" s="31"/>
      <c r="H81" s="32" t="str">
        <f t="shared" si="0"/>
        <v/>
      </c>
    </row>
    <row r="82" spans="2:8" x14ac:dyDescent="0.25">
      <c r="B82" s="279" t="s">
        <v>705</v>
      </c>
      <c r="C82" s="280"/>
      <c r="D82" s="31"/>
      <c r="E82" s="31"/>
      <c r="F82" s="31"/>
      <c r="G82" s="31"/>
      <c r="H82" s="32" t="str">
        <f t="shared" si="0"/>
        <v/>
      </c>
    </row>
    <row r="83" spans="2:8" ht="15.75" customHeight="1" x14ac:dyDescent="0.25">
      <c r="B83" s="358" t="s">
        <v>706</v>
      </c>
      <c r="C83" s="359"/>
      <c r="D83" s="22">
        <f>D76-SUM(D77:D82)</f>
        <v>0</v>
      </c>
      <c r="E83" s="22">
        <f t="shared" ref="E83:G83" si="2">E76-SUM(E77:E82)</f>
        <v>0</v>
      </c>
      <c r="F83" s="22">
        <f t="shared" si="2"/>
        <v>0</v>
      </c>
      <c r="G83" s="22">
        <f t="shared" si="2"/>
        <v>0</v>
      </c>
      <c r="H83" s="23" t="str">
        <f t="shared" si="0"/>
        <v/>
      </c>
    </row>
    <row r="84" spans="2:8" ht="15.75" customHeight="1" x14ac:dyDescent="0.25"/>
    <row r="85" spans="2:8" x14ac:dyDescent="0.25">
      <c r="B85" s="317" t="s">
        <v>707</v>
      </c>
      <c r="C85" s="317"/>
      <c r="D85" s="317"/>
      <c r="E85" s="317"/>
      <c r="F85" s="317"/>
      <c r="G85" s="317"/>
      <c r="H85" s="317"/>
    </row>
    <row r="86" spans="2:8" x14ac:dyDescent="0.25">
      <c r="B86" s="37"/>
      <c r="C86" s="13" t="s">
        <v>215</v>
      </c>
      <c r="D86" s="13" t="s">
        <v>215</v>
      </c>
      <c r="E86" s="13" t="s">
        <v>215</v>
      </c>
      <c r="F86" s="13" t="s">
        <v>708</v>
      </c>
      <c r="G86" s="13" t="s">
        <v>221</v>
      </c>
      <c r="H86" s="38" t="s">
        <v>709</v>
      </c>
    </row>
    <row r="87" spans="2:8" x14ac:dyDescent="0.25">
      <c r="B87" s="35"/>
      <c r="C87" s="8" t="s">
        <v>473</v>
      </c>
      <c r="D87" s="8" t="s">
        <v>474</v>
      </c>
      <c r="E87" s="8" t="s">
        <v>475</v>
      </c>
      <c r="F87" s="8" t="s">
        <v>710</v>
      </c>
      <c r="G87" s="8" t="s">
        <v>223</v>
      </c>
      <c r="H87" s="10" t="s">
        <v>711</v>
      </c>
    </row>
    <row r="88" spans="2:8" x14ac:dyDescent="0.25">
      <c r="B88" s="35" t="s">
        <v>712</v>
      </c>
      <c r="C88" s="8" t="s">
        <v>137</v>
      </c>
      <c r="D88" s="8" t="s">
        <v>137</v>
      </c>
      <c r="E88" s="8" t="s">
        <v>137</v>
      </c>
      <c r="F88" s="8" t="s">
        <v>223</v>
      </c>
      <c r="G88" s="8" t="s">
        <v>713</v>
      </c>
      <c r="H88" s="10" t="s">
        <v>714</v>
      </c>
    </row>
    <row r="89" spans="2:8" x14ac:dyDescent="0.25">
      <c r="B89" s="35"/>
      <c r="C89" s="8"/>
      <c r="D89" s="8"/>
      <c r="E89" s="8"/>
      <c r="F89" s="8"/>
      <c r="G89" s="8" t="s">
        <v>715</v>
      </c>
      <c r="H89" s="10" t="s">
        <v>716</v>
      </c>
    </row>
    <row r="90" spans="2:8" x14ac:dyDescent="0.25">
      <c r="B90" s="36"/>
      <c r="C90" s="11" t="s">
        <v>224</v>
      </c>
      <c r="D90" s="11" t="s">
        <v>225</v>
      </c>
      <c r="E90" s="11" t="s">
        <v>226</v>
      </c>
      <c r="F90" s="11" t="s">
        <v>478</v>
      </c>
      <c r="G90" s="11" t="s">
        <v>228</v>
      </c>
      <c r="H90" s="12" t="s">
        <v>629</v>
      </c>
    </row>
    <row r="91" spans="2:8" x14ac:dyDescent="0.25">
      <c r="B91" s="70" t="s">
        <v>717</v>
      </c>
      <c r="C91" s="71">
        <f>SUM(C92:C95)</f>
        <v>0</v>
      </c>
      <c r="D91" s="71">
        <f>SUM(D92:D95)</f>
        <v>0</v>
      </c>
      <c r="E91" s="71">
        <f>SUM(E92:E95)</f>
        <v>0</v>
      </c>
      <c r="F91" s="71">
        <f>SUM(F92:F95)</f>
        <v>0</v>
      </c>
      <c r="G91" s="71">
        <f>SUM(G92:G95)</f>
        <v>0</v>
      </c>
      <c r="H91" s="72">
        <f>IF(C91&gt;H38,C91-H38,0)</f>
        <v>0</v>
      </c>
    </row>
    <row r="92" spans="2:8" x14ac:dyDescent="0.25">
      <c r="B92" s="33" t="s">
        <v>718</v>
      </c>
      <c r="C92" s="31"/>
      <c r="D92" s="31"/>
      <c r="E92" s="31"/>
      <c r="F92" s="31">
        <f t="shared" ref="F92:F98" si="3">IF(MONTH(paramDataBase)=12,D92-C92,0)</f>
        <v>0</v>
      </c>
      <c r="G92" s="31">
        <f t="shared" ref="G92:G98" si="4">IF(MONTH(paramDataBase)=12,IF(F92&gt;M92,M92-F92,0),0)</f>
        <v>0</v>
      </c>
      <c r="H92" s="32">
        <f>IF(C92&gt;H39,C92-H39,0)</f>
        <v>0</v>
      </c>
    </row>
    <row r="93" spans="2:8" x14ac:dyDescent="0.25">
      <c r="B93" s="33" t="s">
        <v>719</v>
      </c>
      <c r="C93" s="31"/>
      <c r="D93" s="31"/>
      <c r="E93" s="31"/>
      <c r="F93" s="31">
        <f t="shared" si="3"/>
        <v>0</v>
      </c>
      <c r="G93" s="31">
        <f t="shared" si="4"/>
        <v>0</v>
      </c>
      <c r="H93" s="32">
        <f>IF(C93&gt;H43,C93-H43,0)</f>
        <v>0</v>
      </c>
    </row>
    <row r="94" spans="2:8" x14ac:dyDescent="0.25">
      <c r="B94" s="33" t="s">
        <v>720</v>
      </c>
      <c r="C94" s="31"/>
      <c r="D94" s="31"/>
      <c r="E94" s="31"/>
      <c r="F94" s="31">
        <f t="shared" si="3"/>
        <v>0</v>
      </c>
      <c r="G94" s="31">
        <f t="shared" si="4"/>
        <v>0</v>
      </c>
      <c r="H94" s="32">
        <f>IF(C94&gt;H47,C94-H47,0)</f>
        <v>0</v>
      </c>
    </row>
    <row r="95" spans="2:8" x14ac:dyDescent="0.25">
      <c r="B95" s="33" t="s">
        <v>721</v>
      </c>
      <c r="C95" s="31"/>
      <c r="D95" s="31"/>
      <c r="E95" s="31"/>
      <c r="F95" s="31">
        <f t="shared" si="3"/>
        <v>0</v>
      </c>
      <c r="G95" s="31">
        <f t="shared" si="4"/>
        <v>0</v>
      </c>
      <c r="H95" s="32">
        <f>IF(C95&gt;H51,C95-H51,0)</f>
        <v>0</v>
      </c>
    </row>
    <row r="96" spans="2:8" x14ac:dyDescent="0.25">
      <c r="B96" s="57" t="s">
        <v>722</v>
      </c>
      <c r="C96" s="31"/>
      <c r="D96" s="31"/>
      <c r="E96" s="31"/>
      <c r="F96" s="31">
        <f t="shared" si="3"/>
        <v>0</v>
      </c>
      <c r="G96" s="31">
        <f t="shared" si="4"/>
        <v>0</v>
      </c>
      <c r="H96" s="32"/>
    </row>
    <row r="97" spans="2:8" ht="30" customHeight="1" x14ac:dyDescent="0.25">
      <c r="B97" s="80" t="s">
        <v>723</v>
      </c>
      <c r="C97" s="31"/>
      <c r="D97" s="31"/>
      <c r="E97" s="31"/>
      <c r="F97" s="31">
        <f t="shared" si="3"/>
        <v>0</v>
      </c>
      <c r="G97" s="31">
        <f t="shared" si="4"/>
        <v>0</v>
      </c>
      <c r="H97" s="32"/>
    </row>
    <row r="98" spans="2:8" ht="30" customHeight="1" x14ac:dyDescent="0.25">
      <c r="B98" s="81" t="s">
        <v>724</v>
      </c>
      <c r="C98" s="68"/>
      <c r="D98" s="68"/>
      <c r="E98" s="68"/>
      <c r="F98" s="68">
        <f t="shared" si="3"/>
        <v>0</v>
      </c>
      <c r="G98" s="68">
        <f t="shared" si="4"/>
        <v>0</v>
      </c>
      <c r="H98" s="69"/>
    </row>
    <row r="99" spans="2:8" x14ac:dyDescent="0.25">
      <c r="B99" s="356" t="s">
        <v>725</v>
      </c>
      <c r="C99" s="258"/>
      <c r="D99" s="258"/>
      <c r="E99" s="13" t="s">
        <v>726</v>
      </c>
      <c r="F99" s="13" t="s">
        <v>727</v>
      </c>
      <c r="G99" s="13" t="s">
        <v>728</v>
      </c>
      <c r="H99" s="38" t="s">
        <v>729</v>
      </c>
    </row>
    <row r="100" spans="2:8" x14ac:dyDescent="0.25">
      <c r="B100" s="344"/>
      <c r="C100" s="324"/>
      <c r="D100" s="324"/>
      <c r="E100" s="11" t="s">
        <v>230</v>
      </c>
      <c r="F100" s="11" t="s">
        <v>231</v>
      </c>
      <c r="G100" s="11" t="s">
        <v>730</v>
      </c>
      <c r="H100" s="12" t="s">
        <v>91</v>
      </c>
    </row>
    <row r="101" spans="2:8" x14ac:dyDescent="0.25">
      <c r="B101" s="357" t="s">
        <v>731</v>
      </c>
      <c r="C101" s="357"/>
      <c r="D101" s="230"/>
      <c r="E101" s="65">
        <f>(H38-H51)*paramMinimoFundebRemuneracao</f>
        <v>0</v>
      </c>
      <c r="F101" s="65">
        <f>IF(MONTH(paramDataBase)=12,C96,D96)</f>
        <v>0</v>
      </c>
      <c r="G101" s="65">
        <f>F101-G96</f>
        <v>0</v>
      </c>
      <c r="H101" s="82" t="e">
        <f>G101/(H38-H51)</f>
        <v>#DIV/0!</v>
      </c>
    </row>
    <row r="102" spans="2:8" x14ac:dyDescent="0.25">
      <c r="B102" s="247" t="s">
        <v>732</v>
      </c>
      <c r="C102" s="247"/>
      <c r="D102" s="266"/>
      <c r="E102" s="31">
        <f>H47*50%</f>
        <v>0</v>
      </c>
      <c r="F102" s="31">
        <f>IF(MONTH(paramDataBase)=12,C97,D97)</f>
        <v>0</v>
      </c>
      <c r="G102" s="31">
        <f>F102-G97</f>
        <v>0</v>
      </c>
      <c r="H102" s="83">
        <f>IFERROR(G102/H47,0)</f>
        <v>0</v>
      </c>
    </row>
    <row r="103" spans="2:8" x14ac:dyDescent="0.25">
      <c r="B103" s="360" t="s">
        <v>733</v>
      </c>
      <c r="C103" s="360"/>
      <c r="D103" s="333"/>
      <c r="E103" s="68">
        <f>H47*15%</f>
        <v>0</v>
      </c>
      <c r="F103" s="68">
        <f>IF(MONTH(paramDataBase)=12,C98,D98)</f>
        <v>0</v>
      </c>
      <c r="G103" s="68">
        <f>F103-G98</f>
        <v>0</v>
      </c>
      <c r="H103" s="84">
        <f>IFERROR(G103/H47,0)</f>
        <v>0</v>
      </c>
    </row>
    <row r="104" spans="2:8" x14ac:dyDescent="0.25">
      <c r="B104" s="227" t="s">
        <v>734</v>
      </c>
      <c r="C104" s="243"/>
      <c r="D104" s="13" t="s">
        <v>735</v>
      </c>
      <c r="E104" s="13" t="s">
        <v>736</v>
      </c>
      <c r="F104" s="13" t="s">
        <v>736</v>
      </c>
      <c r="G104" s="13" t="s">
        <v>737</v>
      </c>
      <c r="H104" s="38" t="s">
        <v>738</v>
      </c>
    </row>
    <row r="105" spans="2:8" x14ac:dyDescent="0.25">
      <c r="B105" s="228"/>
      <c r="C105" s="244"/>
      <c r="D105" s="8" t="s">
        <v>739</v>
      </c>
      <c r="E105" s="8"/>
      <c r="F105" s="8" t="s">
        <v>740</v>
      </c>
      <c r="G105" s="8" t="s">
        <v>741</v>
      </c>
      <c r="H105" s="10"/>
    </row>
    <row r="106" spans="2:8" x14ac:dyDescent="0.25">
      <c r="B106" s="229"/>
      <c r="C106" s="252"/>
      <c r="D106" s="11" t="s">
        <v>92</v>
      </c>
      <c r="E106" s="11" t="s">
        <v>742</v>
      </c>
      <c r="F106" s="11" t="s">
        <v>93</v>
      </c>
      <c r="G106" s="11" t="s">
        <v>743</v>
      </c>
      <c r="H106" s="12" t="s">
        <v>744</v>
      </c>
    </row>
    <row r="107" spans="2:8" x14ac:dyDescent="0.25">
      <c r="B107" s="235" t="s">
        <v>745</v>
      </c>
      <c r="C107" s="236"/>
      <c r="D107" s="40">
        <f>H38*10%</f>
        <v>0</v>
      </c>
      <c r="E107" s="40">
        <f>H38-IF(MONTH(paramDataBase)=12,C91,D91)-H91</f>
        <v>0</v>
      </c>
      <c r="F107" s="40">
        <f>E107+G91-H91</f>
        <v>0</v>
      </c>
      <c r="G107" s="40">
        <f>IF(F107-D107&gt;0,F107-D107,0)</f>
        <v>0</v>
      </c>
      <c r="H107" s="41" t="e">
        <f>F107/H38</f>
        <v>#DIV/0!</v>
      </c>
    </row>
    <row r="108" spans="2:8" x14ac:dyDescent="0.25">
      <c r="B108" s="227" t="s">
        <v>746</v>
      </c>
      <c r="C108" s="13" t="s">
        <v>747</v>
      </c>
      <c r="D108" s="13" t="s">
        <v>736</v>
      </c>
      <c r="E108" s="13" t="s">
        <v>747</v>
      </c>
      <c r="F108" s="13" t="s">
        <v>727</v>
      </c>
      <c r="G108" s="13" t="s">
        <v>748</v>
      </c>
      <c r="H108" s="38" t="s">
        <v>749</v>
      </c>
    </row>
    <row r="109" spans="2:8" x14ac:dyDescent="0.25">
      <c r="B109" s="228"/>
      <c r="C109" s="8" t="s">
        <v>750</v>
      </c>
      <c r="D109" s="8" t="s">
        <v>751</v>
      </c>
      <c r="E109" s="8" t="s">
        <v>752</v>
      </c>
      <c r="F109" s="8" t="s">
        <v>753</v>
      </c>
      <c r="G109" s="8" t="s">
        <v>754</v>
      </c>
      <c r="H109" s="10" t="s">
        <v>755</v>
      </c>
    </row>
    <row r="110" spans="2:8" x14ac:dyDescent="0.25">
      <c r="B110" s="228"/>
      <c r="C110" s="8" t="s">
        <v>756</v>
      </c>
      <c r="D110" s="8"/>
      <c r="E110" s="8" t="s">
        <v>757</v>
      </c>
      <c r="F110" s="8" t="s">
        <v>758</v>
      </c>
      <c r="G110" s="8"/>
      <c r="H110" s="10" t="s">
        <v>759</v>
      </c>
    </row>
    <row r="111" spans="2:8" x14ac:dyDescent="0.25">
      <c r="B111" s="229"/>
      <c r="C111" s="11" t="s">
        <v>760</v>
      </c>
      <c r="D111" s="11" t="s">
        <v>761</v>
      </c>
      <c r="E111" s="11" t="s">
        <v>762</v>
      </c>
      <c r="F111" s="11" t="s">
        <v>763</v>
      </c>
      <c r="G111" s="11" t="s">
        <v>105</v>
      </c>
      <c r="H111" s="12" t="s">
        <v>106</v>
      </c>
    </row>
    <row r="112" spans="2:8" x14ac:dyDescent="0.25">
      <c r="B112" s="70" t="s">
        <v>764</v>
      </c>
      <c r="C112" s="71">
        <f t="shared" ref="C112:H112" si="5">SUM(C113:C114)</f>
        <v>0</v>
      </c>
      <c r="D112" s="71">
        <f t="shared" si="5"/>
        <v>0</v>
      </c>
      <c r="E112" s="71">
        <f t="shared" si="5"/>
        <v>0</v>
      </c>
      <c r="F112" s="71">
        <f t="shared" si="5"/>
        <v>0</v>
      </c>
      <c r="G112" s="71">
        <f t="shared" si="5"/>
        <v>0</v>
      </c>
      <c r="H112" s="72">
        <f t="shared" si="5"/>
        <v>0</v>
      </c>
    </row>
    <row r="113" spans="2:8" x14ac:dyDescent="0.25">
      <c r="B113" s="33" t="s">
        <v>765</v>
      </c>
      <c r="C113" s="31">
        <f>'RREO A8 Valores Manuais'!C9</f>
        <v>0</v>
      </c>
      <c r="D113" s="31">
        <f>'RREO A8 Valores Manuais'!D9</f>
        <v>0</v>
      </c>
      <c r="E113" s="31"/>
      <c r="F113" s="31"/>
      <c r="G113" s="31">
        <f>D113-E113</f>
        <v>0</v>
      </c>
      <c r="H113" s="32">
        <f>IF(E113&gt;=D113,0,IF(D113&lt;=C113,D113-E113,C113-E113))</f>
        <v>0</v>
      </c>
    </row>
    <row r="114" spans="2:8" ht="15.75" customHeight="1" x14ac:dyDescent="0.25">
      <c r="B114" s="61" t="s">
        <v>766</v>
      </c>
      <c r="C114" s="22">
        <f>paramFundebSuperavitAnteriorVAA_</f>
        <v>0</v>
      </c>
      <c r="D114" s="22">
        <f>paramFundebSuperavitAnteriorNaoAplicadoVAA_</f>
        <v>0</v>
      </c>
      <c r="E114" s="22"/>
      <c r="F114" s="22"/>
      <c r="G114" s="22">
        <f>D114-E114</f>
        <v>0</v>
      </c>
      <c r="H114" s="23">
        <f>IF(E114&gt;=D114,0,IF(D114&lt;=C114,D114-E114,C114-E114))</f>
        <v>0</v>
      </c>
    </row>
    <row r="115" spans="2:8" ht="15.75" customHeight="1" x14ac:dyDescent="0.25"/>
    <row r="116" spans="2:8" x14ac:dyDescent="0.25">
      <c r="B116" s="273" t="s">
        <v>767</v>
      </c>
      <c r="C116" s="257"/>
      <c r="D116" s="257"/>
      <c r="E116" s="257"/>
      <c r="F116" s="257"/>
      <c r="G116" s="257"/>
      <c r="H116" s="268"/>
    </row>
    <row r="117" spans="2:8" x14ac:dyDescent="0.25">
      <c r="B117" s="355"/>
      <c r="C117" s="356"/>
      <c r="D117" s="8" t="s">
        <v>217</v>
      </c>
      <c r="E117" s="8" t="s">
        <v>218</v>
      </c>
      <c r="F117" s="8" t="s">
        <v>219</v>
      </c>
      <c r="G117" s="8" t="s">
        <v>220</v>
      </c>
      <c r="H117" s="10" t="s">
        <v>221</v>
      </c>
    </row>
    <row r="118" spans="2:8" x14ac:dyDescent="0.25">
      <c r="B118" s="341" t="s">
        <v>768</v>
      </c>
      <c r="C118" s="342"/>
      <c r="D118" s="8"/>
      <c r="E118" s="8" t="s">
        <v>137</v>
      </c>
      <c r="F118" s="8" t="s">
        <v>137</v>
      </c>
      <c r="G118" s="8" t="s">
        <v>137</v>
      </c>
      <c r="H118" s="10" t="s">
        <v>769</v>
      </c>
    </row>
    <row r="119" spans="2:8" x14ac:dyDescent="0.25">
      <c r="B119" s="343" t="s">
        <v>690</v>
      </c>
      <c r="C119" s="344"/>
      <c r="D119" s="11" t="s">
        <v>141</v>
      </c>
      <c r="E119" s="11" t="s">
        <v>224</v>
      </c>
      <c r="F119" s="11" t="s">
        <v>225</v>
      </c>
      <c r="G119" s="11" t="s">
        <v>226</v>
      </c>
      <c r="H119" s="12" t="s">
        <v>478</v>
      </c>
    </row>
    <row r="120" spans="2:8" x14ac:dyDescent="0.25">
      <c r="B120" s="354" t="s">
        <v>770</v>
      </c>
      <c r="C120" s="290"/>
      <c r="D120" s="71"/>
      <c r="E120" s="71"/>
      <c r="F120" s="71"/>
      <c r="G120" s="71"/>
      <c r="H120" s="72" t="str">
        <f t="shared" ref="H120:H127" si="6">IF(MONTH(paramDataBase)=12,E120-F120,"")</f>
        <v/>
      </c>
    </row>
    <row r="121" spans="2:8" x14ac:dyDescent="0.25">
      <c r="B121" s="351" t="s">
        <v>771</v>
      </c>
      <c r="C121" s="283"/>
      <c r="D121" s="31"/>
      <c r="E121" s="31"/>
      <c r="F121" s="31"/>
      <c r="G121" s="31"/>
      <c r="H121" s="32" t="str">
        <f t="shared" si="6"/>
        <v/>
      </c>
    </row>
    <row r="122" spans="2:8" x14ac:dyDescent="0.25">
      <c r="B122" s="351" t="s">
        <v>772</v>
      </c>
      <c r="C122" s="283"/>
      <c r="D122" s="31"/>
      <c r="E122" s="31"/>
      <c r="F122" s="31"/>
      <c r="G122" s="31"/>
      <c r="H122" s="32" t="str">
        <f t="shared" si="6"/>
        <v/>
      </c>
    </row>
    <row r="123" spans="2:8" x14ac:dyDescent="0.25">
      <c r="B123" s="351" t="s">
        <v>773</v>
      </c>
      <c r="C123" s="283"/>
      <c r="D123" s="31"/>
      <c r="E123" s="31"/>
      <c r="F123" s="31"/>
      <c r="G123" s="31"/>
      <c r="H123" s="32" t="str">
        <f t="shared" si="6"/>
        <v/>
      </c>
    </row>
    <row r="124" spans="2:8" x14ac:dyDescent="0.25">
      <c r="B124" s="351" t="s">
        <v>774</v>
      </c>
      <c r="C124" s="283"/>
      <c r="D124" s="31"/>
      <c r="E124" s="31"/>
      <c r="F124" s="31"/>
      <c r="G124" s="31"/>
      <c r="H124" s="32" t="str">
        <f t="shared" si="6"/>
        <v/>
      </c>
    </row>
    <row r="125" spans="2:8" x14ac:dyDescent="0.25">
      <c r="B125" s="351" t="s">
        <v>775</v>
      </c>
      <c r="C125" s="283"/>
      <c r="D125" s="31"/>
      <c r="E125" s="31"/>
      <c r="F125" s="31"/>
      <c r="G125" s="31"/>
      <c r="H125" s="32" t="str">
        <f t="shared" si="6"/>
        <v/>
      </c>
    </row>
    <row r="126" spans="2:8" x14ac:dyDescent="0.25">
      <c r="B126" s="351" t="s">
        <v>776</v>
      </c>
      <c r="C126" s="283"/>
      <c r="D126" s="31"/>
      <c r="E126" s="31"/>
      <c r="F126" s="31"/>
      <c r="G126" s="31"/>
      <c r="H126" s="32" t="str">
        <f t="shared" si="6"/>
        <v/>
      </c>
    </row>
    <row r="127" spans="2:8" ht="15.75" customHeight="1" x14ac:dyDescent="0.25">
      <c r="B127" s="353" t="s">
        <v>777</v>
      </c>
      <c r="C127" s="345"/>
      <c r="D127" s="22">
        <f>D120-SUM(D121:D126)</f>
        <v>0</v>
      </c>
      <c r="E127" s="22">
        <f t="shared" ref="E127:G127" si="7">E120-SUM(E121:E126)</f>
        <v>0</v>
      </c>
      <c r="F127" s="22">
        <f t="shared" si="7"/>
        <v>0</v>
      </c>
      <c r="G127" s="22">
        <f t="shared" si="7"/>
        <v>0</v>
      </c>
      <c r="H127" s="23" t="str">
        <f t="shared" si="6"/>
        <v/>
      </c>
    </row>
    <row r="128" spans="2:8" ht="15.75" customHeight="1" x14ac:dyDescent="0.25"/>
    <row r="129" spans="2:8" x14ac:dyDescent="0.25">
      <c r="B129" s="273" t="s">
        <v>778</v>
      </c>
      <c r="C129" s="257"/>
      <c r="D129" s="257"/>
      <c r="E129" s="257"/>
      <c r="F129" s="257"/>
      <c r="G129" s="257"/>
      <c r="H129" s="268"/>
    </row>
    <row r="130" spans="2:8" x14ac:dyDescent="0.25">
      <c r="B130" s="355"/>
      <c r="C130" s="356"/>
      <c r="D130" s="8" t="s">
        <v>217</v>
      </c>
      <c r="E130" s="8" t="s">
        <v>218</v>
      </c>
      <c r="F130" s="8" t="s">
        <v>219</v>
      </c>
      <c r="G130" s="8" t="s">
        <v>220</v>
      </c>
      <c r="H130" s="10" t="s">
        <v>221</v>
      </c>
    </row>
    <row r="131" spans="2:8" x14ac:dyDescent="0.25">
      <c r="B131" s="341" t="s">
        <v>779</v>
      </c>
      <c r="C131" s="342"/>
      <c r="D131" s="8"/>
      <c r="E131" s="8" t="s">
        <v>137</v>
      </c>
      <c r="F131" s="8" t="s">
        <v>137</v>
      </c>
      <c r="G131" s="8" t="s">
        <v>137</v>
      </c>
      <c r="H131" s="10" t="s">
        <v>769</v>
      </c>
    </row>
    <row r="132" spans="2:8" x14ac:dyDescent="0.25">
      <c r="B132" s="343" t="s">
        <v>780</v>
      </c>
      <c r="C132" s="344"/>
      <c r="D132" s="11" t="s">
        <v>141</v>
      </c>
      <c r="E132" s="11" t="s">
        <v>224</v>
      </c>
      <c r="F132" s="11" t="s">
        <v>225</v>
      </c>
      <c r="G132" s="11" t="s">
        <v>226</v>
      </c>
      <c r="H132" s="12" t="s">
        <v>478</v>
      </c>
    </row>
    <row r="133" spans="2:8" x14ac:dyDescent="0.25">
      <c r="B133" s="354" t="s">
        <v>781</v>
      </c>
      <c r="C133" s="290"/>
      <c r="D133" s="71">
        <f>D134+D137</f>
        <v>0</v>
      </c>
      <c r="E133" s="71">
        <f>E134+E137</f>
        <v>0</v>
      </c>
      <c r="F133" s="71">
        <f>F134+F137</f>
        <v>0</v>
      </c>
      <c r="G133" s="71">
        <f>G134+G137</f>
        <v>0</v>
      </c>
      <c r="H133" s="72" t="str">
        <f>IF(MONTH(paramDataBase)=12,E133-F133,"")</f>
        <v/>
      </c>
    </row>
    <row r="134" spans="2:8" x14ac:dyDescent="0.25">
      <c r="B134" s="351" t="s">
        <v>782</v>
      </c>
      <c r="C134" s="283"/>
      <c r="D134" s="31">
        <f>SUM(D135:D136)</f>
        <v>0</v>
      </c>
      <c r="E134" s="31">
        <f>SUM(E135:E136)</f>
        <v>0</v>
      </c>
      <c r="F134" s="31">
        <f>SUM(F135:F136)</f>
        <v>0</v>
      </c>
      <c r="G134" s="31">
        <f>SUM(G135:G136)</f>
        <v>0</v>
      </c>
      <c r="H134" s="32" t="str">
        <f>IF(MONTH(paramDataBase)=12,E134-F134,"")</f>
        <v/>
      </c>
    </row>
    <row r="135" spans="2:8" x14ac:dyDescent="0.25">
      <c r="B135" s="352" t="s">
        <v>783</v>
      </c>
      <c r="C135" s="279"/>
      <c r="D135" s="112">
        <f>(D70+D77+D121)*paramMDERateioCreche</f>
        <v>0</v>
      </c>
      <c r="E135" s="31">
        <f>(E70+E77+E121)*paramMDERateioCreche</f>
        <v>0</v>
      </c>
      <c r="F135" s="31">
        <f>(F70+F77+F121)*paramMDERateioCreche</f>
        <v>0</v>
      </c>
      <c r="G135" s="31">
        <f>(G70+G77+G121)*paramMDERateioCreche</f>
        <v>0</v>
      </c>
      <c r="H135" s="32" t="str">
        <f>IF(MONTH(paramDataBase)=12,E135-F135,"")</f>
        <v/>
      </c>
    </row>
    <row r="136" spans="2:8" x14ac:dyDescent="0.25">
      <c r="B136" s="352" t="s">
        <v>784</v>
      </c>
      <c r="C136" s="279"/>
      <c r="D136" s="31">
        <f>(D70+D77+D121)-D135</f>
        <v>0</v>
      </c>
      <c r="E136" s="31">
        <f>(E70+E77+E121)-E135</f>
        <v>0</v>
      </c>
      <c r="F136" s="31">
        <f>(F70+F77+F121)-F135</f>
        <v>0</v>
      </c>
      <c r="G136" s="31">
        <f>(G70+G77+G121)-G135</f>
        <v>0</v>
      </c>
      <c r="H136" s="32" t="str">
        <f>IF(MONTH(paramDataBase)=12,E136-F136,"")</f>
        <v/>
      </c>
    </row>
    <row r="137" spans="2:8" ht="15.75" customHeight="1" x14ac:dyDescent="0.25">
      <c r="B137" s="353" t="s">
        <v>785</v>
      </c>
      <c r="C137" s="345"/>
      <c r="D137" s="22">
        <f>D122+D78+D71</f>
        <v>0</v>
      </c>
      <c r="E137" s="22">
        <f>E122+E78+E71</f>
        <v>0</v>
      </c>
      <c r="F137" s="22">
        <f>F122+F78+F71</f>
        <v>0</v>
      </c>
      <c r="G137" s="22">
        <f>G122+G78+G71</f>
        <v>0</v>
      </c>
      <c r="H137" s="23" t="str">
        <f>IF(MONTH(paramDataBase)=12,E137-F137,"")</f>
        <v/>
      </c>
    </row>
    <row r="138" spans="2:8" ht="15.75" customHeight="1" x14ac:dyDescent="0.25"/>
    <row r="139" spans="2:8" x14ac:dyDescent="0.25">
      <c r="B139" s="273" t="s">
        <v>786</v>
      </c>
      <c r="C139" s="257"/>
      <c r="D139" s="257"/>
      <c r="E139" s="257"/>
      <c r="F139" s="257"/>
      <c r="G139" s="257"/>
      <c r="H139" s="25" t="s">
        <v>488</v>
      </c>
    </row>
    <row r="140" spans="2:8" x14ac:dyDescent="0.25">
      <c r="B140" s="230" t="s">
        <v>787</v>
      </c>
      <c r="C140" s="231"/>
      <c r="D140" s="231"/>
      <c r="E140" s="231"/>
      <c r="F140" s="231"/>
      <c r="G140" s="231"/>
      <c r="H140" s="66">
        <f>IF(MONTH(paramDataBase)=12,E120,F120)</f>
        <v>0</v>
      </c>
    </row>
    <row r="141" spans="2:8" x14ac:dyDescent="0.25">
      <c r="B141" s="266" t="s">
        <v>788</v>
      </c>
      <c r="C141" s="267"/>
      <c r="D141" s="267"/>
      <c r="E141" s="267"/>
      <c r="F141" s="267"/>
      <c r="G141" s="267"/>
      <c r="H141" s="32">
        <f>H30</f>
        <v>0</v>
      </c>
    </row>
    <row r="142" spans="2:8" x14ac:dyDescent="0.25">
      <c r="B142" s="266" t="s">
        <v>789</v>
      </c>
      <c r="C142" s="267"/>
      <c r="D142" s="267"/>
      <c r="E142" s="267"/>
      <c r="F142" s="267"/>
      <c r="G142" s="267"/>
      <c r="H142" s="32">
        <f>G107</f>
        <v>0</v>
      </c>
    </row>
    <row r="143" spans="2:8" x14ac:dyDescent="0.25">
      <c r="B143" s="266" t="s">
        <v>790</v>
      </c>
      <c r="C143" s="267"/>
      <c r="D143" s="267"/>
      <c r="E143" s="267"/>
      <c r="F143" s="267"/>
      <c r="G143" s="267"/>
      <c r="H143" s="32">
        <f>H113</f>
        <v>0</v>
      </c>
    </row>
    <row r="144" spans="2:8" x14ac:dyDescent="0.25">
      <c r="B144" s="266" t="s">
        <v>791</v>
      </c>
      <c r="C144" s="267"/>
      <c r="D144" s="267"/>
      <c r="E144" s="267"/>
      <c r="F144" s="267"/>
      <c r="G144" s="267"/>
      <c r="H144" s="32">
        <v>0</v>
      </c>
    </row>
    <row r="145" spans="2:8" ht="30" customHeight="1" x14ac:dyDescent="0.25">
      <c r="B145" s="347" t="s">
        <v>792</v>
      </c>
      <c r="C145" s="348"/>
      <c r="D145" s="348"/>
      <c r="E145" s="348"/>
      <c r="F145" s="348"/>
      <c r="G145" s="348"/>
      <c r="H145" s="69">
        <f>G155+G156</f>
        <v>0</v>
      </c>
    </row>
    <row r="146" spans="2:8" ht="15.75" customHeight="1" x14ac:dyDescent="0.25">
      <c r="B146" s="349" t="s">
        <v>793</v>
      </c>
      <c r="C146" s="350"/>
      <c r="D146" s="350"/>
      <c r="E146" s="350"/>
      <c r="F146" s="350"/>
      <c r="G146" s="350"/>
      <c r="H146" s="18">
        <f>(H140+H141)-(H142+H143+H144+H145)</f>
        <v>0</v>
      </c>
    </row>
    <row r="147" spans="2:8" ht="15.75" customHeight="1" x14ac:dyDescent="0.25"/>
    <row r="148" spans="2:8" x14ac:dyDescent="0.25">
      <c r="B148" s="234" t="s">
        <v>794</v>
      </c>
      <c r="C148" s="251"/>
      <c r="D148" s="251"/>
      <c r="E148" s="251"/>
      <c r="F148" s="3" t="s">
        <v>726</v>
      </c>
      <c r="G148" s="3" t="s">
        <v>727</v>
      </c>
      <c r="H148" s="42" t="s">
        <v>795</v>
      </c>
    </row>
    <row r="149" spans="2:8" x14ac:dyDescent="0.25">
      <c r="B149" s="229"/>
      <c r="C149" s="252"/>
      <c r="D149" s="252"/>
      <c r="E149" s="252"/>
      <c r="F149" s="5" t="s">
        <v>108</v>
      </c>
      <c r="G149" s="5" t="s">
        <v>796</v>
      </c>
      <c r="H149" s="6" t="s">
        <v>797</v>
      </c>
    </row>
    <row r="150" spans="2:8" ht="15.75" customHeight="1" x14ac:dyDescent="0.25">
      <c r="B150" s="274" t="s">
        <v>798</v>
      </c>
      <c r="C150" s="275"/>
      <c r="D150" s="275"/>
      <c r="E150" s="275"/>
      <c r="F150" s="26">
        <f>H32</f>
        <v>0</v>
      </c>
      <c r="G150" s="26">
        <f>H146</f>
        <v>0</v>
      </c>
      <c r="H150" s="43" t="e">
        <f>ROUND(G150/H28,4)</f>
        <v>#DIV/0!</v>
      </c>
    </row>
    <row r="151" spans="2:8" ht="15.75" customHeight="1" x14ac:dyDescent="0.25"/>
    <row r="152" spans="2:8" x14ac:dyDescent="0.25">
      <c r="B152" s="234" t="s">
        <v>799</v>
      </c>
      <c r="C152" s="251"/>
      <c r="D152" s="3" t="s">
        <v>800</v>
      </c>
      <c r="E152" s="3" t="s">
        <v>801</v>
      </c>
      <c r="F152" s="3" t="s">
        <v>802</v>
      </c>
      <c r="G152" s="3" t="s">
        <v>803</v>
      </c>
      <c r="H152" s="42" t="s">
        <v>804</v>
      </c>
    </row>
    <row r="153" spans="2:8" x14ac:dyDescent="0.25">
      <c r="B153" s="229"/>
      <c r="C153" s="252"/>
      <c r="D153" s="5" t="s">
        <v>805</v>
      </c>
      <c r="E153" s="5" t="s">
        <v>806</v>
      </c>
      <c r="F153" s="5" t="s">
        <v>807</v>
      </c>
      <c r="G153" s="5" t="s">
        <v>808</v>
      </c>
      <c r="H153" s="6" t="s">
        <v>809</v>
      </c>
    </row>
    <row r="154" spans="2:8" x14ac:dyDescent="0.25">
      <c r="B154" s="290" t="s">
        <v>810</v>
      </c>
      <c r="C154" s="291"/>
      <c r="D154" s="71">
        <f>SUM(D155:D157)</f>
        <v>0</v>
      </c>
      <c r="E154" s="71">
        <f>SUM(E155:E157)</f>
        <v>0</v>
      </c>
      <c r="F154" s="71">
        <f>SUM(F155:F157)</f>
        <v>0</v>
      </c>
      <c r="G154" s="71">
        <f>SUM(G155:G157)</f>
        <v>0</v>
      </c>
      <c r="H154" s="72">
        <f>SUM(H155:H157)</f>
        <v>0</v>
      </c>
    </row>
    <row r="155" spans="2:8" x14ac:dyDescent="0.25">
      <c r="B155" s="283" t="s">
        <v>811</v>
      </c>
      <c r="C155" s="284"/>
      <c r="D155" s="31"/>
      <c r="E155" s="31"/>
      <c r="F155" s="31"/>
      <c r="G155" s="31"/>
      <c r="H155" s="32">
        <f>D155-F155-G155</f>
        <v>0</v>
      </c>
    </row>
    <row r="156" spans="2:8" x14ac:dyDescent="0.25">
      <c r="B156" s="283" t="s">
        <v>812</v>
      </c>
      <c r="C156" s="284"/>
      <c r="D156" s="31"/>
      <c r="E156" s="31"/>
      <c r="F156" s="31"/>
      <c r="G156" s="31"/>
      <c r="H156" s="32">
        <f>D156-F156-G156</f>
        <v>0</v>
      </c>
    </row>
    <row r="157" spans="2:8" ht="15.75" customHeight="1" x14ac:dyDescent="0.25">
      <c r="B157" s="345" t="s">
        <v>813</v>
      </c>
      <c r="C157" s="346"/>
      <c r="D157" s="22"/>
      <c r="E157" s="22"/>
      <c r="F157" s="22"/>
      <c r="G157" s="22"/>
      <c r="H157" s="23">
        <f>D157-F157-G157</f>
        <v>0</v>
      </c>
    </row>
    <row r="158" spans="2:8" ht="15.75" customHeight="1" x14ac:dyDescent="0.25"/>
    <row r="159" spans="2:8" x14ac:dyDescent="0.25">
      <c r="B159" s="273" t="s">
        <v>814</v>
      </c>
      <c r="C159" s="257"/>
      <c r="D159" s="257"/>
      <c r="E159" s="257"/>
      <c r="F159" s="257"/>
      <c r="G159" s="257"/>
      <c r="H159" s="268"/>
    </row>
    <row r="160" spans="2:8" x14ac:dyDescent="0.25">
      <c r="B160" s="228" t="s">
        <v>815</v>
      </c>
      <c r="C160" s="244"/>
      <c r="D160" s="244"/>
      <c r="E160" s="244"/>
      <c r="F160" s="244"/>
      <c r="G160" s="8" t="s">
        <v>416</v>
      </c>
      <c r="H160" s="10" t="s">
        <v>133</v>
      </c>
    </row>
    <row r="161" spans="2:8" x14ac:dyDescent="0.25">
      <c r="B161" s="228"/>
      <c r="C161" s="244"/>
      <c r="D161" s="244"/>
      <c r="E161" s="244"/>
      <c r="F161" s="244"/>
      <c r="G161" s="8" t="s">
        <v>262</v>
      </c>
      <c r="H161" s="10" t="s">
        <v>137</v>
      </c>
    </row>
    <row r="162" spans="2:8" x14ac:dyDescent="0.25">
      <c r="B162" s="229"/>
      <c r="C162" s="252"/>
      <c r="D162" s="252"/>
      <c r="E162" s="252"/>
      <c r="F162" s="252"/>
      <c r="G162" s="11" t="s">
        <v>138</v>
      </c>
      <c r="H162" s="12" t="s">
        <v>139</v>
      </c>
    </row>
    <row r="163" spans="2:8" x14ac:dyDescent="0.25">
      <c r="B163" s="290" t="s">
        <v>816</v>
      </c>
      <c r="C163" s="291"/>
      <c r="D163" s="291"/>
      <c r="E163" s="291"/>
      <c r="F163" s="291"/>
      <c r="G163" s="71">
        <f>G164+G170+G171+G172+G173</f>
        <v>0</v>
      </c>
      <c r="H163" s="72">
        <f>H164+H170+H171+H172+H173</f>
        <v>0</v>
      </c>
    </row>
    <row r="164" spans="2:8" x14ac:dyDescent="0.25">
      <c r="B164" s="283" t="s">
        <v>817</v>
      </c>
      <c r="C164" s="284"/>
      <c r="D164" s="284"/>
      <c r="E164" s="284"/>
      <c r="F164" s="284"/>
      <c r="G164" s="31">
        <f>SUM(G165:G169)</f>
        <v>0</v>
      </c>
      <c r="H164" s="32">
        <f>SUM(H165:H169)</f>
        <v>0</v>
      </c>
    </row>
    <row r="165" spans="2:8" x14ac:dyDescent="0.25">
      <c r="B165" s="279" t="s">
        <v>818</v>
      </c>
      <c r="C165" s="280"/>
      <c r="D165" s="280"/>
      <c r="E165" s="280"/>
      <c r="F165" s="280"/>
      <c r="G165" s="31"/>
      <c r="H165" s="32"/>
    </row>
    <row r="166" spans="2:8" x14ac:dyDescent="0.25">
      <c r="B166" s="279" t="s">
        <v>819</v>
      </c>
      <c r="C166" s="280"/>
      <c r="D166" s="280"/>
      <c r="E166" s="280"/>
      <c r="F166" s="280"/>
      <c r="G166" s="31"/>
      <c r="H166" s="32"/>
    </row>
    <row r="167" spans="2:8" x14ac:dyDescent="0.25">
      <c r="B167" s="279" t="s">
        <v>820</v>
      </c>
      <c r="C167" s="280"/>
      <c r="D167" s="280"/>
      <c r="E167" s="280"/>
      <c r="F167" s="280"/>
      <c r="G167" s="31"/>
      <c r="H167" s="32"/>
    </row>
    <row r="168" spans="2:8" x14ac:dyDescent="0.25">
      <c r="B168" s="279" t="s">
        <v>821</v>
      </c>
      <c r="C168" s="280"/>
      <c r="D168" s="280"/>
      <c r="E168" s="280"/>
      <c r="F168" s="280"/>
      <c r="G168" s="31"/>
      <c r="H168" s="32"/>
    </row>
    <row r="169" spans="2:8" x14ac:dyDescent="0.25">
      <c r="B169" s="279" t="s">
        <v>822</v>
      </c>
      <c r="C169" s="280"/>
      <c r="D169" s="280"/>
      <c r="E169" s="280"/>
      <c r="F169" s="280"/>
      <c r="G169" s="31"/>
      <c r="H169" s="32"/>
    </row>
    <row r="170" spans="2:8" x14ac:dyDescent="0.25">
      <c r="B170" s="283" t="s">
        <v>823</v>
      </c>
      <c r="C170" s="284"/>
      <c r="D170" s="284"/>
      <c r="E170" s="284"/>
      <c r="F170" s="284"/>
      <c r="G170" s="31"/>
      <c r="H170" s="32"/>
    </row>
    <row r="171" spans="2:8" x14ac:dyDescent="0.25">
      <c r="B171" s="283" t="s">
        <v>824</v>
      </c>
      <c r="C171" s="284"/>
      <c r="D171" s="284"/>
      <c r="E171" s="284"/>
      <c r="F171" s="284"/>
      <c r="G171" s="31"/>
      <c r="H171" s="32"/>
    </row>
    <row r="172" spans="2:8" x14ac:dyDescent="0.25">
      <c r="B172" s="283" t="s">
        <v>825</v>
      </c>
      <c r="C172" s="284"/>
      <c r="D172" s="284"/>
      <c r="E172" s="284"/>
      <c r="F172" s="284"/>
      <c r="G172" s="31"/>
      <c r="H172" s="32"/>
    </row>
    <row r="173" spans="2:8" x14ac:dyDescent="0.25">
      <c r="B173" s="285" t="s">
        <v>826</v>
      </c>
      <c r="C173" s="286"/>
      <c r="D173" s="286"/>
      <c r="E173" s="286"/>
      <c r="F173" s="286"/>
      <c r="G173" s="68"/>
      <c r="H173" s="69"/>
    </row>
    <row r="174" spans="2:8" x14ac:dyDescent="0.25">
      <c r="B174" s="341"/>
      <c r="C174" s="342"/>
      <c r="D174" s="8" t="s">
        <v>217</v>
      </c>
      <c r="E174" s="8" t="s">
        <v>218</v>
      </c>
      <c r="F174" s="8" t="s">
        <v>219</v>
      </c>
      <c r="G174" s="8" t="s">
        <v>220</v>
      </c>
      <c r="H174" s="10" t="s">
        <v>221</v>
      </c>
    </row>
    <row r="175" spans="2:8" x14ac:dyDescent="0.25">
      <c r="B175" s="341" t="s">
        <v>827</v>
      </c>
      <c r="C175" s="342"/>
      <c r="D175" s="8"/>
      <c r="E175" s="8" t="s">
        <v>137</v>
      </c>
      <c r="F175" s="8" t="s">
        <v>137</v>
      </c>
      <c r="G175" s="8" t="s">
        <v>137</v>
      </c>
      <c r="H175" s="10" t="s">
        <v>769</v>
      </c>
    </row>
    <row r="176" spans="2:8" x14ac:dyDescent="0.25">
      <c r="B176" s="343" t="s">
        <v>828</v>
      </c>
      <c r="C176" s="344"/>
      <c r="D176" s="11" t="s">
        <v>141</v>
      </c>
      <c r="E176" s="11" t="s">
        <v>224</v>
      </c>
      <c r="F176" s="11" t="s">
        <v>225</v>
      </c>
      <c r="G176" s="11" t="s">
        <v>226</v>
      </c>
      <c r="H176" s="12" t="s">
        <v>478</v>
      </c>
    </row>
    <row r="177" spans="2:8" x14ac:dyDescent="0.25">
      <c r="B177" s="290" t="s">
        <v>829</v>
      </c>
      <c r="C177" s="291"/>
      <c r="D177" s="71"/>
      <c r="E177" s="71"/>
      <c r="F177" s="71"/>
      <c r="G177" s="71"/>
      <c r="H177" s="72" t="str">
        <f t="shared" ref="H177:H185" si="8">IF(MONTH(paramDataBase)=12,E177-F177,"")</f>
        <v/>
      </c>
    </row>
    <row r="178" spans="2:8" x14ac:dyDescent="0.25">
      <c r="B178" s="283" t="s">
        <v>830</v>
      </c>
      <c r="C178" s="284"/>
      <c r="D178" s="31"/>
      <c r="E178" s="31"/>
      <c r="F178" s="31"/>
      <c r="G178" s="31"/>
      <c r="H178" s="32" t="str">
        <f t="shared" si="8"/>
        <v/>
      </c>
    </row>
    <row r="179" spans="2:8" x14ac:dyDescent="0.25">
      <c r="B179" s="283" t="s">
        <v>831</v>
      </c>
      <c r="C179" s="284"/>
      <c r="D179" s="31"/>
      <c r="E179" s="31"/>
      <c r="F179" s="31"/>
      <c r="G179" s="31"/>
      <c r="H179" s="32" t="str">
        <f t="shared" si="8"/>
        <v/>
      </c>
    </row>
    <row r="180" spans="2:8" x14ac:dyDescent="0.25">
      <c r="B180" s="283" t="s">
        <v>832</v>
      </c>
      <c r="C180" s="284"/>
      <c r="D180" s="31"/>
      <c r="E180" s="31"/>
      <c r="F180" s="31"/>
      <c r="G180" s="31"/>
      <c r="H180" s="32" t="str">
        <f t="shared" si="8"/>
        <v/>
      </c>
    </row>
    <row r="181" spans="2:8" x14ac:dyDescent="0.25">
      <c r="B181" s="283" t="s">
        <v>833</v>
      </c>
      <c r="C181" s="284"/>
      <c r="D181" s="31"/>
      <c r="E181" s="31"/>
      <c r="F181" s="31"/>
      <c r="G181" s="31"/>
      <c r="H181" s="32" t="str">
        <f t="shared" si="8"/>
        <v/>
      </c>
    </row>
    <row r="182" spans="2:8" x14ac:dyDescent="0.25">
      <c r="B182" s="283" t="s">
        <v>834</v>
      </c>
      <c r="C182" s="284"/>
      <c r="D182" s="31"/>
      <c r="E182" s="31"/>
      <c r="F182" s="31"/>
      <c r="G182" s="31"/>
      <c r="H182" s="32" t="str">
        <f t="shared" si="8"/>
        <v/>
      </c>
    </row>
    <row r="183" spans="2:8" x14ac:dyDescent="0.25">
      <c r="B183" s="283" t="s">
        <v>835</v>
      </c>
      <c r="C183" s="284"/>
      <c r="D183" s="31"/>
      <c r="E183" s="31"/>
      <c r="F183" s="31"/>
      <c r="G183" s="31"/>
      <c r="H183" s="32" t="str">
        <f t="shared" si="8"/>
        <v/>
      </c>
    </row>
    <row r="184" spans="2:8" x14ac:dyDescent="0.25">
      <c r="B184" s="283" t="s">
        <v>836</v>
      </c>
      <c r="C184" s="284"/>
      <c r="D184" s="31"/>
      <c r="E184" s="31"/>
      <c r="F184" s="31"/>
      <c r="G184" s="31"/>
      <c r="H184" s="32" t="str">
        <f t="shared" si="8"/>
        <v/>
      </c>
    </row>
    <row r="185" spans="2:8" x14ac:dyDescent="0.25">
      <c r="B185" s="285" t="s">
        <v>837</v>
      </c>
      <c r="C185" s="286"/>
      <c r="D185" s="68">
        <f>D177-SUM(D178:D184)</f>
        <v>0</v>
      </c>
      <c r="E185" s="68">
        <f t="shared" ref="E185:G185" si="9">E177-SUM(E178:E184)</f>
        <v>0</v>
      </c>
      <c r="F185" s="68">
        <f t="shared" si="9"/>
        <v>0</v>
      </c>
      <c r="G185" s="68">
        <f t="shared" si="9"/>
        <v>0</v>
      </c>
      <c r="H185" s="69" t="str">
        <f t="shared" si="8"/>
        <v/>
      </c>
    </row>
    <row r="186" spans="2:8" x14ac:dyDescent="0.25">
      <c r="B186" s="341"/>
      <c r="C186" s="342"/>
      <c r="D186" s="8" t="s">
        <v>217</v>
      </c>
      <c r="E186" s="8" t="s">
        <v>218</v>
      </c>
      <c r="F186" s="8" t="s">
        <v>219</v>
      </c>
      <c r="G186" s="8" t="s">
        <v>220</v>
      </c>
      <c r="H186" s="10" t="s">
        <v>221</v>
      </c>
    </row>
    <row r="187" spans="2:8" x14ac:dyDescent="0.25">
      <c r="B187" s="341" t="s">
        <v>838</v>
      </c>
      <c r="C187" s="342"/>
      <c r="D187" s="8"/>
      <c r="E187" s="8" t="s">
        <v>137</v>
      </c>
      <c r="F187" s="8" t="s">
        <v>137</v>
      </c>
      <c r="G187" s="8" t="s">
        <v>137</v>
      </c>
      <c r="H187" s="10" t="s">
        <v>769</v>
      </c>
    </row>
    <row r="188" spans="2:8" x14ac:dyDescent="0.25">
      <c r="B188" s="343"/>
      <c r="C188" s="344"/>
      <c r="D188" s="11" t="s">
        <v>141</v>
      </c>
      <c r="E188" s="11" t="s">
        <v>224</v>
      </c>
      <c r="F188" s="11" t="s">
        <v>225</v>
      </c>
      <c r="G188" s="11" t="s">
        <v>226</v>
      </c>
      <c r="H188" s="12" t="s">
        <v>478</v>
      </c>
    </row>
    <row r="189" spans="2:8" x14ac:dyDescent="0.25">
      <c r="B189" s="290" t="s">
        <v>839</v>
      </c>
      <c r="C189" s="291"/>
      <c r="D189" s="71">
        <f>D190+D195</f>
        <v>0</v>
      </c>
      <c r="E189" s="71">
        <f>E190+E195</f>
        <v>0</v>
      </c>
      <c r="F189" s="71">
        <f>F190+F195</f>
        <v>0</v>
      </c>
      <c r="G189" s="71">
        <f>G190+G195</f>
        <v>0</v>
      </c>
      <c r="H189" s="72" t="str">
        <f t="shared" ref="H189:H197" si="10">IF(MONTH(paramDataBase)=12,E189-F189,"")</f>
        <v/>
      </c>
    </row>
    <row r="190" spans="2:8" x14ac:dyDescent="0.25">
      <c r="B190" s="283" t="s">
        <v>840</v>
      </c>
      <c r="C190" s="284"/>
      <c r="D190" s="31">
        <f>SUM(D191:D194)</f>
        <v>0</v>
      </c>
      <c r="E190" s="31">
        <f>SUM(E191:E194)</f>
        <v>0</v>
      </c>
      <c r="F190" s="31">
        <f>SUM(F191:F194)</f>
        <v>0</v>
      </c>
      <c r="G190" s="31">
        <f>SUM(G191:G194)</f>
        <v>0</v>
      </c>
      <c r="H190" s="32" t="str">
        <f t="shared" si="10"/>
        <v/>
      </c>
    </row>
    <row r="191" spans="2:8" x14ac:dyDescent="0.25">
      <c r="B191" s="279" t="s">
        <v>841</v>
      </c>
      <c r="C191" s="280"/>
      <c r="D191" s="31"/>
      <c r="E191" s="31"/>
      <c r="F191" s="31"/>
      <c r="G191" s="31"/>
      <c r="H191" s="32" t="str">
        <f t="shared" si="10"/>
        <v/>
      </c>
    </row>
    <row r="192" spans="2:8" x14ac:dyDescent="0.25">
      <c r="B192" s="279" t="s">
        <v>842</v>
      </c>
      <c r="C192" s="280"/>
      <c r="D192" s="31"/>
      <c r="E192" s="31"/>
      <c r="F192" s="31"/>
      <c r="G192" s="31"/>
      <c r="H192" s="32" t="str">
        <f t="shared" si="10"/>
        <v/>
      </c>
    </row>
    <row r="193" spans="2:9" x14ac:dyDescent="0.25">
      <c r="B193" s="279" t="s">
        <v>843</v>
      </c>
      <c r="C193" s="280"/>
      <c r="D193" s="31"/>
      <c r="E193" s="31"/>
      <c r="F193" s="31"/>
      <c r="G193" s="31"/>
      <c r="H193" s="32" t="str">
        <f t="shared" si="10"/>
        <v/>
      </c>
    </row>
    <row r="194" spans="2:9" x14ac:dyDescent="0.25">
      <c r="B194" s="279" t="s">
        <v>844</v>
      </c>
      <c r="C194" s="280"/>
      <c r="D194" s="31"/>
      <c r="E194" s="31"/>
      <c r="F194" s="31"/>
      <c r="G194" s="31"/>
      <c r="H194" s="32" t="str">
        <f t="shared" si="10"/>
        <v/>
      </c>
    </row>
    <row r="195" spans="2:9" x14ac:dyDescent="0.25">
      <c r="B195" s="283" t="s">
        <v>845</v>
      </c>
      <c r="C195" s="284"/>
      <c r="D195" s="31">
        <f>SUM(D196:D197)</f>
        <v>0</v>
      </c>
      <c r="E195" s="31">
        <f>SUM(E196:E197)</f>
        <v>0</v>
      </c>
      <c r="F195" s="31">
        <f>SUM(F196:F197)</f>
        <v>0</v>
      </c>
      <c r="G195" s="31">
        <f>SUM(G196:G197)</f>
        <v>0</v>
      </c>
      <c r="H195" s="32" t="str">
        <f t="shared" si="10"/>
        <v/>
      </c>
    </row>
    <row r="196" spans="2:9" x14ac:dyDescent="0.25">
      <c r="B196" s="279" t="s">
        <v>846</v>
      </c>
      <c r="C196" s="280"/>
      <c r="D196" s="31"/>
      <c r="E196" s="31"/>
      <c r="F196" s="31"/>
      <c r="G196" s="31"/>
      <c r="H196" s="32" t="str">
        <f t="shared" si="10"/>
        <v/>
      </c>
    </row>
    <row r="197" spans="2:9" x14ac:dyDescent="0.25">
      <c r="B197" s="337" t="s">
        <v>847</v>
      </c>
      <c r="C197" s="338"/>
      <c r="D197" s="68"/>
      <c r="E197" s="68"/>
      <c r="F197" s="68"/>
      <c r="G197" s="68"/>
      <c r="H197" s="69" t="str">
        <f t="shared" si="10"/>
        <v/>
      </c>
    </row>
    <row r="198" spans="2:9" x14ac:dyDescent="0.25">
      <c r="B198" s="227" t="s">
        <v>848</v>
      </c>
      <c r="C198" s="243"/>
      <c r="D198" s="243"/>
      <c r="E198" s="243"/>
      <c r="F198" s="243"/>
      <c r="G198" s="39" t="s">
        <v>662</v>
      </c>
      <c r="H198" s="44" t="s">
        <v>849</v>
      </c>
    </row>
    <row r="199" spans="2:9" x14ac:dyDescent="0.25">
      <c r="B199" s="229"/>
      <c r="C199" s="252"/>
      <c r="D199" s="252"/>
      <c r="E199" s="252"/>
      <c r="F199" s="252"/>
      <c r="G199" s="5" t="s">
        <v>850</v>
      </c>
      <c r="H199" s="6" t="s">
        <v>851</v>
      </c>
    </row>
    <row r="200" spans="2:9" x14ac:dyDescent="0.25">
      <c r="B200" s="230" t="str">
        <f>_xlfn.CONCAT("34 - DISPONIBILIDADE FINANCEIRA EM 31 DE DEZEMBRO DE ",YEAR(paramDataBase)-1)</f>
        <v>34 - DISPONIBILIDADE FINANCEIRA EM 31 DE DEZEMBRO DE 1899</v>
      </c>
      <c r="C200" s="231"/>
      <c r="D200" s="231"/>
      <c r="E200" s="231"/>
      <c r="F200" s="231"/>
      <c r="G200" s="65"/>
      <c r="H200" s="66"/>
    </row>
    <row r="201" spans="2:9" x14ac:dyDescent="0.25">
      <c r="B201" s="266" t="s">
        <v>852</v>
      </c>
      <c r="C201" s="267"/>
      <c r="D201" s="267"/>
      <c r="E201" s="267"/>
      <c r="F201" s="267"/>
      <c r="G201" s="31">
        <f>H38</f>
        <v>0</v>
      </c>
      <c r="H201" s="32"/>
    </row>
    <row r="202" spans="2:9" x14ac:dyDescent="0.25">
      <c r="B202" s="266" t="s">
        <v>853</v>
      </c>
      <c r="C202" s="267"/>
      <c r="D202" s="267"/>
      <c r="E202" s="267"/>
      <c r="F202" s="267"/>
      <c r="G202" s="31">
        <f>G68</f>
        <v>0</v>
      </c>
      <c r="H202" s="32"/>
    </row>
    <row r="203" spans="2:9" x14ac:dyDescent="0.25">
      <c r="B203" s="266" t="s">
        <v>854</v>
      </c>
      <c r="C203" s="267"/>
      <c r="D203" s="267"/>
      <c r="E203" s="267"/>
      <c r="F203" s="267"/>
      <c r="G203" s="31">
        <f>G200+G201-G202</f>
        <v>0</v>
      </c>
      <c r="H203" s="32">
        <f>H200+H201-H202</f>
        <v>0</v>
      </c>
    </row>
    <row r="204" spans="2:9" x14ac:dyDescent="0.25">
      <c r="B204" s="266" t="s">
        <v>855</v>
      </c>
      <c r="C204" s="267"/>
      <c r="D204" s="267"/>
      <c r="E204" s="267"/>
      <c r="F204" s="267"/>
      <c r="G204" s="31"/>
      <c r="H204" s="32"/>
    </row>
    <row r="205" spans="2:9" x14ac:dyDescent="0.25">
      <c r="B205" s="266" t="s">
        <v>856</v>
      </c>
      <c r="C205" s="267"/>
      <c r="D205" s="267"/>
      <c r="E205" s="267"/>
      <c r="F205" s="267"/>
      <c r="G205" s="31"/>
      <c r="H205" s="32"/>
    </row>
    <row r="206" spans="2:9" ht="15.75" customHeight="1" x14ac:dyDescent="0.25">
      <c r="B206" s="339" t="s">
        <v>857</v>
      </c>
      <c r="C206" s="340"/>
      <c r="D206" s="340"/>
      <c r="E206" s="340"/>
      <c r="F206" s="340"/>
      <c r="G206" s="22">
        <f>G203+G204-G205</f>
        <v>0</v>
      </c>
      <c r="H206" s="23">
        <f>H203+H204-H205</f>
        <v>0</v>
      </c>
    </row>
    <row r="207" spans="2:9" x14ac:dyDescent="0.25">
      <c r="B207" s="249" t="str">
        <f ca="1">_xlfn.CONCAT("Fonte: ",paramFonte,". Emissão em ",TEXT(NOW(),"dd/mm/aaaa \à\s hh:mm:ss"))</f>
        <v>Fonte: Sistema MS Excel + SIAPC/PAD, Unidade Responsável: Secretaria da Fazenda / Setor de Contabilidade. Emissão em 09/05/2024 às 09:42:51</v>
      </c>
      <c r="C207" s="249"/>
      <c r="D207" s="249"/>
      <c r="E207" s="249"/>
      <c r="F207" s="249"/>
      <c r="G207" s="249"/>
      <c r="H207" s="249"/>
      <c r="I207" s="45"/>
    </row>
    <row r="209" spans="2:8" x14ac:dyDescent="0.25">
      <c r="B209" t="s">
        <v>253</v>
      </c>
    </row>
    <row r="210" spans="2:8" x14ac:dyDescent="0.25">
      <c r="B210" s="336" t="s">
        <v>858</v>
      </c>
      <c r="C210" s="336"/>
      <c r="D210" s="336"/>
      <c r="E210" s="336"/>
      <c r="F210" s="336"/>
      <c r="G210" s="336"/>
      <c r="H210" s="336"/>
    </row>
    <row r="211" spans="2:8" x14ac:dyDescent="0.25">
      <c r="B211" s="336" t="s">
        <v>859</v>
      </c>
      <c r="C211" s="336"/>
      <c r="D211" s="336"/>
      <c r="E211" s="336"/>
      <c r="F211" s="336"/>
      <c r="G211" s="336"/>
      <c r="H211" s="336"/>
    </row>
    <row r="212" spans="2:8" ht="30" customHeight="1" x14ac:dyDescent="0.25">
      <c r="B212" s="336" t="s">
        <v>860</v>
      </c>
      <c r="C212" s="336"/>
      <c r="D212" s="336"/>
      <c r="E212" s="336"/>
      <c r="F212" s="336"/>
      <c r="G212" s="336"/>
      <c r="H212" s="336"/>
    </row>
    <row r="213" spans="2:8" x14ac:dyDescent="0.25">
      <c r="B213" s="336" t="s">
        <v>861</v>
      </c>
      <c r="C213" s="336"/>
      <c r="D213" s="336"/>
      <c r="E213" s="336"/>
      <c r="F213" s="336"/>
      <c r="G213" s="336"/>
      <c r="H213" s="336"/>
    </row>
    <row r="214" spans="2:8" x14ac:dyDescent="0.25">
      <c r="B214" s="336" t="s">
        <v>862</v>
      </c>
      <c r="C214" s="336"/>
      <c r="D214" s="336"/>
      <c r="E214" s="336"/>
      <c r="F214" s="336"/>
      <c r="G214" s="336"/>
      <c r="H214" s="336"/>
    </row>
    <row r="215" spans="2:8" x14ac:dyDescent="0.25">
      <c r="B215" s="336" t="s">
        <v>863</v>
      </c>
      <c r="C215" s="336"/>
      <c r="D215" s="336"/>
      <c r="E215" s="336"/>
      <c r="F215" s="336"/>
      <c r="G215" s="336"/>
      <c r="H215" s="336"/>
    </row>
    <row r="216" spans="2:8" ht="30" customHeight="1" x14ac:dyDescent="0.25">
      <c r="B216" s="336" t="s">
        <v>864</v>
      </c>
      <c r="C216" s="336"/>
      <c r="D216" s="336"/>
      <c r="E216" s="336"/>
      <c r="F216" s="336"/>
      <c r="G216" s="336"/>
      <c r="H216" s="336"/>
    </row>
    <row r="217" spans="2:8" x14ac:dyDescent="0.25">
      <c r="B217" s="336" t="s">
        <v>865</v>
      </c>
      <c r="C217" s="336"/>
      <c r="D217" s="336"/>
      <c r="E217" s="336"/>
      <c r="F217" s="336"/>
      <c r="G217" s="336"/>
      <c r="H217" s="336"/>
    </row>
    <row r="218" spans="2:8" x14ac:dyDescent="0.25">
      <c r="B218" s="336" t="s">
        <v>866</v>
      </c>
      <c r="C218" s="336"/>
      <c r="D218" s="336"/>
      <c r="E218" s="336"/>
      <c r="F218" s="336"/>
      <c r="G218" s="336"/>
      <c r="H218" s="336"/>
    </row>
    <row r="219" spans="2:8" x14ac:dyDescent="0.25">
      <c r="B219" s="336" t="s">
        <v>867</v>
      </c>
      <c r="C219" s="336"/>
      <c r="D219" s="336"/>
      <c r="E219" s="336"/>
      <c r="F219" s="336"/>
      <c r="G219" s="336"/>
      <c r="H219" s="336"/>
    </row>
    <row r="220" spans="2:8" ht="31.5" customHeight="1" x14ac:dyDescent="0.25">
      <c r="B220" s="336" t="str">
        <f>IFERROR(_xlfn.CONCAT(_xlfn._xlws.FILTER(tblNotasExplicativas[Nota Com Separador],tblNotasExplicativas[Demonstrativo]="RREO A8")),"")</f>
        <v xml:space="preserve">O quadro das linhas 21 apresenta o rateio entre Creche e Pré-Escola com base nas matrículas de alunos, sendo 47,00% da despesa para a Creche. As linhas 10.2 apresentam na coluna Dotação Atualizada o mesmo valor da coluna Empenhado porque não há condições de separar a dotação de acordo com o código de acompanhamento orçamentário. </v>
      </c>
      <c r="C220" s="336"/>
      <c r="D220" s="336"/>
      <c r="E220" s="336"/>
      <c r="F220" s="336"/>
      <c r="G220" s="336"/>
      <c r="H220" s="336"/>
    </row>
    <row r="225" spans="2:8" x14ac:dyDescent="0.25">
      <c r="B225" t="str">
        <f>paramNomeContador</f>
        <v>EVERTON DA ROSA</v>
      </c>
      <c r="C225" s="46" t="str">
        <f>paramNomeSecretario</f>
        <v>ANA PAULA RODRIGUES SCHNEIDER SCHMIDT</v>
      </c>
      <c r="D225" s="46"/>
      <c r="E225" s="46"/>
      <c r="F225" s="46" t="str">
        <f>paramNomePrefeito</f>
        <v>JOÃO EDÉCIO GRAEF</v>
      </c>
      <c r="G225" s="46"/>
      <c r="H225" t="str">
        <f>paramNomePrefeito</f>
        <v>JOÃO EDÉCIO GRAEF</v>
      </c>
    </row>
    <row r="226" spans="2:8" x14ac:dyDescent="0.25">
      <c r="B226" t="str">
        <f>paramCargoContador</f>
        <v>Contador</v>
      </c>
      <c r="C226" s="247" t="str">
        <f>paramCargoSecretario</f>
        <v>Secretária da Fazenda</v>
      </c>
      <c r="D226" s="247"/>
      <c r="E226" s="247"/>
      <c r="F226" s="247"/>
      <c r="G226" s="247"/>
      <c r="H226" t="str">
        <f>paramCargoPrefeito</f>
        <v>Prefeito Municipal</v>
      </c>
    </row>
    <row r="227" spans="2:8" x14ac:dyDescent="0.25">
      <c r="B227" t="str">
        <f>_xlfn.CONCAT("CRC ",paramCRCContador)</f>
        <v>CRC 076595/O-3</v>
      </c>
    </row>
  </sheetData>
  <mergeCells count="175">
    <mergeCell ref="B2:H2"/>
    <mergeCell ref="B3:H3"/>
    <mergeCell ref="B4:H4"/>
    <mergeCell ref="B5:H5"/>
    <mergeCell ref="B6:H6"/>
    <mergeCell ref="B38:F38"/>
    <mergeCell ref="B39:F39"/>
    <mergeCell ref="B40:F40"/>
    <mergeCell ref="B41:F41"/>
    <mergeCell ref="B8:G8"/>
    <mergeCell ref="B21:F21"/>
    <mergeCell ref="B22:F22"/>
    <mergeCell ref="B20:F20"/>
    <mergeCell ref="B9:H9"/>
    <mergeCell ref="B10:F12"/>
    <mergeCell ref="B13:F13"/>
    <mergeCell ref="B14:F14"/>
    <mergeCell ref="B15:F15"/>
    <mergeCell ref="B16:F16"/>
    <mergeCell ref="B17:F17"/>
    <mergeCell ref="B18:F18"/>
    <mergeCell ref="B19:F19"/>
    <mergeCell ref="B30:F30"/>
    <mergeCell ref="B32:F32"/>
    <mergeCell ref="B34:H34"/>
    <mergeCell ref="B35:F37"/>
    <mergeCell ref="B27:F27"/>
    <mergeCell ref="B28:F28"/>
    <mergeCell ref="B23:F23"/>
    <mergeCell ref="B24:F24"/>
    <mergeCell ref="B25:F25"/>
    <mergeCell ref="B26:F26"/>
    <mergeCell ref="B42:F42"/>
    <mergeCell ref="B43:F43"/>
    <mergeCell ref="B44:F44"/>
    <mergeCell ref="B45:F45"/>
    <mergeCell ref="B46:F46"/>
    <mergeCell ref="B47:F47"/>
    <mergeCell ref="B48:F48"/>
    <mergeCell ref="B49:F49"/>
    <mergeCell ref="B50:F50"/>
    <mergeCell ref="B51:F51"/>
    <mergeCell ref="B52:F52"/>
    <mergeCell ref="B60:G60"/>
    <mergeCell ref="B61:G61"/>
    <mergeCell ref="B63:G63"/>
    <mergeCell ref="B65:C66"/>
    <mergeCell ref="B53:F53"/>
    <mergeCell ref="B54:F54"/>
    <mergeCell ref="B56:F56"/>
    <mergeCell ref="B58:G58"/>
    <mergeCell ref="B59:G59"/>
    <mergeCell ref="B67:C67"/>
    <mergeCell ref="D65:D66"/>
    <mergeCell ref="E65:E66"/>
    <mergeCell ref="F65:F66"/>
    <mergeCell ref="G65:G66"/>
    <mergeCell ref="B68:C68"/>
    <mergeCell ref="B69:C69"/>
    <mergeCell ref="B70:C70"/>
    <mergeCell ref="B71:C71"/>
    <mergeCell ref="B72:C72"/>
    <mergeCell ref="B73:C73"/>
    <mergeCell ref="B74:C74"/>
    <mergeCell ref="B76:C76"/>
    <mergeCell ref="B77:C77"/>
    <mergeCell ref="B78:C78"/>
    <mergeCell ref="B75:C75"/>
    <mergeCell ref="B85:H85"/>
    <mergeCell ref="B99:D100"/>
    <mergeCell ref="B101:D101"/>
    <mergeCell ref="B102:D102"/>
    <mergeCell ref="B79:C79"/>
    <mergeCell ref="B80:C80"/>
    <mergeCell ref="B81:C81"/>
    <mergeCell ref="B82:C82"/>
    <mergeCell ref="B83:C83"/>
    <mergeCell ref="B103:D103"/>
    <mergeCell ref="B104:C106"/>
    <mergeCell ref="B107:C107"/>
    <mergeCell ref="B108:B111"/>
    <mergeCell ref="B116:H116"/>
    <mergeCell ref="B122:C122"/>
    <mergeCell ref="B123:C123"/>
    <mergeCell ref="B117:C117"/>
    <mergeCell ref="B118:C118"/>
    <mergeCell ref="B119:C119"/>
    <mergeCell ref="B120:C120"/>
    <mergeCell ref="B121:C121"/>
    <mergeCell ref="B124:C124"/>
    <mergeCell ref="B139:G139"/>
    <mergeCell ref="B140:G140"/>
    <mergeCell ref="B141:G141"/>
    <mergeCell ref="B135:C135"/>
    <mergeCell ref="B136:C136"/>
    <mergeCell ref="B137:C137"/>
    <mergeCell ref="B126:C126"/>
    <mergeCell ref="B125:C125"/>
    <mergeCell ref="B133:C133"/>
    <mergeCell ref="B134:C134"/>
    <mergeCell ref="B127:C127"/>
    <mergeCell ref="B129:H129"/>
    <mergeCell ref="B130:C130"/>
    <mergeCell ref="B131:C131"/>
    <mergeCell ref="B132:C132"/>
    <mergeCell ref="B142:G142"/>
    <mergeCell ref="B143:G143"/>
    <mergeCell ref="B144:G144"/>
    <mergeCell ref="B145:G145"/>
    <mergeCell ref="B146:G146"/>
    <mergeCell ref="B148:E149"/>
    <mergeCell ref="B150:E150"/>
    <mergeCell ref="B152:C153"/>
    <mergeCell ref="B155:C155"/>
    <mergeCell ref="B156:C156"/>
    <mergeCell ref="B157:C157"/>
    <mergeCell ref="B154:C154"/>
    <mergeCell ref="B159:H159"/>
    <mergeCell ref="B160:F162"/>
    <mergeCell ref="B163:F163"/>
    <mergeCell ref="B164:F164"/>
    <mergeCell ref="B165:F165"/>
    <mergeCell ref="B166:F166"/>
    <mergeCell ref="B167:F167"/>
    <mergeCell ref="B168:F168"/>
    <mergeCell ref="B169:F169"/>
    <mergeCell ref="B170:F170"/>
    <mergeCell ref="B171:F171"/>
    <mergeCell ref="B172:F172"/>
    <mergeCell ref="B173:F173"/>
    <mergeCell ref="B174:C174"/>
    <mergeCell ref="B175:C175"/>
    <mergeCell ref="B176:C176"/>
    <mergeCell ref="B177:C177"/>
    <mergeCell ref="B178:C178"/>
    <mergeCell ref="B179:C179"/>
    <mergeCell ref="B180:C180"/>
    <mergeCell ref="B181:C181"/>
    <mergeCell ref="B182:C182"/>
    <mergeCell ref="B183:C183"/>
    <mergeCell ref="B184:C184"/>
    <mergeCell ref="B216:H216"/>
    <mergeCell ref="B185:C185"/>
    <mergeCell ref="B186:C186"/>
    <mergeCell ref="B187:C187"/>
    <mergeCell ref="B188:C188"/>
    <mergeCell ref="B189:C189"/>
    <mergeCell ref="B190:C190"/>
    <mergeCell ref="B191:C191"/>
    <mergeCell ref="B192:C192"/>
    <mergeCell ref="B193:C193"/>
    <mergeCell ref="B217:H217"/>
    <mergeCell ref="C226:G226"/>
    <mergeCell ref="B194:C194"/>
    <mergeCell ref="B195:C195"/>
    <mergeCell ref="B196:C196"/>
    <mergeCell ref="B197:C197"/>
    <mergeCell ref="B198:F199"/>
    <mergeCell ref="B218:H218"/>
    <mergeCell ref="B219:H219"/>
    <mergeCell ref="B200:F200"/>
    <mergeCell ref="B201:F201"/>
    <mergeCell ref="B202:F202"/>
    <mergeCell ref="B203:F203"/>
    <mergeCell ref="B204:F204"/>
    <mergeCell ref="B205:F205"/>
    <mergeCell ref="B206:F206"/>
    <mergeCell ref="B207:H207"/>
    <mergeCell ref="B220:H220"/>
    <mergeCell ref="B210:H210"/>
    <mergeCell ref="B211:H211"/>
    <mergeCell ref="B212:H212"/>
    <mergeCell ref="B213:H213"/>
    <mergeCell ref="B214:H214"/>
    <mergeCell ref="B215:H215"/>
  </mergeCells>
  <pageMargins left="0.23622047244094491" right="0.23622047244094491" top="0.74803149606299213" bottom="0.74803149606299213" header="0.31496062992125984" footer="0.31496062992125984"/>
  <pageSetup paperSize="9" scale="36" fitToHeight="0" orientation="portrait" r:id="rId1"/>
  <rowBreaks count="1" manualBreakCount="1">
    <brk id="128" max="7"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53C0C"/>
    <pageSetUpPr fitToPage="1"/>
  </sheetPr>
  <dimension ref="B2:E34"/>
  <sheetViews>
    <sheetView workbookViewId="0">
      <selection activeCell="B45" sqref="B45:P45"/>
    </sheetView>
  </sheetViews>
  <sheetFormatPr defaultRowHeight="15" x14ac:dyDescent="0.25"/>
  <cols>
    <col min="2" max="2" width="59.5703125" customWidth="1"/>
    <col min="3" max="3" width="22" customWidth="1"/>
    <col min="4" max="4" width="23.140625" customWidth="1"/>
    <col min="5" max="5" width="23" customWidth="1"/>
  </cols>
  <sheetData>
    <row r="2" spans="2:5" x14ac:dyDescent="0.25">
      <c r="B2" s="247" t="str">
        <f>paramEnte</f>
        <v>Município de Independência - RS</v>
      </c>
      <c r="C2" s="247"/>
      <c r="D2" s="247"/>
      <c r="E2" s="247"/>
    </row>
    <row r="3" spans="2:5" x14ac:dyDescent="0.25">
      <c r="B3" s="247" t="s">
        <v>125</v>
      </c>
      <c r="C3" s="247"/>
      <c r="D3" s="247"/>
      <c r="E3" s="247"/>
    </row>
    <row r="4" spans="2:5" x14ac:dyDescent="0.25">
      <c r="B4" s="248" t="s">
        <v>868</v>
      </c>
      <c r="C4" s="248"/>
      <c r="D4" s="248"/>
      <c r="E4" s="248"/>
    </row>
    <row r="5" spans="2:5" x14ac:dyDescent="0.25">
      <c r="B5" s="247" t="s">
        <v>127</v>
      </c>
      <c r="C5" s="247"/>
      <c r="D5" s="247"/>
      <c r="E5" s="247"/>
    </row>
    <row r="6" spans="2:5" x14ac:dyDescent="0.25">
      <c r="B6" s="249" t="str">
        <f>UPPER(TEXT(paramDataBase,"mmmm \d\e aaaa"))</f>
        <v>JANEIRO DE 1900</v>
      </c>
      <c r="C6" s="249"/>
      <c r="D6" s="249"/>
      <c r="E6" s="249"/>
    </row>
    <row r="8" spans="2:5" x14ac:dyDescent="0.25">
      <c r="B8" s="170" t="s">
        <v>869</v>
      </c>
      <c r="C8" s="170"/>
      <c r="D8" s="170"/>
      <c r="E8" s="2" t="s">
        <v>129</v>
      </c>
    </row>
    <row r="9" spans="2:5" x14ac:dyDescent="0.25">
      <c r="B9" s="227" t="s">
        <v>130</v>
      </c>
      <c r="C9" s="13" t="s">
        <v>132</v>
      </c>
      <c r="D9" s="39" t="s">
        <v>133</v>
      </c>
      <c r="E9" s="44" t="s">
        <v>870</v>
      </c>
    </row>
    <row r="10" spans="2:5" x14ac:dyDescent="0.25">
      <c r="B10" s="229"/>
      <c r="C10" s="11" t="s">
        <v>138</v>
      </c>
      <c r="D10" s="11" t="s">
        <v>139</v>
      </c>
      <c r="E10" s="12" t="s">
        <v>264</v>
      </c>
    </row>
    <row r="11" spans="2:5" x14ac:dyDescent="0.25">
      <c r="B11" s="105" t="s">
        <v>871</v>
      </c>
      <c r="C11" s="40" t="e">
        <f>SUMIFS(#REF!,#REF!,"21*",#REF!,"A")</f>
        <v>#REF!</v>
      </c>
      <c r="D11" s="40" t="e">
        <f>SUMIFS(#REF!,#REF!,"21*",#REF!,"A")</f>
        <v>#REF!</v>
      </c>
      <c r="E11" s="95" t="e">
        <f>C11-D11</f>
        <v>#REF!</v>
      </c>
    </row>
    <row r="12" spans="2:5" x14ac:dyDescent="0.25">
      <c r="C12" s="133"/>
      <c r="D12" s="133"/>
      <c r="E12" s="133"/>
    </row>
    <row r="13" spans="2:5" x14ac:dyDescent="0.25">
      <c r="B13" s="227" t="s">
        <v>215</v>
      </c>
      <c r="C13" s="13" t="s">
        <v>217</v>
      </c>
      <c r="D13" s="39" t="s">
        <v>218</v>
      </c>
      <c r="E13" s="44" t="s">
        <v>872</v>
      </c>
    </row>
    <row r="14" spans="2:5" x14ac:dyDescent="0.25">
      <c r="B14" s="229"/>
      <c r="C14" s="11" t="s">
        <v>224</v>
      </c>
      <c r="D14" s="11" t="s">
        <v>225</v>
      </c>
      <c r="E14" s="12" t="s">
        <v>873</v>
      </c>
    </row>
    <row r="15" spans="2:5" x14ac:dyDescent="0.25">
      <c r="B15" s="49" t="s">
        <v>237</v>
      </c>
      <c r="C15" s="65" t="e">
        <f>SUM(C16:C18)</f>
        <v>#REF!</v>
      </c>
      <c r="D15" s="65" t="e">
        <f>SUM(D16:D18)</f>
        <v>#REF!</v>
      </c>
      <c r="E15" s="66" t="e">
        <f t="shared" ref="E15:E21" si="0">C15-D15</f>
        <v>#REF!</v>
      </c>
    </row>
    <row r="16" spans="2:5" x14ac:dyDescent="0.25">
      <c r="B16" s="33" t="s">
        <v>567</v>
      </c>
      <c r="C16" s="31" t="e">
        <f>SUMIFS(#REF!,#REF!,"44*")</f>
        <v>#REF!</v>
      </c>
      <c r="D16" s="31" t="e">
        <f>SUMIFS(#REF!,#REF!,"44*")</f>
        <v>#REF!</v>
      </c>
      <c r="E16" s="32" t="e">
        <f t="shared" si="0"/>
        <v>#REF!</v>
      </c>
    </row>
    <row r="17" spans="2:5" x14ac:dyDescent="0.25">
      <c r="B17" s="33" t="s">
        <v>568</v>
      </c>
      <c r="C17" s="31" t="e">
        <f>SUMIFS(#REF!,#REF!,"45*")</f>
        <v>#REF!</v>
      </c>
      <c r="D17" s="31" t="e">
        <f>SUMIFS(#REF!,#REF!,"45*")</f>
        <v>#REF!</v>
      </c>
      <c r="E17" s="32" t="e">
        <f t="shared" si="0"/>
        <v>#REF!</v>
      </c>
    </row>
    <row r="18" spans="2:5" x14ac:dyDescent="0.25">
      <c r="B18" s="33" t="s">
        <v>874</v>
      </c>
      <c r="C18" s="31" t="e">
        <f>SUMIFS(#REF!,#REF!,"46*")</f>
        <v>#REF!</v>
      </c>
      <c r="D18" s="31" t="e">
        <f>SUMIFS(#REF!,#REF!,"46*")</f>
        <v>#REF!</v>
      </c>
      <c r="E18" s="32" t="e">
        <f t="shared" si="0"/>
        <v>#REF!</v>
      </c>
    </row>
    <row r="19" spans="2:5" x14ac:dyDescent="0.25">
      <c r="B19" s="179" t="s">
        <v>875</v>
      </c>
      <c r="C19" s="31"/>
      <c r="D19" s="31"/>
      <c r="E19" s="32">
        <f t="shared" si="0"/>
        <v>0</v>
      </c>
    </row>
    <row r="20" spans="2:5" x14ac:dyDescent="0.25">
      <c r="B20" s="179" t="s">
        <v>876</v>
      </c>
      <c r="C20" s="31"/>
      <c r="D20" s="31"/>
      <c r="E20" s="32">
        <f t="shared" si="0"/>
        <v>0</v>
      </c>
    </row>
    <row r="21" spans="2:5" x14ac:dyDescent="0.25">
      <c r="B21" s="76" t="s">
        <v>877</v>
      </c>
      <c r="C21" s="68" t="e">
        <f>C15-C19-C20</f>
        <v>#REF!</v>
      </c>
      <c r="D21" s="68" t="e">
        <f>D15-D19-D20</f>
        <v>#REF!</v>
      </c>
      <c r="E21" s="69" t="e">
        <f t="shared" si="0"/>
        <v>#REF!</v>
      </c>
    </row>
    <row r="22" spans="2:5" x14ac:dyDescent="0.25">
      <c r="C22" s="133"/>
      <c r="D22" s="133"/>
      <c r="E22" s="133"/>
    </row>
    <row r="23" spans="2:5" x14ac:dyDescent="0.25">
      <c r="B23" s="211" t="s">
        <v>878</v>
      </c>
      <c r="C23" s="210" t="e">
        <f>C21-C11</f>
        <v>#REF!</v>
      </c>
      <c r="D23" s="212" t="e">
        <f>D21-D11</f>
        <v>#REF!</v>
      </c>
      <c r="E23" s="213" t="e">
        <f>E21-E11</f>
        <v>#REF!</v>
      </c>
    </row>
    <row r="24" spans="2:5" x14ac:dyDescent="0.25">
      <c r="B24" s="249" t="str">
        <f ca="1">_xlfn.CONCAT("Fonte: ",paramFonte,". Emissão em ",TEXT(NOW(),"dd/mm/aaaa \à\s hh:mm:ss"))</f>
        <v>Fonte: Sistema MS Excel + SIAPC/PAD, Unidade Responsável: Secretaria da Fazenda / Setor de Contabilidade. Emissão em 09/05/2024 às 09:42:51</v>
      </c>
      <c r="C24" s="249"/>
      <c r="D24" s="249"/>
      <c r="E24" s="249"/>
    </row>
    <row r="26" spans="2:5" x14ac:dyDescent="0.25">
      <c r="B26" s="247" t="s">
        <v>253</v>
      </c>
      <c r="C26" s="247"/>
      <c r="D26" s="247"/>
      <c r="E26" s="247"/>
    </row>
    <row r="27" spans="2:5" x14ac:dyDescent="0.25">
      <c r="B27" s="46" t="s">
        <v>879</v>
      </c>
      <c r="C27" s="46"/>
      <c r="D27" s="46"/>
      <c r="E27" s="46"/>
    </row>
    <row r="28" spans="2:5" x14ac:dyDescent="0.25">
      <c r="B28" s="196" t="str">
        <f>IFERROR(_xlfn.CONCAT(_xlfn._xlws.FILTER(tblNotasExplicativas[Nota Com Separador],tblNotasExplicativas[Demonstrativo]="RREO A9")),"")</f>
        <v/>
      </c>
      <c r="C28" s="196"/>
      <c r="D28" s="196"/>
      <c r="E28" s="196"/>
    </row>
    <row r="32" spans="2:5" x14ac:dyDescent="0.25">
      <c r="B32" t="str">
        <f>paramNomeContador</f>
        <v>EVERTON DA ROSA</v>
      </c>
      <c r="C32" s="247" t="str">
        <f>paramNomeSecretario</f>
        <v>ANA PAULA RODRIGUES SCHNEIDER SCHMIDT</v>
      </c>
      <c r="D32" s="247"/>
      <c r="E32" s="46" t="str">
        <f>paramNomePrefeito</f>
        <v>JOÃO EDÉCIO GRAEF</v>
      </c>
    </row>
    <row r="33" spans="2:5" x14ac:dyDescent="0.25">
      <c r="B33" t="str">
        <f>paramCargoContador</f>
        <v>Contador</v>
      </c>
      <c r="C33" s="247" t="str">
        <f>paramCargoSecretario</f>
        <v>Secretária da Fazenda</v>
      </c>
      <c r="D33" s="247"/>
      <c r="E33" s="46" t="str">
        <f>paramCargoPrefeito</f>
        <v>Prefeito Municipal</v>
      </c>
    </row>
    <row r="34" spans="2:5" x14ac:dyDescent="0.25">
      <c r="B34" t="str">
        <f>_xlfn.CONCAT("CRC ",paramCRCContador)</f>
        <v>CRC 076595/O-3</v>
      </c>
    </row>
  </sheetData>
  <mergeCells count="11">
    <mergeCell ref="B9:B10"/>
    <mergeCell ref="B2:E2"/>
    <mergeCell ref="B3:E3"/>
    <mergeCell ref="B4:E4"/>
    <mergeCell ref="B5:E5"/>
    <mergeCell ref="B6:E6"/>
    <mergeCell ref="C33:D33"/>
    <mergeCell ref="B13:B14"/>
    <mergeCell ref="B24:E24"/>
    <mergeCell ref="B26:E26"/>
    <mergeCell ref="C32:D32"/>
  </mergeCells>
  <pageMargins left="0.25" right="0.25" top="0.75" bottom="0.75" header="0.3" footer="0.3"/>
  <pageSetup paperSize="9" scale="72"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853C0C"/>
    <pageSetUpPr fitToPage="1"/>
  </sheetPr>
  <dimension ref="B2:F100"/>
  <sheetViews>
    <sheetView topLeftCell="A71" workbookViewId="0">
      <selection activeCell="B45" sqref="B45:P45"/>
    </sheetView>
  </sheetViews>
  <sheetFormatPr defaultRowHeight="15" x14ac:dyDescent="0.25"/>
  <cols>
    <col min="2" max="2" width="17.85546875" customWidth="1"/>
    <col min="3" max="3" width="22" customWidth="1"/>
    <col min="4" max="5" width="23.140625" customWidth="1"/>
    <col min="6" max="6" width="23"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880</v>
      </c>
      <c r="C4" s="248"/>
      <c r="D4" s="248"/>
      <c r="E4" s="248"/>
      <c r="F4" s="248"/>
    </row>
    <row r="5" spans="2:6" x14ac:dyDescent="0.25">
      <c r="B5" s="247" t="s">
        <v>881</v>
      </c>
      <c r="C5" s="247"/>
      <c r="D5" s="247"/>
      <c r="E5" s="247"/>
      <c r="F5" s="247"/>
    </row>
    <row r="6" spans="2:6" x14ac:dyDescent="0.25">
      <c r="B6" s="249" t="str">
        <f>UPPER(TEXT(paramDataBase,"mmmm \d\e aaaa"))</f>
        <v>JANEIRO DE 1900</v>
      </c>
      <c r="C6" s="249"/>
      <c r="D6" s="249"/>
      <c r="E6" s="249"/>
      <c r="F6" s="249"/>
    </row>
    <row r="8" spans="2:6" x14ac:dyDescent="0.25">
      <c r="B8" s="369" t="s">
        <v>882</v>
      </c>
      <c r="C8" s="369"/>
      <c r="D8" s="369"/>
      <c r="E8" s="170"/>
      <c r="F8" s="2" t="s">
        <v>129</v>
      </c>
    </row>
    <row r="9" spans="2:6" x14ac:dyDescent="0.25">
      <c r="B9" s="371" t="s">
        <v>455</v>
      </c>
      <c r="C9" s="371"/>
      <c r="D9" s="371"/>
      <c r="E9" s="371"/>
      <c r="F9" s="371"/>
    </row>
    <row r="10" spans="2:6" x14ac:dyDescent="0.25">
      <c r="B10" s="228" t="s">
        <v>883</v>
      </c>
      <c r="C10" s="8" t="s">
        <v>130</v>
      </c>
      <c r="D10" s="4" t="s">
        <v>215</v>
      </c>
      <c r="E10" s="85" t="s">
        <v>884</v>
      </c>
      <c r="F10" s="85" t="s">
        <v>885</v>
      </c>
    </row>
    <row r="11" spans="2:6" x14ac:dyDescent="0.25">
      <c r="B11" s="228"/>
      <c r="C11" s="8" t="s">
        <v>886</v>
      </c>
      <c r="D11" s="4" t="s">
        <v>886</v>
      </c>
      <c r="E11" s="85" t="s">
        <v>887</v>
      </c>
      <c r="F11" s="85" t="s">
        <v>888</v>
      </c>
    </row>
    <row r="12" spans="2:6" x14ac:dyDescent="0.25">
      <c r="B12" s="229"/>
      <c r="C12" s="11" t="s">
        <v>138</v>
      </c>
      <c r="D12" s="11" t="s">
        <v>139</v>
      </c>
      <c r="E12" s="12" t="s">
        <v>264</v>
      </c>
      <c r="F12" s="12" t="s">
        <v>889</v>
      </c>
    </row>
    <row r="13" spans="2:6" x14ac:dyDescent="0.25">
      <c r="B13" s="214">
        <f>YEAR(paramDataBase)-1</f>
        <v>1899</v>
      </c>
      <c r="C13" s="50">
        <v>4983726.3899999997</v>
      </c>
      <c r="D13" s="50">
        <v>2855735.93</v>
      </c>
      <c r="E13" s="52">
        <f t="shared" ref="E13:E44" si="0">C13-D13</f>
        <v>2127990.4599999995</v>
      </c>
      <c r="F13" s="52">
        <v>32413344.420000002</v>
      </c>
    </row>
    <row r="14" spans="2:6" x14ac:dyDescent="0.25">
      <c r="B14" s="215">
        <f t="shared" ref="B14:B45" si="1">B13+1</f>
        <v>1900</v>
      </c>
      <c r="C14" s="53">
        <v>5411066.9900000002</v>
      </c>
      <c r="D14" s="53">
        <v>2798688.83</v>
      </c>
      <c r="E14" s="55">
        <f t="shared" si="0"/>
        <v>2612378.16</v>
      </c>
      <c r="F14" s="55">
        <f t="shared" ref="F14:F45" si="2">E14+F13</f>
        <v>35025722.579999998</v>
      </c>
    </row>
    <row r="15" spans="2:6" x14ac:dyDescent="0.25">
      <c r="B15" s="215">
        <f t="shared" si="1"/>
        <v>1901</v>
      </c>
      <c r="C15" s="53">
        <v>5449295.4000000004</v>
      </c>
      <c r="D15" s="53">
        <v>3712377.26</v>
      </c>
      <c r="E15" s="55">
        <f t="shared" si="0"/>
        <v>1736918.1400000006</v>
      </c>
      <c r="F15" s="55">
        <f t="shared" si="2"/>
        <v>36762640.719999999</v>
      </c>
    </row>
    <row r="16" spans="2:6" x14ac:dyDescent="0.25">
      <c r="B16" s="215">
        <f t="shared" si="1"/>
        <v>1902</v>
      </c>
      <c r="C16" s="53">
        <v>5522333.3899999997</v>
      </c>
      <c r="D16" s="53">
        <v>3781851.52</v>
      </c>
      <c r="E16" s="55">
        <f t="shared" si="0"/>
        <v>1740481.8699999996</v>
      </c>
      <c r="F16" s="55">
        <f t="shared" si="2"/>
        <v>38503122.589999996</v>
      </c>
    </row>
    <row r="17" spans="2:6" x14ac:dyDescent="0.25">
      <c r="B17" s="215">
        <f t="shared" si="1"/>
        <v>1903</v>
      </c>
      <c r="C17" s="53">
        <v>5580077.6500000004</v>
      </c>
      <c r="D17" s="53">
        <v>3950988.88</v>
      </c>
      <c r="E17" s="55">
        <f t="shared" si="0"/>
        <v>1629088.7700000005</v>
      </c>
      <c r="F17" s="55">
        <f t="shared" si="2"/>
        <v>40132211.359999999</v>
      </c>
    </row>
    <row r="18" spans="2:6" x14ac:dyDescent="0.25">
      <c r="B18" s="215">
        <f t="shared" si="1"/>
        <v>1904</v>
      </c>
      <c r="C18" s="53">
        <v>5651273.54</v>
      </c>
      <c r="D18" s="53">
        <v>3959091.29</v>
      </c>
      <c r="E18" s="55">
        <f t="shared" si="0"/>
        <v>1692182.25</v>
      </c>
      <c r="F18" s="55">
        <f t="shared" si="2"/>
        <v>41824393.609999999</v>
      </c>
    </row>
    <row r="19" spans="2:6" x14ac:dyDescent="0.25">
      <c r="B19" s="215">
        <f t="shared" si="1"/>
        <v>1905</v>
      </c>
      <c r="C19" s="53">
        <v>5704614.9500000002</v>
      </c>
      <c r="D19" s="53">
        <v>4036924.9</v>
      </c>
      <c r="E19" s="55">
        <f t="shared" si="0"/>
        <v>1667690.0500000003</v>
      </c>
      <c r="F19" s="55">
        <f t="shared" si="2"/>
        <v>43492083.659999996</v>
      </c>
    </row>
    <row r="20" spans="2:6" x14ac:dyDescent="0.25">
      <c r="B20" s="215">
        <f t="shared" si="1"/>
        <v>1906</v>
      </c>
      <c r="C20" s="53">
        <v>5847578.2199999997</v>
      </c>
      <c r="D20" s="53">
        <v>4094552.77</v>
      </c>
      <c r="E20" s="55">
        <f t="shared" si="0"/>
        <v>1753025.4499999997</v>
      </c>
      <c r="F20" s="55">
        <f t="shared" si="2"/>
        <v>45245109.109999999</v>
      </c>
    </row>
    <row r="21" spans="2:6" x14ac:dyDescent="0.25">
      <c r="B21" s="215">
        <f t="shared" si="1"/>
        <v>1907</v>
      </c>
      <c r="C21" s="53">
        <v>5841682.6799999997</v>
      </c>
      <c r="D21" s="53">
        <v>4447895.34</v>
      </c>
      <c r="E21" s="55">
        <f t="shared" si="0"/>
        <v>1393787.3399999999</v>
      </c>
      <c r="F21" s="55">
        <f t="shared" si="2"/>
        <v>46638896.450000003</v>
      </c>
    </row>
    <row r="22" spans="2:6" x14ac:dyDescent="0.25">
      <c r="B22" s="215">
        <f t="shared" si="1"/>
        <v>1908</v>
      </c>
      <c r="C22" s="53">
        <v>5970297.6699999999</v>
      </c>
      <c r="D22" s="53">
        <v>4473645.32</v>
      </c>
      <c r="E22" s="55">
        <f t="shared" si="0"/>
        <v>1496652.3499999996</v>
      </c>
      <c r="F22" s="55">
        <f t="shared" si="2"/>
        <v>48135548.800000004</v>
      </c>
    </row>
    <row r="23" spans="2:6" x14ac:dyDescent="0.25">
      <c r="B23" s="215">
        <f t="shared" si="1"/>
        <v>1909</v>
      </c>
      <c r="C23" s="53">
        <v>5993888.8200000003</v>
      </c>
      <c r="D23" s="53">
        <v>4543598.67</v>
      </c>
      <c r="E23" s="55">
        <f t="shared" si="0"/>
        <v>1450290.1500000004</v>
      </c>
      <c r="F23" s="55">
        <f t="shared" si="2"/>
        <v>49585838.950000003</v>
      </c>
    </row>
    <row r="24" spans="2:6" x14ac:dyDescent="0.25">
      <c r="B24" s="215">
        <f t="shared" si="1"/>
        <v>1910</v>
      </c>
      <c r="C24" s="53">
        <v>6118282.7599999998</v>
      </c>
      <c r="D24" s="53">
        <v>4618167.3099999996</v>
      </c>
      <c r="E24" s="55">
        <f t="shared" si="0"/>
        <v>1500115.4500000002</v>
      </c>
      <c r="F24" s="55">
        <f t="shared" si="2"/>
        <v>51085954.400000006</v>
      </c>
    </row>
    <row r="25" spans="2:6" x14ac:dyDescent="0.25">
      <c r="B25" s="215">
        <f t="shared" si="1"/>
        <v>1911</v>
      </c>
      <c r="C25" s="53">
        <v>6060358.1100000003</v>
      </c>
      <c r="D25" s="53">
        <v>4732750.76</v>
      </c>
      <c r="E25" s="55">
        <f t="shared" si="0"/>
        <v>1327607.3500000006</v>
      </c>
      <c r="F25" s="55">
        <f t="shared" si="2"/>
        <v>52413561.750000007</v>
      </c>
    </row>
    <row r="26" spans="2:6" x14ac:dyDescent="0.25">
      <c r="B26" s="215">
        <f t="shared" si="1"/>
        <v>1912</v>
      </c>
      <c r="C26" s="53">
        <v>6164771.2800000003</v>
      </c>
      <c r="D26" s="53">
        <v>4817405.17</v>
      </c>
      <c r="E26" s="55">
        <f t="shared" si="0"/>
        <v>1347366.1100000003</v>
      </c>
      <c r="F26" s="55">
        <f t="shared" si="2"/>
        <v>53760927.860000007</v>
      </c>
    </row>
    <row r="27" spans="2:6" x14ac:dyDescent="0.25">
      <c r="B27" s="215">
        <f t="shared" si="1"/>
        <v>1913</v>
      </c>
      <c r="C27" s="53">
        <v>6251420.96</v>
      </c>
      <c r="D27" s="53">
        <v>5005053.03</v>
      </c>
      <c r="E27" s="55">
        <f t="shared" si="0"/>
        <v>1246367.9299999997</v>
      </c>
      <c r="F27" s="55">
        <f t="shared" si="2"/>
        <v>55007295.790000007</v>
      </c>
    </row>
    <row r="28" spans="2:6" x14ac:dyDescent="0.25">
      <c r="B28" s="215">
        <f t="shared" si="1"/>
        <v>1914</v>
      </c>
      <c r="C28" s="53">
        <v>6353622.0300000003</v>
      </c>
      <c r="D28" s="53">
        <v>5057536.12</v>
      </c>
      <c r="E28" s="55">
        <f t="shared" si="0"/>
        <v>1296085.9100000001</v>
      </c>
      <c r="F28" s="55">
        <f t="shared" si="2"/>
        <v>56303381.700000003</v>
      </c>
    </row>
    <row r="29" spans="2:6" x14ac:dyDescent="0.25">
      <c r="B29" s="215">
        <f t="shared" si="1"/>
        <v>1915</v>
      </c>
      <c r="C29" s="53">
        <v>6381927.5700000003</v>
      </c>
      <c r="D29" s="53">
        <v>5454641.9699999997</v>
      </c>
      <c r="E29" s="55">
        <f t="shared" si="0"/>
        <v>927285.60000000056</v>
      </c>
      <c r="F29" s="55">
        <f t="shared" si="2"/>
        <v>57230667.300000004</v>
      </c>
    </row>
    <row r="30" spans="2:6" x14ac:dyDescent="0.25">
      <c r="B30" s="215">
        <f t="shared" si="1"/>
        <v>1916</v>
      </c>
      <c r="C30" s="53">
        <v>6425019.9900000002</v>
      </c>
      <c r="D30" s="53">
        <v>5679866.8700000001</v>
      </c>
      <c r="E30" s="55">
        <f t="shared" si="0"/>
        <v>745153.12000000011</v>
      </c>
      <c r="F30" s="55">
        <f t="shared" si="2"/>
        <v>57975820.420000002</v>
      </c>
    </row>
    <row r="31" spans="2:6" x14ac:dyDescent="0.25">
      <c r="B31" s="215">
        <f t="shared" si="1"/>
        <v>1917</v>
      </c>
      <c r="C31" s="53">
        <v>6472977.3799999999</v>
      </c>
      <c r="D31" s="53">
        <v>5821069.3300000001</v>
      </c>
      <c r="E31" s="55">
        <f t="shared" si="0"/>
        <v>651908.04999999981</v>
      </c>
      <c r="F31" s="55">
        <f t="shared" si="2"/>
        <v>58627728.469999999</v>
      </c>
    </row>
    <row r="32" spans="2:6" x14ac:dyDescent="0.25">
      <c r="B32" s="215">
        <f t="shared" si="1"/>
        <v>1918</v>
      </c>
      <c r="C32" s="53">
        <v>6465660.6900000004</v>
      </c>
      <c r="D32" s="53">
        <v>6189800.2000000002</v>
      </c>
      <c r="E32" s="55">
        <f t="shared" si="0"/>
        <v>275860.49000000022</v>
      </c>
      <c r="F32" s="55">
        <f t="shared" si="2"/>
        <v>58903588.960000001</v>
      </c>
    </row>
    <row r="33" spans="2:6" x14ac:dyDescent="0.25">
      <c r="B33" s="215">
        <f t="shared" si="1"/>
        <v>1919</v>
      </c>
      <c r="C33" s="53">
        <v>6540026.1299999999</v>
      </c>
      <c r="D33" s="53">
        <v>6092521.9699999997</v>
      </c>
      <c r="E33" s="55">
        <f t="shared" si="0"/>
        <v>447504.16000000015</v>
      </c>
      <c r="F33" s="55">
        <f t="shared" si="2"/>
        <v>59351093.120000005</v>
      </c>
    </row>
    <row r="34" spans="2:6" x14ac:dyDescent="0.25">
      <c r="B34" s="215">
        <f t="shared" si="1"/>
        <v>1920</v>
      </c>
      <c r="C34" s="53">
        <v>6588212.9000000004</v>
      </c>
      <c r="D34" s="53">
        <v>6179870.8700000001</v>
      </c>
      <c r="E34" s="55">
        <f t="shared" si="0"/>
        <v>408342.03000000026</v>
      </c>
      <c r="F34" s="55">
        <f t="shared" si="2"/>
        <v>59759435.150000006</v>
      </c>
    </row>
    <row r="35" spans="2:6" x14ac:dyDescent="0.25">
      <c r="B35" s="215">
        <f t="shared" si="1"/>
        <v>1921</v>
      </c>
      <c r="C35" s="53">
        <v>6591195.5899999999</v>
      </c>
      <c r="D35" s="53">
        <v>6432310.3099999996</v>
      </c>
      <c r="E35" s="55">
        <f t="shared" si="0"/>
        <v>158885.28000000026</v>
      </c>
      <c r="F35" s="55">
        <f t="shared" si="2"/>
        <v>59918320.430000007</v>
      </c>
    </row>
    <row r="36" spans="2:6" x14ac:dyDescent="0.25">
      <c r="B36" s="215">
        <f t="shared" si="1"/>
        <v>1922</v>
      </c>
      <c r="C36" s="53">
        <v>6623796.54</v>
      </c>
      <c r="D36" s="53">
        <v>6478279.3899999997</v>
      </c>
      <c r="E36" s="55">
        <f t="shared" si="0"/>
        <v>145517.15000000037</v>
      </c>
      <c r="F36" s="55">
        <f t="shared" si="2"/>
        <v>60063837.580000006</v>
      </c>
    </row>
    <row r="37" spans="2:6" x14ac:dyDescent="0.25">
      <c r="B37" s="215">
        <f t="shared" si="1"/>
        <v>1923</v>
      </c>
      <c r="C37" s="53">
        <v>6664883.4500000002</v>
      </c>
      <c r="D37" s="53">
        <v>6478180.8300000001</v>
      </c>
      <c r="E37" s="55">
        <f t="shared" si="0"/>
        <v>186702.62000000011</v>
      </c>
      <c r="F37" s="55">
        <f t="shared" si="2"/>
        <v>60250540.200000003</v>
      </c>
    </row>
    <row r="38" spans="2:6" x14ac:dyDescent="0.25">
      <c r="B38" s="215">
        <f t="shared" si="1"/>
        <v>1924</v>
      </c>
      <c r="C38" s="53">
        <v>6662958.4100000001</v>
      </c>
      <c r="D38" s="53">
        <v>6682412.2199999997</v>
      </c>
      <c r="E38" s="55">
        <f t="shared" si="0"/>
        <v>-19453.80999999959</v>
      </c>
      <c r="F38" s="55">
        <f t="shared" si="2"/>
        <v>60231086.390000001</v>
      </c>
    </row>
    <row r="39" spans="2:6" x14ac:dyDescent="0.25">
      <c r="B39" s="215">
        <f t="shared" si="1"/>
        <v>1925</v>
      </c>
      <c r="C39" s="53">
        <v>6683525.0300000003</v>
      </c>
      <c r="D39" s="53">
        <v>6725572.21</v>
      </c>
      <c r="E39" s="55">
        <f t="shared" si="0"/>
        <v>-42047.179999999702</v>
      </c>
      <c r="F39" s="55">
        <f t="shared" si="2"/>
        <v>60189039.210000001</v>
      </c>
    </row>
    <row r="40" spans="2:6" x14ac:dyDescent="0.25">
      <c r="B40" s="215">
        <f t="shared" si="1"/>
        <v>1926</v>
      </c>
      <c r="C40" s="53">
        <v>6712503.2000000002</v>
      </c>
      <c r="D40" s="53">
        <v>6722726.0099999998</v>
      </c>
      <c r="E40" s="55">
        <f t="shared" si="0"/>
        <v>-10222.80999999959</v>
      </c>
      <c r="F40" s="55">
        <f t="shared" si="2"/>
        <v>60178816.399999999</v>
      </c>
    </row>
    <row r="41" spans="2:6" x14ac:dyDescent="0.25">
      <c r="B41" s="215">
        <f t="shared" si="1"/>
        <v>1927</v>
      </c>
      <c r="C41" s="53">
        <v>6758485.3099999996</v>
      </c>
      <c r="D41" s="53">
        <v>6648355.9400000004</v>
      </c>
      <c r="E41" s="55">
        <f t="shared" si="0"/>
        <v>110129.36999999918</v>
      </c>
      <c r="F41" s="55">
        <f t="shared" si="2"/>
        <v>60288945.769999996</v>
      </c>
    </row>
    <row r="42" spans="2:6" x14ac:dyDescent="0.25">
      <c r="B42" s="215">
        <f t="shared" si="1"/>
        <v>1928</v>
      </c>
      <c r="C42" s="53">
        <v>6813981.0499999998</v>
      </c>
      <c r="D42" s="53">
        <v>6558728.1900000004</v>
      </c>
      <c r="E42" s="55">
        <f t="shared" si="0"/>
        <v>255252.8599999994</v>
      </c>
      <c r="F42" s="55">
        <f t="shared" si="2"/>
        <v>60544198.629999995</v>
      </c>
    </row>
    <row r="43" spans="2:6" x14ac:dyDescent="0.25">
      <c r="B43" s="215">
        <f t="shared" si="1"/>
        <v>1929</v>
      </c>
      <c r="C43" s="53">
        <v>6877264.1799999997</v>
      </c>
      <c r="D43" s="53">
        <v>6468226.54</v>
      </c>
      <c r="E43" s="55">
        <f t="shared" si="0"/>
        <v>409037.63999999966</v>
      </c>
      <c r="F43" s="55">
        <f t="shared" si="2"/>
        <v>60953236.269999996</v>
      </c>
    </row>
    <row r="44" spans="2:6" x14ac:dyDescent="0.25">
      <c r="B44" s="215">
        <f t="shared" si="1"/>
        <v>1930</v>
      </c>
      <c r="C44" s="53">
        <v>6950350.6600000001</v>
      </c>
      <c r="D44" s="53">
        <v>6369953.8799999999</v>
      </c>
      <c r="E44" s="55">
        <f t="shared" si="0"/>
        <v>580396.78000000026</v>
      </c>
      <c r="F44" s="55">
        <f t="shared" si="2"/>
        <v>61533633.049999997</v>
      </c>
    </row>
    <row r="45" spans="2:6" x14ac:dyDescent="0.25">
      <c r="B45" s="215">
        <f t="shared" si="1"/>
        <v>1931</v>
      </c>
      <c r="C45" s="53">
        <v>6985448.5</v>
      </c>
      <c r="D45" s="53">
        <v>6484562.8200000003</v>
      </c>
      <c r="E45" s="55">
        <f t="shared" ref="E45:E76" si="3">C45-D45</f>
        <v>500885.6799999997</v>
      </c>
      <c r="F45" s="55">
        <f t="shared" si="2"/>
        <v>62034518.729999997</v>
      </c>
    </row>
    <row r="46" spans="2:6" x14ac:dyDescent="0.25">
      <c r="B46" s="215">
        <f t="shared" ref="B46:B77" si="4">B45+1</f>
        <v>1932</v>
      </c>
      <c r="C46" s="53">
        <v>3644166.84</v>
      </c>
      <c r="D46" s="53">
        <v>6486920.1699999999</v>
      </c>
      <c r="E46" s="55">
        <f t="shared" si="3"/>
        <v>-2842753.33</v>
      </c>
      <c r="F46" s="55">
        <f t="shared" ref="F46:F77" si="5">E46+F45</f>
        <v>59191765.399999999</v>
      </c>
    </row>
    <row r="47" spans="2:6" x14ac:dyDescent="0.25">
      <c r="B47" s="215">
        <f t="shared" si="4"/>
        <v>1933</v>
      </c>
      <c r="C47" s="53">
        <v>3446354.93</v>
      </c>
      <c r="D47" s="53">
        <v>6416972.8300000001</v>
      </c>
      <c r="E47" s="55">
        <f t="shared" si="3"/>
        <v>-2970617.9</v>
      </c>
      <c r="F47" s="55">
        <f t="shared" si="5"/>
        <v>56221147.5</v>
      </c>
    </row>
    <row r="48" spans="2:6" x14ac:dyDescent="0.25">
      <c r="B48" s="215">
        <f t="shared" si="4"/>
        <v>1934</v>
      </c>
      <c r="C48" s="53">
        <v>3280690.61</v>
      </c>
      <c r="D48" s="53">
        <v>6157020.3300000001</v>
      </c>
      <c r="E48" s="55">
        <f t="shared" si="3"/>
        <v>-2876329.72</v>
      </c>
      <c r="F48" s="55">
        <f t="shared" si="5"/>
        <v>53344817.780000001</v>
      </c>
    </row>
    <row r="49" spans="2:6" x14ac:dyDescent="0.25">
      <c r="B49" s="215">
        <f t="shared" si="4"/>
        <v>1935</v>
      </c>
      <c r="C49" s="53">
        <v>3095705.95</v>
      </c>
      <c r="D49" s="53">
        <v>6002854.3499999996</v>
      </c>
      <c r="E49" s="55">
        <f t="shared" si="3"/>
        <v>-2907148.3999999994</v>
      </c>
      <c r="F49" s="55">
        <f t="shared" si="5"/>
        <v>50437669.380000003</v>
      </c>
    </row>
    <row r="50" spans="2:6" x14ac:dyDescent="0.25">
      <c r="B50" s="215">
        <f t="shared" si="4"/>
        <v>1936</v>
      </c>
      <c r="C50" s="53">
        <v>2932511.07</v>
      </c>
      <c r="D50" s="53">
        <v>5739083.2400000002</v>
      </c>
      <c r="E50" s="55">
        <f t="shared" si="3"/>
        <v>-2806572.1700000004</v>
      </c>
      <c r="F50" s="55">
        <f t="shared" si="5"/>
        <v>47631097.210000001</v>
      </c>
    </row>
    <row r="51" spans="2:6" x14ac:dyDescent="0.25">
      <c r="B51" s="215">
        <f t="shared" si="4"/>
        <v>1937</v>
      </c>
      <c r="C51" s="53">
        <v>2774214.83</v>
      </c>
      <c r="D51" s="53">
        <v>5475111.0599999996</v>
      </c>
      <c r="E51" s="55">
        <f t="shared" si="3"/>
        <v>-2700896.2299999995</v>
      </c>
      <c r="F51" s="55">
        <f t="shared" si="5"/>
        <v>44930200.980000004</v>
      </c>
    </row>
    <row r="52" spans="2:6" x14ac:dyDescent="0.25">
      <c r="B52" s="215">
        <f t="shared" si="4"/>
        <v>1938</v>
      </c>
      <c r="C52" s="53">
        <v>2614230.86</v>
      </c>
      <c r="D52" s="53">
        <v>5248374.1100000003</v>
      </c>
      <c r="E52" s="55">
        <f t="shared" si="3"/>
        <v>-2634143.2500000005</v>
      </c>
      <c r="F52" s="55">
        <f t="shared" si="5"/>
        <v>42296057.730000004</v>
      </c>
    </row>
    <row r="53" spans="2:6" x14ac:dyDescent="0.25">
      <c r="B53" s="215">
        <f t="shared" si="4"/>
        <v>1939</v>
      </c>
      <c r="C53" s="53">
        <v>2464384.62</v>
      </c>
      <c r="D53" s="53">
        <v>4985515.91</v>
      </c>
      <c r="E53" s="55">
        <f t="shared" si="3"/>
        <v>-2521131.29</v>
      </c>
      <c r="F53" s="55">
        <f t="shared" si="5"/>
        <v>39774926.440000005</v>
      </c>
    </row>
    <row r="54" spans="2:6" x14ac:dyDescent="0.25">
      <c r="B54" s="215">
        <f t="shared" si="4"/>
        <v>1940</v>
      </c>
      <c r="C54" s="53">
        <v>2320227.06</v>
      </c>
      <c r="D54" s="53">
        <v>4724506.88</v>
      </c>
      <c r="E54" s="55">
        <f t="shared" si="3"/>
        <v>-2404279.8199999998</v>
      </c>
      <c r="F54" s="55">
        <f t="shared" si="5"/>
        <v>37370646.620000005</v>
      </c>
    </row>
    <row r="55" spans="2:6" x14ac:dyDescent="0.25">
      <c r="B55" s="215">
        <f t="shared" si="4"/>
        <v>1941</v>
      </c>
      <c r="C55" s="53">
        <v>2181993.56</v>
      </c>
      <c r="D55" s="53">
        <v>4465949.07</v>
      </c>
      <c r="E55" s="55">
        <f t="shared" si="3"/>
        <v>-2283955.5100000002</v>
      </c>
      <c r="F55" s="55">
        <f t="shared" si="5"/>
        <v>35086691.110000007</v>
      </c>
    </row>
    <row r="56" spans="2:6" x14ac:dyDescent="0.25">
      <c r="B56" s="215">
        <f t="shared" si="4"/>
        <v>1942</v>
      </c>
      <c r="C56" s="53">
        <v>2049902.43</v>
      </c>
      <c r="D56" s="53">
        <v>4210461.55</v>
      </c>
      <c r="E56" s="55">
        <f t="shared" si="3"/>
        <v>-2160559.12</v>
      </c>
      <c r="F56" s="55">
        <f t="shared" si="5"/>
        <v>32926131.990000006</v>
      </c>
    </row>
    <row r="57" spans="2:6" x14ac:dyDescent="0.25">
      <c r="B57" s="215">
        <f t="shared" si="4"/>
        <v>1943</v>
      </c>
      <c r="C57" s="53">
        <v>1924135.98</v>
      </c>
      <c r="D57" s="53">
        <v>3958457.64</v>
      </c>
      <c r="E57" s="55">
        <f t="shared" si="3"/>
        <v>-2034321.6600000001</v>
      </c>
      <c r="F57" s="55">
        <f t="shared" si="5"/>
        <v>30891810.330000006</v>
      </c>
    </row>
    <row r="58" spans="2:6" x14ac:dyDescent="0.25">
      <c r="B58" s="215">
        <f t="shared" si="4"/>
        <v>1944</v>
      </c>
      <c r="C58" s="53">
        <v>1804872.99</v>
      </c>
      <c r="D58" s="53">
        <v>3710445.25</v>
      </c>
      <c r="E58" s="55">
        <f t="shared" si="3"/>
        <v>-1905572.26</v>
      </c>
      <c r="F58" s="55">
        <f t="shared" si="5"/>
        <v>28986238.070000004</v>
      </c>
    </row>
    <row r="59" spans="2:6" x14ac:dyDescent="0.25">
      <c r="B59" s="215">
        <f t="shared" si="4"/>
        <v>1945</v>
      </c>
      <c r="C59" s="53">
        <v>1692282.8</v>
      </c>
      <c r="D59" s="53">
        <v>3467017.23</v>
      </c>
      <c r="E59" s="55">
        <f t="shared" si="3"/>
        <v>-1774734.43</v>
      </c>
      <c r="F59" s="55">
        <f t="shared" si="5"/>
        <v>27211503.640000004</v>
      </c>
    </row>
    <row r="60" spans="2:6" x14ac:dyDescent="0.25">
      <c r="B60" s="215">
        <f t="shared" si="4"/>
        <v>1946</v>
      </c>
      <c r="C60" s="53">
        <v>1586523.49</v>
      </c>
      <c r="D60" s="53">
        <v>3228888.9</v>
      </c>
      <c r="E60" s="55">
        <f t="shared" si="3"/>
        <v>-1642365.41</v>
      </c>
      <c r="F60" s="55">
        <f t="shared" si="5"/>
        <v>25569138.230000004</v>
      </c>
    </row>
    <row r="61" spans="2:6" x14ac:dyDescent="0.25">
      <c r="B61" s="215">
        <f t="shared" si="4"/>
        <v>1947</v>
      </c>
      <c r="C61" s="53">
        <v>1487723.68</v>
      </c>
      <c r="D61" s="53">
        <v>2996753.42</v>
      </c>
      <c r="E61" s="55">
        <f t="shared" si="3"/>
        <v>-1509029.74</v>
      </c>
      <c r="F61" s="55">
        <f t="shared" si="5"/>
        <v>24060108.490000006</v>
      </c>
    </row>
    <row r="62" spans="2:6" x14ac:dyDescent="0.25">
      <c r="B62" s="215">
        <f t="shared" si="4"/>
        <v>1948</v>
      </c>
      <c r="C62" s="53">
        <v>1395972.95</v>
      </c>
      <c r="D62" s="53">
        <v>2771166.19</v>
      </c>
      <c r="E62" s="55">
        <f t="shared" si="3"/>
        <v>-1375193.24</v>
      </c>
      <c r="F62" s="55">
        <f t="shared" si="5"/>
        <v>22684915.250000007</v>
      </c>
    </row>
    <row r="63" spans="2:6" x14ac:dyDescent="0.25">
      <c r="B63" s="215">
        <f t="shared" si="4"/>
        <v>1949</v>
      </c>
      <c r="C63" s="53">
        <v>1311336.32</v>
      </c>
      <c r="D63" s="53">
        <v>2552669.08</v>
      </c>
      <c r="E63" s="55">
        <f t="shared" si="3"/>
        <v>-1241332.76</v>
      </c>
      <c r="F63" s="55">
        <f t="shared" si="5"/>
        <v>21443582.490000006</v>
      </c>
    </row>
    <row r="64" spans="2:6" x14ac:dyDescent="0.25">
      <c r="B64" s="215">
        <f t="shared" si="4"/>
        <v>1950</v>
      </c>
      <c r="C64" s="53">
        <v>1233847.54</v>
      </c>
      <c r="D64" s="53">
        <v>2341711.62</v>
      </c>
      <c r="E64" s="55">
        <f t="shared" si="3"/>
        <v>-1107864.08</v>
      </c>
      <c r="F64" s="55">
        <f t="shared" si="5"/>
        <v>20335718.410000004</v>
      </c>
    </row>
    <row r="65" spans="2:6" x14ac:dyDescent="0.25">
      <c r="B65" s="215">
        <f t="shared" si="4"/>
        <v>1951</v>
      </c>
      <c r="C65" s="53">
        <v>1163526.8600000001</v>
      </c>
      <c r="D65" s="53">
        <v>2138821.4500000002</v>
      </c>
      <c r="E65" s="55">
        <f t="shared" si="3"/>
        <v>-975294.59000000008</v>
      </c>
      <c r="F65" s="55">
        <f t="shared" si="5"/>
        <v>19360423.820000004</v>
      </c>
    </row>
    <row r="66" spans="2:6" x14ac:dyDescent="0.25">
      <c r="B66" s="215">
        <f t="shared" si="4"/>
        <v>1952</v>
      </c>
      <c r="C66" s="53">
        <v>1100368.6299999999</v>
      </c>
      <c r="D66" s="53">
        <v>1944497.09</v>
      </c>
      <c r="E66" s="55">
        <f t="shared" si="3"/>
        <v>-844128.4600000002</v>
      </c>
      <c r="F66" s="55">
        <f t="shared" si="5"/>
        <v>18516295.360000003</v>
      </c>
    </row>
    <row r="67" spans="2:6" x14ac:dyDescent="0.25">
      <c r="B67" s="215">
        <f t="shared" si="4"/>
        <v>1953</v>
      </c>
      <c r="C67" s="53">
        <v>1044340.3</v>
      </c>
      <c r="D67" s="53">
        <v>1759200.89</v>
      </c>
      <c r="E67" s="55">
        <f t="shared" si="3"/>
        <v>-714860.58999999985</v>
      </c>
      <c r="F67" s="55">
        <f t="shared" si="5"/>
        <v>17801434.770000003</v>
      </c>
    </row>
    <row r="68" spans="2:6" x14ac:dyDescent="0.25">
      <c r="B68" s="215">
        <f t="shared" si="4"/>
        <v>1954</v>
      </c>
      <c r="C68" s="53">
        <v>995368.17</v>
      </c>
      <c r="D68" s="53">
        <v>1583186.41</v>
      </c>
      <c r="E68" s="55">
        <f t="shared" si="3"/>
        <v>-587818.23999999987</v>
      </c>
      <c r="F68" s="55">
        <f t="shared" si="5"/>
        <v>17213616.530000005</v>
      </c>
    </row>
    <row r="69" spans="2:6" x14ac:dyDescent="0.25">
      <c r="B69" s="215">
        <f t="shared" si="4"/>
        <v>1955</v>
      </c>
      <c r="C69" s="53">
        <v>953358.14</v>
      </c>
      <c r="D69" s="53">
        <v>1416659.2</v>
      </c>
      <c r="E69" s="55">
        <f t="shared" si="3"/>
        <v>-463301.05999999994</v>
      </c>
      <c r="F69" s="55">
        <f t="shared" si="5"/>
        <v>16750315.470000004</v>
      </c>
    </row>
    <row r="70" spans="2:6" x14ac:dyDescent="0.25">
      <c r="B70" s="215">
        <f t="shared" si="4"/>
        <v>1956</v>
      </c>
      <c r="C70" s="53">
        <v>918206.14</v>
      </c>
      <c r="D70" s="53">
        <v>1259882.3</v>
      </c>
      <c r="E70" s="55">
        <f t="shared" si="3"/>
        <v>-341676.16000000003</v>
      </c>
      <c r="F70" s="55">
        <f t="shared" si="5"/>
        <v>16408639.310000004</v>
      </c>
    </row>
    <row r="71" spans="2:6" x14ac:dyDescent="0.25">
      <c r="B71" s="215">
        <f t="shared" si="4"/>
        <v>1957</v>
      </c>
      <c r="C71" s="53">
        <v>889794.14</v>
      </c>
      <c r="D71" s="53">
        <v>1113156.68</v>
      </c>
      <c r="E71" s="55">
        <f t="shared" si="3"/>
        <v>-223362.53999999992</v>
      </c>
      <c r="F71" s="55">
        <f t="shared" si="5"/>
        <v>16185276.770000005</v>
      </c>
    </row>
    <row r="72" spans="2:6" x14ac:dyDescent="0.25">
      <c r="B72" s="215">
        <f t="shared" si="4"/>
        <v>1958</v>
      </c>
      <c r="C72" s="53">
        <v>867980.19</v>
      </c>
      <c r="D72" s="53">
        <v>976733.56</v>
      </c>
      <c r="E72" s="55">
        <f t="shared" si="3"/>
        <v>-108753.37000000011</v>
      </c>
      <c r="F72" s="55">
        <f t="shared" si="5"/>
        <v>16076523.400000006</v>
      </c>
    </row>
    <row r="73" spans="2:6" x14ac:dyDescent="0.25">
      <c r="B73" s="215">
        <f t="shared" si="4"/>
        <v>1959</v>
      </c>
      <c r="C73" s="53">
        <v>852596.93</v>
      </c>
      <c r="D73" s="53">
        <v>850782.4</v>
      </c>
      <c r="E73" s="55">
        <f t="shared" si="3"/>
        <v>1814.5300000000279</v>
      </c>
      <c r="F73" s="55">
        <f t="shared" si="5"/>
        <v>16078337.930000005</v>
      </c>
    </row>
    <row r="74" spans="2:6" x14ac:dyDescent="0.25">
      <c r="B74" s="215">
        <f t="shared" si="4"/>
        <v>1960</v>
      </c>
      <c r="C74" s="53">
        <v>843453.76</v>
      </c>
      <c r="D74" s="53">
        <v>735385.93</v>
      </c>
      <c r="E74" s="55">
        <f t="shared" si="3"/>
        <v>108067.82999999996</v>
      </c>
      <c r="F74" s="55">
        <f t="shared" si="5"/>
        <v>16186405.760000005</v>
      </c>
    </row>
    <row r="75" spans="2:6" x14ac:dyDescent="0.25">
      <c r="B75" s="215">
        <f t="shared" si="4"/>
        <v>1961</v>
      </c>
      <c r="C75" s="53">
        <v>840336.88</v>
      </c>
      <c r="D75" s="53">
        <v>630503.43999999994</v>
      </c>
      <c r="E75" s="55">
        <f t="shared" si="3"/>
        <v>209833.44000000006</v>
      </c>
      <c r="F75" s="55">
        <f t="shared" si="5"/>
        <v>16396239.200000005</v>
      </c>
    </row>
    <row r="76" spans="2:6" x14ac:dyDescent="0.25">
      <c r="B76" s="215">
        <f t="shared" si="4"/>
        <v>1962</v>
      </c>
      <c r="C76" s="53">
        <v>843014.2</v>
      </c>
      <c r="D76" s="53">
        <v>535971.62</v>
      </c>
      <c r="E76" s="55">
        <f t="shared" si="3"/>
        <v>307042.57999999996</v>
      </c>
      <c r="F76" s="55">
        <f t="shared" si="5"/>
        <v>16703281.780000005</v>
      </c>
    </row>
    <row r="77" spans="2:6" x14ac:dyDescent="0.25">
      <c r="B77" s="215">
        <f t="shared" si="4"/>
        <v>1963</v>
      </c>
      <c r="C77" s="53">
        <v>851242.27</v>
      </c>
      <c r="D77" s="53">
        <v>451526.45</v>
      </c>
      <c r="E77" s="55">
        <f t="shared" ref="E77:E87" si="6">C77-D77</f>
        <v>399715.82</v>
      </c>
      <c r="F77" s="55">
        <f t="shared" si="5"/>
        <v>17102997.600000005</v>
      </c>
    </row>
    <row r="78" spans="2:6" x14ac:dyDescent="0.25">
      <c r="B78" s="215">
        <f t="shared" ref="B78:B87" si="7">B77+1</f>
        <v>1964</v>
      </c>
      <c r="C78" s="53">
        <v>864767.82</v>
      </c>
      <c r="D78" s="53">
        <v>376769.29</v>
      </c>
      <c r="E78" s="55">
        <f t="shared" si="6"/>
        <v>487998.52999999997</v>
      </c>
      <c r="F78" s="55">
        <f t="shared" ref="F78:F87" si="8">E78+F77</f>
        <v>17590996.130000006</v>
      </c>
    </row>
    <row r="79" spans="2:6" x14ac:dyDescent="0.25">
      <c r="B79" s="215">
        <f t="shared" si="7"/>
        <v>1965</v>
      </c>
      <c r="C79" s="53">
        <v>883335.67</v>
      </c>
      <c r="D79" s="53">
        <v>311188.21999999997</v>
      </c>
      <c r="E79" s="55">
        <f t="shared" si="6"/>
        <v>572147.45000000007</v>
      </c>
      <c r="F79" s="55">
        <f t="shared" si="8"/>
        <v>18163143.580000006</v>
      </c>
    </row>
    <row r="80" spans="2:6" x14ac:dyDescent="0.25">
      <c r="B80" s="215">
        <f t="shared" si="7"/>
        <v>1966</v>
      </c>
      <c r="C80" s="53">
        <v>906693.37</v>
      </c>
      <c r="D80" s="53">
        <v>254149.57</v>
      </c>
      <c r="E80" s="55">
        <f t="shared" si="6"/>
        <v>652543.80000000005</v>
      </c>
      <c r="F80" s="55">
        <f t="shared" si="8"/>
        <v>18815687.380000006</v>
      </c>
    </row>
    <row r="81" spans="2:6" x14ac:dyDescent="0.25">
      <c r="B81" s="215">
        <f t="shared" si="7"/>
        <v>1967</v>
      </c>
      <c r="C81" s="53">
        <v>934599.55</v>
      </c>
      <c r="D81" s="53">
        <v>204925.12</v>
      </c>
      <c r="E81" s="55">
        <f t="shared" si="6"/>
        <v>729674.43</v>
      </c>
      <c r="F81" s="55">
        <f t="shared" si="8"/>
        <v>19545361.810000006</v>
      </c>
    </row>
    <row r="82" spans="2:6" x14ac:dyDescent="0.25">
      <c r="B82" s="215">
        <f t="shared" si="7"/>
        <v>1968</v>
      </c>
      <c r="C82" s="53">
        <v>966840.05</v>
      </c>
      <c r="D82" s="53">
        <v>162830</v>
      </c>
      <c r="E82" s="55">
        <f t="shared" si="6"/>
        <v>804010.05</v>
      </c>
      <c r="F82" s="55">
        <f t="shared" si="8"/>
        <v>20349371.860000007</v>
      </c>
    </row>
    <row r="83" spans="2:6" x14ac:dyDescent="0.25">
      <c r="B83" s="215">
        <f t="shared" si="7"/>
        <v>1969</v>
      </c>
      <c r="C83" s="53">
        <v>1003230.79</v>
      </c>
      <c r="D83" s="53">
        <v>127268.09</v>
      </c>
      <c r="E83" s="55">
        <f t="shared" si="6"/>
        <v>875962.70000000007</v>
      </c>
      <c r="F83" s="55">
        <f t="shared" si="8"/>
        <v>21225334.560000006</v>
      </c>
    </row>
    <row r="84" spans="2:6" x14ac:dyDescent="0.25">
      <c r="B84" s="215">
        <f t="shared" si="7"/>
        <v>1970</v>
      </c>
      <c r="C84" s="53">
        <v>1043614.18</v>
      </c>
      <c r="D84" s="53">
        <v>97723.14</v>
      </c>
      <c r="E84" s="55">
        <f t="shared" si="6"/>
        <v>945891.04</v>
      </c>
      <c r="F84" s="55">
        <f t="shared" si="8"/>
        <v>22171225.600000005</v>
      </c>
    </row>
    <row r="85" spans="2:6" x14ac:dyDescent="0.25">
      <c r="B85" s="215">
        <f t="shared" si="7"/>
        <v>1971</v>
      </c>
      <c r="C85" s="53">
        <v>1087852.6399999999</v>
      </c>
      <c r="D85" s="53">
        <v>73710.42</v>
      </c>
      <c r="E85" s="55">
        <f t="shared" si="6"/>
        <v>1014142.2199999999</v>
      </c>
      <c r="F85" s="55">
        <f t="shared" si="8"/>
        <v>23185367.820000004</v>
      </c>
    </row>
    <row r="86" spans="2:6" x14ac:dyDescent="0.25">
      <c r="B86" s="215">
        <f t="shared" si="7"/>
        <v>1972</v>
      </c>
      <c r="C86" s="53">
        <v>1135815.23</v>
      </c>
      <c r="D86" s="53">
        <v>54616.04</v>
      </c>
      <c r="E86" s="55">
        <f t="shared" si="6"/>
        <v>1081199.19</v>
      </c>
      <c r="F86" s="55">
        <f t="shared" si="8"/>
        <v>24266567.010000005</v>
      </c>
    </row>
    <row r="87" spans="2:6" x14ac:dyDescent="0.25">
      <c r="B87" s="76">
        <f t="shared" si="7"/>
        <v>1973</v>
      </c>
      <c r="C87" s="78">
        <v>1187384.75</v>
      </c>
      <c r="D87" s="78">
        <v>39703.5</v>
      </c>
      <c r="E87" s="79">
        <f t="shared" si="6"/>
        <v>1147681.25</v>
      </c>
      <c r="F87" s="79">
        <f t="shared" si="8"/>
        <v>25414248.260000005</v>
      </c>
    </row>
    <row r="88" spans="2:6" x14ac:dyDescent="0.25">
      <c r="C88" s="133"/>
      <c r="D88" s="133"/>
      <c r="E88" s="133"/>
      <c r="F88" s="133"/>
    </row>
    <row r="89" spans="2:6" ht="30.75" customHeight="1" x14ac:dyDescent="0.25">
      <c r="B89" s="370" t="str">
        <f ca="1">_xlfn.CONCAT("Fonte: ",paramFonte,". Emissão em ",TEXT(NOW(),"dd/mm/aaaa \à\s hh:mm:ss"))</f>
        <v>Fonte: Sistema MS Excel + SIAPC/PAD, Unidade Responsável: Secretaria da Fazenda / Setor de Contabilidade. Emissão em 09/05/2024 às 09:42:51</v>
      </c>
      <c r="C89" s="370"/>
      <c r="D89" s="370"/>
      <c r="E89" s="370"/>
      <c r="F89" s="370"/>
    </row>
    <row r="91" spans="2:6" x14ac:dyDescent="0.25">
      <c r="B91" s="247" t="s">
        <v>253</v>
      </c>
      <c r="C91" s="247"/>
      <c r="D91" s="247"/>
      <c r="E91" s="247"/>
      <c r="F91" s="247"/>
    </row>
    <row r="92" spans="2:6" x14ac:dyDescent="0.25">
      <c r="B92" s="247" t="str">
        <f>"¹ Projeção atuarial elaborada em "&amp;TEXT('Valores manuais'!$D$18,"dd/mm/aaaa")&amp;" e enviada para o Ministério da Previdência Social - MPS."</f>
        <v>¹ Projeção atuarial elaborada em 00/01/1900 e enviada para o Ministério da Previdência Social - MPS.</v>
      </c>
      <c r="C92" s="247"/>
      <c r="D92" s="247"/>
      <c r="E92" s="247"/>
      <c r="F92" s="247"/>
    </row>
    <row r="93" spans="2:6" ht="108" customHeight="1" x14ac:dyDescent="0.25">
      <c r="B93" s="262" t="str">
        <f>"² Este demonstrativo utiliza as seguintes hipóteses: "&amp;'Valores manuais'!$D$19</f>
        <v xml:space="preserve">² Este demonstrativo utiliza as seguintes hipóteses: </v>
      </c>
      <c r="C93" s="262"/>
      <c r="D93" s="262"/>
      <c r="E93" s="262"/>
      <c r="F93" s="262"/>
    </row>
    <row r="94" spans="2:6" x14ac:dyDescent="0.25">
      <c r="B94" s="262" t="str">
        <f>IFERROR(_xlfn.CONCAT(_xlfn._xlws.FILTER(tblNotasExplicativas[Nota Com Separador],tblNotasExplicativas[Demonstrativo]="RREO A10")),"")</f>
        <v/>
      </c>
      <c r="C94" s="262"/>
      <c r="D94" s="262"/>
      <c r="E94" s="262"/>
      <c r="F94" s="262"/>
    </row>
    <row r="98" spans="2:6" x14ac:dyDescent="0.25">
      <c r="B98" t="str">
        <f>paramNomeContador</f>
        <v>EVERTON DA ROSA</v>
      </c>
      <c r="D98" t="str">
        <f>paramNomeSecretario</f>
        <v>ANA PAULA RODRIGUES SCHNEIDER SCHMIDT</v>
      </c>
      <c r="E98" s="46"/>
      <c r="F98" s="46" t="str">
        <f>paramNomePrefeito</f>
        <v>JOÃO EDÉCIO GRAEF</v>
      </c>
    </row>
    <row r="99" spans="2:6" x14ac:dyDescent="0.25">
      <c r="B99" t="str">
        <f>paramCargoContador</f>
        <v>Contador</v>
      </c>
      <c r="D99" t="str">
        <f>paramCargoSecretario</f>
        <v>Secretária da Fazenda</v>
      </c>
      <c r="E99" s="46"/>
      <c r="F99" s="46" t="str">
        <f>paramCargoPrefeito</f>
        <v>Prefeito Municipal</v>
      </c>
    </row>
    <row r="100" spans="2:6" x14ac:dyDescent="0.25">
      <c r="B100" t="str">
        <f>_xlfn.CONCAT("CRC ",paramCRCContador)</f>
        <v>CRC 076595/O-3</v>
      </c>
    </row>
  </sheetData>
  <mergeCells count="13">
    <mergeCell ref="B92:F92"/>
    <mergeCell ref="B93:F93"/>
    <mergeCell ref="B94:F94"/>
    <mergeCell ref="B2:F2"/>
    <mergeCell ref="B3:F3"/>
    <mergeCell ref="B4:F4"/>
    <mergeCell ref="B5:F5"/>
    <mergeCell ref="B6:F6"/>
    <mergeCell ref="B8:D8"/>
    <mergeCell ref="B89:F89"/>
    <mergeCell ref="B91:F91"/>
    <mergeCell ref="B9:F9"/>
    <mergeCell ref="B10:B12"/>
  </mergeCells>
  <pageMargins left="0.23622047244093999" right="0.23622047244093999" top="0.74803149606299002" bottom="0.74803149606299002" header="0.31496062992126" footer="0.31496062992126"/>
  <pageSetup paperSize="9" scale="83"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853C0C"/>
    <pageSetUpPr fitToPage="1"/>
  </sheetPr>
  <dimension ref="B2:I41"/>
  <sheetViews>
    <sheetView topLeftCell="C13" workbookViewId="0">
      <selection activeCell="B45" sqref="B45:P45"/>
    </sheetView>
  </sheetViews>
  <sheetFormatPr defaultRowHeight="15" x14ac:dyDescent="0.25"/>
  <cols>
    <col min="2" max="2" width="59.5703125" customWidth="1"/>
    <col min="3" max="3" width="22" customWidth="1"/>
    <col min="4" max="8" width="23.140625" customWidth="1"/>
    <col min="9" max="9" width="23" customWidth="1"/>
  </cols>
  <sheetData>
    <row r="2" spans="2:9" x14ac:dyDescent="0.25">
      <c r="B2" s="247" t="str">
        <f>paramEnte</f>
        <v>Município de Independência - RS</v>
      </c>
      <c r="C2" s="247"/>
      <c r="D2" s="247"/>
      <c r="E2" s="247"/>
      <c r="F2" s="247"/>
      <c r="G2" s="247"/>
      <c r="H2" s="247"/>
      <c r="I2" s="247"/>
    </row>
    <row r="3" spans="2:9" x14ac:dyDescent="0.25">
      <c r="B3" s="247" t="s">
        <v>125</v>
      </c>
      <c r="C3" s="247"/>
      <c r="D3" s="247"/>
      <c r="E3" s="247"/>
      <c r="F3" s="247"/>
      <c r="G3" s="247"/>
      <c r="H3" s="247"/>
      <c r="I3" s="247"/>
    </row>
    <row r="4" spans="2:9" x14ac:dyDescent="0.25">
      <c r="B4" s="248" t="s">
        <v>890</v>
      </c>
      <c r="C4" s="248"/>
      <c r="D4" s="248"/>
      <c r="E4" s="248"/>
      <c r="F4" s="248"/>
      <c r="G4" s="248"/>
      <c r="H4" s="248"/>
      <c r="I4" s="248"/>
    </row>
    <row r="5" spans="2:9" x14ac:dyDescent="0.25">
      <c r="B5" s="247" t="s">
        <v>127</v>
      </c>
      <c r="C5" s="247"/>
      <c r="D5" s="247"/>
      <c r="E5" s="247"/>
      <c r="F5" s="247"/>
      <c r="G5" s="247"/>
      <c r="H5" s="247"/>
      <c r="I5" s="247"/>
    </row>
    <row r="6" spans="2:9" x14ac:dyDescent="0.25">
      <c r="B6" s="249" t="str">
        <f>UPPER(TEXT(paramDataBase,"mmmm \d\e aaaa"))</f>
        <v>JANEIRO DE 1900</v>
      </c>
      <c r="C6" s="249"/>
      <c r="D6" s="249"/>
      <c r="E6" s="249"/>
      <c r="F6" s="249"/>
      <c r="G6" s="249"/>
      <c r="H6" s="249"/>
      <c r="I6" s="249"/>
    </row>
    <row r="8" spans="2:9" x14ac:dyDescent="0.25">
      <c r="B8" s="170" t="s">
        <v>891</v>
      </c>
      <c r="C8" s="170"/>
      <c r="D8" s="170"/>
      <c r="E8" s="170"/>
      <c r="F8" s="170"/>
      <c r="G8" s="170"/>
      <c r="H8" s="170"/>
      <c r="I8" s="2" t="s">
        <v>129</v>
      </c>
    </row>
    <row r="9" spans="2:9" x14ac:dyDescent="0.25">
      <c r="B9" s="372" t="s">
        <v>130</v>
      </c>
      <c r="C9" s="372"/>
      <c r="D9" s="372"/>
      <c r="E9" s="372"/>
      <c r="F9" s="227"/>
      <c r="G9" s="44" t="s">
        <v>132</v>
      </c>
      <c r="H9" s="44" t="s">
        <v>133</v>
      </c>
      <c r="I9" s="44" t="s">
        <v>134</v>
      </c>
    </row>
    <row r="10" spans="2:9" x14ac:dyDescent="0.25">
      <c r="B10" s="373"/>
      <c r="C10" s="373"/>
      <c r="D10" s="373"/>
      <c r="E10" s="373"/>
      <c r="F10" s="229"/>
      <c r="G10" s="12" t="s">
        <v>138</v>
      </c>
      <c r="H10" s="12" t="s">
        <v>139</v>
      </c>
      <c r="I10" s="12" t="s">
        <v>264</v>
      </c>
    </row>
    <row r="11" spans="2:9" x14ac:dyDescent="0.25">
      <c r="B11" s="374" t="s">
        <v>892</v>
      </c>
      <c r="C11" s="374"/>
      <c r="D11" s="374"/>
      <c r="E11" s="374"/>
      <c r="F11" s="375"/>
      <c r="G11" s="52" t="e">
        <f>SUM(G12:G15)</f>
        <v>#REF!</v>
      </c>
      <c r="H11" s="52" t="e">
        <f>SUM(H12:H15)</f>
        <v>#REF!</v>
      </c>
      <c r="I11" s="52" t="e">
        <f>G11-H11</f>
        <v>#REF!</v>
      </c>
    </row>
    <row r="12" spans="2:9" x14ac:dyDescent="0.25">
      <c r="B12" s="376" t="s">
        <v>893</v>
      </c>
      <c r="C12" s="376"/>
      <c r="D12" s="376"/>
      <c r="E12" s="376"/>
      <c r="F12" s="377"/>
      <c r="G12" s="55" t="e">
        <f>SUMIFS(#REF!,#REF!,"&lt;&gt;fpsm",#REF!,"221*",#REF!,"A")</f>
        <v>#REF!</v>
      </c>
      <c r="H12" s="55" t="e">
        <f>SUMIFS(#REF!,#REF!,"&lt;&gt;fpsm",#REF!,"221*",#REF!,"A")</f>
        <v>#REF!</v>
      </c>
      <c r="I12" s="55" t="e">
        <f>G12-H12</f>
        <v>#REF!</v>
      </c>
    </row>
    <row r="13" spans="2:9" x14ac:dyDescent="0.25">
      <c r="B13" s="376" t="s">
        <v>894</v>
      </c>
      <c r="C13" s="376"/>
      <c r="D13" s="376"/>
      <c r="E13" s="376"/>
      <c r="F13" s="377"/>
      <c r="G13" s="55" t="e">
        <f>SUMIFS(#REF!,#REF!,"&lt;&gt;fpsm",#REF!,"222*",#REF!,"A")</f>
        <v>#REF!</v>
      </c>
      <c r="H13" s="55" t="e">
        <f>SUMIFS(#REF!,#REF!,"&lt;&gt;fpsm",#REF!,"222*",#REF!,"A")</f>
        <v>#REF!</v>
      </c>
      <c r="I13" s="55" t="e">
        <f>G13-H13</f>
        <v>#REF!</v>
      </c>
    </row>
    <row r="14" spans="2:9" x14ac:dyDescent="0.25">
      <c r="B14" s="376" t="s">
        <v>895</v>
      </c>
      <c r="C14" s="376"/>
      <c r="D14" s="376"/>
      <c r="E14" s="376"/>
      <c r="F14" s="377"/>
      <c r="G14" s="55" t="e">
        <f>SUMIFS(#REF!,#REF!,"&lt;&gt;fpsm",#REF!,"223*",#REF!,"A")</f>
        <v>#REF!</v>
      </c>
      <c r="H14" s="55" t="e">
        <f>SUMIFS(#REF!,#REF!,"&lt;&gt;fpsm",#REF!,"223*",#REF!,"A")</f>
        <v>#REF!</v>
      </c>
      <c r="I14" s="55" t="e">
        <f>G14-H14</f>
        <v>#REF!</v>
      </c>
    </row>
    <row r="15" spans="2:9" x14ac:dyDescent="0.25">
      <c r="B15" s="378" t="s">
        <v>896</v>
      </c>
      <c r="C15" s="378"/>
      <c r="D15" s="378"/>
      <c r="E15" s="378"/>
      <c r="F15" s="379"/>
      <c r="G15" s="79">
        <f>'Valores manuais'!$D$21</f>
        <v>0</v>
      </c>
      <c r="H15" s="79">
        <f>'Valores manuais'!$D$22</f>
        <v>0</v>
      </c>
      <c r="I15" s="79">
        <f>G15-H15</f>
        <v>0</v>
      </c>
    </row>
    <row r="17" spans="2:9" x14ac:dyDescent="0.25">
      <c r="B17" s="227" t="s">
        <v>215</v>
      </c>
      <c r="C17" s="13" t="s">
        <v>217</v>
      </c>
      <c r="D17" s="13" t="s">
        <v>215</v>
      </c>
      <c r="E17" s="13" t="s">
        <v>215</v>
      </c>
      <c r="F17" s="13" t="s">
        <v>215</v>
      </c>
      <c r="G17" s="13" t="s">
        <v>897</v>
      </c>
      <c r="H17" s="13" t="s">
        <v>898</v>
      </c>
      <c r="I17" s="38" t="s">
        <v>134</v>
      </c>
    </row>
    <row r="18" spans="2:9" x14ac:dyDescent="0.25">
      <c r="B18" s="228"/>
      <c r="C18" s="8"/>
      <c r="D18" s="8" t="s">
        <v>473</v>
      </c>
      <c r="E18" s="8" t="s">
        <v>474</v>
      </c>
      <c r="F18" s="8" t="s">
        <v>475</v>
      </c>
      <c r="G18" s="8" t="s">
        <v>899</v>
      </c>
      <c r="H18" s="8" t="s">
        <v>260</v>
      </c>
      <c r="I18" s="10"/>
    </row>
    <row r="19" spans="2:9" x14ac:dyDescent="0.25">
      <c r="B19" s="228"/>
      <c r="C19" s="8"/>
      <c r="D19" s="8"/>
      <c r="E19" s="8"/>
      <c r="F19" s="8"/>
      <c r="G19" s="8" t="s">
        <v>223</v>
      </c>
      <c r="H19" s="8"/>
      <c r="I19" s="10"/>
    </row>
    <row r="20" spans="2:9" x14ac:dyDescent="0.25">
      <c r="B20" s="229"/>
      <c r="C20" s="11" t="s">
        <v>224</v>
      </c>
      <c r="D20" s="11" t="s">
        <v>225</v>
      </c>
      <c r="E20" s="11"/>
      <c r="F20" s="11" t="s">
        <v>226</v>
      </c>
      <c r="G20" s="11"/>
      <c r="H20" s="11" t="s">
        <v>478</v>
      </c>
      <c r="I20" s="12" t="s">
        <v>900</v>
      </c>
    </row>
    <row r="21" spans="2:9" x14ac:dyDescent="0.25">
      <c r="B21" s="49" t="s">
        <v>901</v>
      </c>
      <c r="C21" s="65" t="e">
        <f t="shared" ref="C21:H21" si="0">C22+C26</f>
        <v>#REF!</v>
      </c>
      <c r="D21" s="65" t="e">
        <f t="shared" si="0"/>
        <v>#REF!</v>
      </c>
      <c r="E21" s="65" t="e">
        <f t="shared" si="0"/>
        <v>#REF!</v>
      </c>
      <c r="F21" s="65" t="e">
        <f t="shared" si="0"/>
        <v>#REF!</v>
      </c>
      <c r="G21" s="65" t="e">
        <f t="shared" si="0"/>
        <v>#REF!</v>
      </c>
      <c r="H21" s="65" t="e">
        <f t="shared" si="0"/>
        <v>#REF!</v>
      </c>
      <c r="I21" s="66" t="e">
        <f t="shared" ref="I21:I26" si="1">C21-D21</f>
        <v>#REF!</v>
      </c>
    </row>
    <row r="22" spans="2:9" x14ac:dyDescent="0.25">
      <c r="B22" s="33" t="s">
        <v>902</v>
      </c>
      <c r="C22" s="31" t="e">
        <f t="shared" ref="C22:H22" si="2">SUM(C23:C25)</f>
        <v>#REF!</v>
      </c>
      <c r="D22" s="31" t="e">
        <f t="shared" si="2"/>
        <v>#REF!</v>
      </c>
      <c r="E22" s="31" t="e">
        <f t="shared" si="2"/>
        <v>#REF!</v>
      </c>
      <c r="F22" s="31" t="e">
        <f t="shared" si="2"/>
        <v>#REF!</v>
      </c>
      <c r="G22" s="31" t="e">
        <f t="shared" si="2"/>
        <v>#REF!</v>
      </c>
      <c r="H22" s="31" t="e">
        <f t="shared" si="2"/>
        <v>#REF!</v>
      </c>
      <c r="I22" s="32" t="e">
        <f t="shared" si="1"/>
        <v>#REF!</v>
      </c>
    </row>
    <row r="23" spans="2:9" x14ac:dyDescent="0.25">
      <c r="B23" s="34" t="s">
        <v>567</v>
      </c>
      <c r="C23" s="31" t="e">
        <f>SUMIFS(#REF!,#REF!,"44*",#REF!,599)+SUMIFS(#REF!,#REF!,"44*",#REF!,659)</f>
        <v>#REF!</v>
      </c>
      <c r="D23" s="31" t="e">
        <f>SUMIFS(#REF!,#REF!,"44*",#REF!,599)+SUMIFS(#REF!,#REF!,"44*",#REF!,659)</f>
        <v>#REF!</v>
      </c>
      <c r="E23" s="31" t="e">
        <f>SUMIFS(#REF!,#REF!,"44*",#REF!,599)+SUMIFS(#REF!,#REF!,"44*",#REF!,659)</f>
        <v>#REF!</v>
      </c>
      <c r="F23" s="31" t="e">
        <f>SUMIFS(#REF!,#REF!,"44*",#REF!,599)+SUMIFS(#REF!,#REF!,"44*",#REF!,659)</f>
        <v>#REF!</v>
      </c>
      <c r="G23" s="31" t="e">
        <f>D23-E23</f>
        <v>#REF!</v>
      </c>
      <c r="H23" s="31" t="e">
        <f>(SUMIFS(#REF!,#REF!,"44*",#REF!,"&lt;"&amp;YEAR(paramDataBase),#REF!,599)+SUMIFS(#REF!,#REF!,"44*",#REF!,"&lt;"&amp;YEAR(paramDataBase),#REF!,659))+(SUMIFS(#REF!,#REF!,"44*",#REF!,"&lt;"&amp;YEAR(paramDataBase),#REF!,599)+SUMIFS(#REF!,#REF!,"44*",#REF!,"&lt;"&amp;YEAR(paramDataBase),#REF!,659))</f>
        <v>#REF!</v>
      </c>
      <c r="I23" s="32" t="e">
        <f t="shared" si="1"/>
        <v>#REF!</v>
      </c>
    </row>
    <row r="24" spans="2:9" x14ac:dyDescent="0.25">
      <c r="B24" s="34" t="s">
        <v>568</v>
      </c>
      <c r="C24" s="31"/>
      <c r="D24" s="31"/>
      <c r="E24" s="31"/>
      <c r="F24" s="31"/>
      <c r="G24" s="31"/>
      <c r="H24" s="31"/>
      <c r="I24" s="32">
        <f t="shared" si="1"/>
        <v>0</v>
      </c>
    </row>
    <row r="25" spans="2:9" x14ac:dyDescent="0.25">
      <c r="B25" s="34" t="s">
        <v>874</v>
      </c>
      <c r="C25" s="31"/>
      <c r="D25" s="31"/>
      <c r="E25" s="31"/>
      <c r="F25" s="31"/>
      <c r="G25" s="31"/>
      <c r="H25" s="31"/>
      <c r="I25" s="32">
        <f t="shared" si="1"/>
        <v>0</v>
      </c>
    </row>
    <row r="26" spans="2:9" x14ac:dyDescent="0.25">
      <c r="B26" s="33" t="s">
        <v>903</v>
      </c>
      <c r="C26" s="31">
        <f t="shared" ref="C26:H26" si="3">C27</f>
        <v>0</v>
      </c>
      <c r="D26" s="31">
        <f t="shared" si="3"/>
        <v>0</v>
      </c>
      <c r="E26" s="31">
        <f t="shared" si="3"/>
        <v>0</v>
      </c>
      <c r="F26" s="31">
        <f t="shared" si="3"/>
        <v>0</v>
      </c>
      <c r="G26" s="31">
        <f t="shared" si="3"/>
        <v>0</v>
      </c>
      <c r="H26" s="31">
        <f t="shared" si="3"/>
        <v>0</v>
      </c>
      <c r="I26" s="32">
        <f t="shared" si="1"/>
        <v>0</v>
      </c>
    </row>
    <row r="27" spans="2:9" x14ac:dyDescent="0.25">
      <c r="B27" s="67" t="s">
        <v>904</v>
      </c>
      <c r="C27" s="216"/>
      <c r="D27" s="216"/>
      <c r="E27" s="216"/>
      <c r="F27" s="216"/>
      <c r="G27" s="216"/>
      <c r="H27" s="216"/>
      <c r="I27" s="217"/>
    </row>
    <row r="29" spans="2:9" x14ac:dyDescent="0.25">
      <c r="B29" s="227" t="s">
        <v>905</v>
      </c>
      <c r="C29" s="243"/>
      <c r="D29" s="243"/>
      <c r="E29" s="243"/>
      <c r="F29" s="243"/>
      <c r="G29" s="39">
        <f>YEAR(paramDataBase)-1</f>
        <v>1899</v>
      </c>
      <c r="H29" s="39">
        <f>YEAR(paramDataBase)</f>
        <v>1900</v>
      </c>
      <c r="I29" s="44" t="s">
        <v>497</v>
      </c>
    </row>
    <row r="30" spans="2:9" x14ac:dyDescent="0.25">
      <c r="B30" s="229"/>
      <c r="C30" s="252"/>
      <c r="D30" s="252"/>
      <c r="E30" s="252"/>
      <c r="F30" s="252"/>
      <c r="G30" s="5" t="s">
        <v>629</v>
      </c>
      <c r="H30" s="5" t="s">
        <v>906</v>
      </c>
      <c r="I30" s="6" t="s">
        <v>907</v>
      </c>
    </row>
    <row r="31" spans="2:9" x14ac:dyDescent="0.25">
      <c r="B31" s="235" t="s">
        <v>908</v>
      </c>
      <c r="C31" s="236"/>
      <c r="D31" s="236"/>
      <c r="E31" s="236"/>
      <c r="F31" s="236"/>
      <c r="G31" s="204">
        <f>'Valores manuais'!$D$20</f>
        <v>0</v>
      </c>
      <c r="H31" s="204" t="e">
        <f>H11-(F21+H21)</f>
        <v>#REF!</v>
      </c>
      <c r="I31" s="209" t="e">
        <f>G31+H31</f>
        <v>#REF!</v>
      </c>
    </row>
    <row r="32" spans="2:9" x14ac:dyDescent="0.25">
      <c r="B32" s="249" t="str">
        <f ca="1">_xlfn.CONCAT("Fonte: ",paramFonte,". Emissão em ",TEXT(NOW(),"dd/mm/aaaa \à\s hh:mm:ss"))</f>
        <v>Fonte: Sistema MS Excel + SIAPC/PAD, Unidade Responsável: Secretaria da Fazenda / Setor de Contabilidade. Emissão em 09/05/2024 às 09:42:51</v>
      </c>
      <c r="C32" s="249"/>
      <c r="D32" s="249"/>
      <c r="E32" s="249"/>
      <c r="F32" s="249"/>
      <c r="G32" s="249"/>
      <c r="H32" s="249"/>
      <c r="I32" s="249"/>
    </row>
    <row r="34" spans="2:9" x14ac:dyDescent="0.25">
      <c r="B34" s="247" t="s">
        <v>253</v>
      </c>
      <c r="C34" s="247"/>
      <c r="D34" s="247"/>
      <c r="E34" s="247"/>
      <c r="F34" s="247"/>
      <c r="G34" s="247"/>
      <c r="H34" s="247"/>
      <c r="I34" s="247"/>
    </row>
    <row r="35" spans="2:9" x14ac:dyDescent="0.25">
      <c r="B35" s="262" t="str">
        <f>IFERROR(_xlfn.CONCAT(_xlfn._xlws.FILTER(tblNotasExplicativas[Nota Com Separador],tblNotasExplicativas[Demonstrativo]="RREO A11")),"")</f>
        <v/>
      </c>
      <c r="C35" s="262"/>
      <c r="D35" s="262"/>
      <c r="E35" s="262"/>
      <c r="F35" s="262"/>
      <c r="G35" s="262"/>
      <c r="H35" s="262"/>
      <c r="I35" s="262"/>
    </row>
    <row r="39" spans="2:9" x14ac:dyDescent="0.25">
      <c r="B39" t="str">
        <f>paramNomeContador</f>
        <v>EVERTON DA ROSA</v>
      </c>
      <c r="E39" s="247" t="str">
        <f>paramNomeSecretario</f>
        <v>ANA PAULA RODRIGUES SCHNEIDER SCHMIDT</v>
      </c>
      <c r="F39" s="247"/>
      <c r="G39" s="46"/>
      <c r="H39" s="46"/>
      <c r="I39" s="46" t="str">
        <f>paramNomePrefeito</f>
        <v>JOÃO EDÉCIO GRAEF</v>
      </c>
    </row>
    <row r="40" spans="2:9" x14ac:dyDescent="0.25">
      <c r="B40" t="str">
        <f>paramCargoContador</f>
        <v>Contador</v>
      </c>
      <c r="E40" s="247" t="str">
        <f>paramCargoSecretario</f>
        <v>Secretária da Fazenda</v>
      </c>
      <c r="F40" s="247"/>
      <c r="G40" s="46"/>
      <c r="H40" s="46"/>
      <c r="I40" s="46" t="str">
        <f>paramCargoPrefeito</f>
        <v>Prefeito Municipal</v>
      </c>
    </row>
    <row r="41" spans="2:9" x14ac:dyDescent="0.25">
      <c r="B41" t="str">
        <f>_xlfn.CONCAT("CRC ",paramCRCContador)</f>
        <v>CRC 076595/O-3</v>
      </c>
    </row>
  </sheetData>
  <mergeCells count="19">
    <mergeCell ref="B2:I2"/>
    <mergeCell ref="B3:I3"/>
    <mergeCell ref="B4:I4"/>
    <mergeCell ref="B5:I5"/>
    <mergeCell ref="B6:I6"/>
    <mergeCell ref="E40:F40"/>
    <mergeCell ref="B9:F10"/>
    <mergeCell ref="B11:F11"/>
    <mergeCell ref="B12:F12"/>
    <mergeCell ref="B13:F13"/>
    <mergeCell ref="B14:F14"/>
    <mergeCell ref="B15:F15"/>
    <mergeCell ref="B17:B20"/>
    <mergeCell ref="B29:F30"/>
    <mergeCell ref="B31:F31"/>
    <mergeCell ref="B32:I32"/>
    <mergeCell ref="B34:I34"/>
    <mergeCell ref="B35:I35"/>
    <mergeCell ref="E39:F39"/>
  </mergeCells>
  <pageMargins left="0.23622047244093999" right="0.23622047244093999" top="0.74803149606299002" bottom="0.74803149606299002" header="0.31496062992126" footer="0.31496062992126"/>
  <pageSetup paperSize="9" scale="43"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853C0C"/>
    <pageSetUpPr fitToPage="1"/>
  </sheetPr>
  <dimension ref="B2:L156"/>
  <sheetViews>
    <sheetView topLeftCell="A128" workbookViewId="0">
      <selection activeCell="B131" sqref="B131:C131"/>
    </sheetView>
  </sheetViews>
  <sheetFormatPr defaultRowHeight="15" x14ac:dyDescent="0.25"/>
  <cols>
    <col min="2" max="2" width="32.42578125" customWidth="1"/>
    <col min="3" max="3" width="24.42578125" customWidth="1"/>
    <col min="4" max="4" width="16.85546875" customWidth="1"/>
    <col min="5" max="5" width="22" customWidth="1"/>
    <col min="6" max="6" width="14.28515625" customWidth="1"/>
    <col min="7" max="7" width="20.28515625" customWidth="1"/>
    <col min="8" max="8" width="27.42578125" customWidth="1"/>
    <col min="9" max="9" width="17.42578125" customWidth="1"/>
    <col min="10" max="10" width="23.140625" customWidth="1"/>
    <col min="11" max="11" width="21.5703125" customWidth="1"/>
    <col min="12" max="12" width="25.7109375" customWidth="1"/>
  </cols>
  <sheetData>
    <row r="2" spans="2:12" x14ac:dyDescent="0.25">
      <c r="B2" s="247" t="str">
        <f>paramEnte</f>
        <v>Município de Independência - RS</v>
      </c>
      <c r="C2" s="247"/>
      <c r="D2" s="247"/>
      <c r="E2" s="247"/>
      <c r="F2" s="247"/>
      <c r="G2" s="247"/>
      <c r="H2" s="247"/>
      <c r="I2" s="247"/>
      <c r="J2" s="247"/>
      <c r="K2" s="247"/>
      <c r="L2" s="247"/>
    </row>
    <row r="3" spans="2:12" x14ac:dyDescent="0.25">
      <c r="B3" s="247" t="s">
        <v>125</v>
      </c>
      <c r="C3" s="247"/>
      <c r="D3" s="247"/>
      <c r="E3" s="247"/>
      <c r="F3" s="247"/>
      <c r="G3" s="247"/>
      <c r="H3" s="247"/>
      <c r="I3" s="247"/>
      <c r="J3" s="247"/>
      <c r="K3" s="247"/>
      <c r="L3" s="247"/>
    </row>
    <row r="4" spans="2:12" x14ac:dyDescent="0.25">
      <c r="B4" s="248" t="s">
        <v>909</v>
      </c>
      <c r="C4" s="248"/>
      <c r="D4" s="248"/>
      <c r="E4" s="248"/>
      <c r="F4" s="248"/>
      <c r="G4" s="248"/>
      <c r="H4" s="248"/>
      <c r="I4" s="248"/>
      <c r="J4" s="248"/>
      <c r="K4" s="248"/>
      <c r="L4" s="248"/>
    </row>
    <row r="5" spans="2:12" x14ac:dyDescent="0.25">
      <c r="B5" s="247" t="s">
        <v>127</v>
      </c>
      <c r="C5" s="247"/>
      <c r="D5" s="247"/>
      <c r="E5" s="247"/>
      <c r="F5" s="247"/>
      <c r="G5" s="247"/>
      <c r="H5" s="247"/>
      <c r="I5" s="247"/>
      <c r="J5" s="247"/>
      <c r="K5" s="247"/>
      <c r="L5" s="247"/>
    </row>
    <row r="6" spans="2:12" x14ac:dyDescent="0.25">
      <c r="B6" s="249" t="str">
        <f>UPPER(TEXT(paramDataBase,"mmmm \d\e aaaa"))</f>
        <v>JANEIRO DE 1900</v>
      </c>
      <c r="C6" s="249"/>
      <c r="D6" s="249"/>
      <c r="E6" s="249"/>
      <c r="F6" s="249"/>
      <c r="G6" s="249"/>
      <c r="H6" s="249"/>
      <c r="I6" s="249"/>
      <c r="J6" s="249"/>
      <c r="K6" s="249"/>
      <c r="L6" s="249"/>
    </row>
    <row r="8" spans="2:12" ht="15.75" customHeight="1" x14ac:dyDescent="0.25">
      <c r="B8" s="250" t="s">
        <v>910</v>
      </c>
      <c r="C8" s="250"/>
      <c r="D8" s="250"/>
      <c r="E8" s="250"/>
      <c r="F8" s="250"/>
      <c r="G8" s="250"/>
      <c r="H8" s="250"/>
      <c r="I8" s="250"/>
      <c r="J8" s="250"/>
      <c r="K8" s="250"/>
      <c r="L8" s="24">
        <v>1</v>
      </c>
    </row>
    <row r="9" spans="2:12" x14ac:dyDescent="0.25">
      <c r="B9" s="234" t="s">
        <v>911</v>
      </c>
      <c r="C9" s="251"/>
      <c r="D9" s="251"/>
      <c r="E9" s="251"/>
      <c r="F9" s="251"/>
      <c r="G9" s="251"/>
      <c r="H9" s="251"/>
      <c r="I9" s="251" t="s">
        <v>912</v>
      </c>
      <c r="J9" s="251" t="s">
        <v>132</v>
      </c>
      <c r="K9" s="241" t="s">
        <v>133</v>
      </c>
      <c r="L9" s="242"/>
    </row>
    <row r="10" spans="2:12" x14ac:dyDescent="0.25">
      <c r="B10" s="228"/>
      <c r="C10" s="244"/>
      <c r="D10" s="244"/>
      <c r="E10" s="244"/>
      <c r="F10" s="244"/>
      <c r="G10" s="244"/>
      <c r="H10" s="244"/>
      <c r="I10" s="244"/>
      <c r="J10" s="244"/>
      <c r="K10" s="4" t="s">
        <v>137</v>
      </c>
      <c r="L10" s="85" t="s">
        <v>136</v>
      </c>
    </row>
    <row r="11" spans="2:12" x14ac:dyDescent="0.25">
      <c r="B11" s="229"/>
      <c r="C11" s="252"/>
      <c r="D11" s="252"/>
      <c r="E11" s="252"/>
      <c r="F11" s="252"/>
      <c r="G11" s="252"/>
      <c r="H11" s="252"/>
      <c r="I11" s="252"/>
      <c r="J11" s="5" t="s">
        <v>138</v>
      </c>
      <c r="K11" s="5" t="s">
        <v>139</v>
      </c>
      <c r="L11" s="6" t="s">
        <v>913</v>
      </c>
    </row>
    <row r="12" spans="2:12" x14ac:dyDescent="0.25">
      <c r="B12" s="230" t="s">
        <v>914</v>
      </c>
      <c r="C12" s="231"/>
      <c r="D12" s="231"/>
      <c r="E12" s="231"/>
      <c r="F12" s="231"/>
      <c r="G12" s="231"/>
      <c r="H12" s="231"/>
      <c r="I12" s="65">
        <f>SUM(I13:I16)</f>
        <v>0</v>
      </c>
      <c r="J12" s="65">
        <f>SUM(J13:J16)</f>
        <v>0</v>
      </c>
      <c r="K12" s="65">
        <f>SUM(K13:K16)</f>
        <v>0</v>
      </c>
      <c r="L12" s="82" t="str">
        <f t="shared" ref="L12:L24" si="0">IFERROR(ROUND(K12/J12,4),"")</f>
        <v/>
      </c>
    </row>
    <row r="13" spans="2:12" x14ac:dyDescent="0.25">
      <c r="B13" s="283" t="s">
        <v>915</v>
      </c>
      <c r="C13" s="284"/>
      <c r="D13" s="284"/>
      <c r="E13" s="284"/>
      <c r="F13" s="284"/>
      <c r="G13" s="284"/>
      <c r="H13" s="284"/>
      <c r="I13" s="31"/>
      <c r="J13" s="31"/>
      <c r="K13" s="31"/>
      <c r="L13" s="83" t="str">
        <f t="shared" si="0"/>
        <v/>
      </c>
    </row>
    <row r="14" spans="2:12" x14ac:dyDescent="0.25">
      <c r="B14" s="283" t="s">
        <v>916</v>
      </c>
      <c r="C14" s="284"/>
      <c r="D14" s="284"/>
      <c r="E14" s="284"/>
      <c r="F14" s="284"/>
      <c r="G14" s="284"/>
      <c r="H14" s="284"/>
      <c r="I14" s="31"/>
      <c r="J14" s="31"/>
      <c r="K14" s="31"/>
      <c r="L14" s="83" t="str">
        <f t="shared" si="0"/>
        <v/>
      </c>
    </row>
    <row r="15" spans="2:12" x14ac:dyDescent="0.25">
      <c r="B15" s="283" t="s">
        <v>917</v>
      </c>
      <c r="C15" s="284"/>
      <c r="D15" s="284"/>
      <c r="E15" s="284"/>
      <c r="F15" s="284"/>
      <c r="G15" s="284"/>
      <c r="H15" s="284"/>
      <c r="I15" s="31"/>
      <c r="J15" s="31"/>
      <c r="K15" s="31"/>
      <c r="L15" s="83" t="str">
        <f t="shared" si="0"/>
        <v/>
      </c>
    </row>
    <row r="16" spans="2:12" x14ac:dyDescent="0.25">
      <c r="B16" s="283" t="s">
        <v>918</v>
      </c>
      <c r="C16" s="284"/>
      <c r="D16" s="284"/>
      <c r="E16" s="284"/>
      <c r="F16" s="284"/>
      <c r="G16" s="284"/>
      <c r="H16" s="284"/>
      <c r="I16" s="31"/>
      <c r="J16" s="31"/>
      <c r="K16" s="31"/>
      <c r="L16" s="83" t="str">
        <f t="shared" si="0"/>
        <v/>
      </c>
    </row>
    <row r="17" spans="2:12" x14ac:dyDescent="0.25">
      <c r="B17" s="266" t="s">
        <v>919</v>
      </c>
      <c r="C17" s="267"/>
      <c r="D17" s="267"/>
      <c r="E17" s="267"/>
      <c r="F17" s="267"/>
      <c r="G17" s="267"/>
      <c r="H17" s="267"/>
      <c r="I17" s="31">
        <f>SUM(I18:I23)</f>
        <v>0</v>
      </c>
      <c r="J17" s="31">
        <f>SUM(J18:J23)</f>
        <v>0</v>
      </c>
      <c r="K17" s="31">
        <f>SUM(K18:K23)</f>
        <v>0</v>
      </c>
      <c r="L17" s="83" t="str">
        <f t="shared" si="0"/>
        <v/>
      </c>
    </row>
    <row r="18" spans="2:12" x14ac:dyDescent="0.25">
      <c r="B18" s="283" t="s">
        <v>434</v>
      </c>
      <c r="C18" s="284"/>
      <c r="D18" s="284"/>
      <c r="E18" s="284"/>
      <c r="F18" s="284"/>
      <c r="G18" s="284"/>
      <c r="H18" s="284"/>
      <c r="I18" s="31"/>
      <c r="J18" s="31"/>
      <c r="K18" s="31"/>
      <c r="L18" s="83" t="str">
        <f t="shared" si="0"/>
        <v/>
      </c>
    </row>
    <row r="19" spans="2:12" x14ac:dyDescent="0.25">
      <c r="B19" s="283" t="s">
        <v>437</v>
      </c>
      <c r="C19" s="284"/>
      <c r="D19" s="284"/>
      <c r="E19" s="284"/>
      <c r="F19" s="284"/>
      <c r="G19" s="284"/>
      <c r="H19" s="284"/>
      <c r="I19" s="31"/>
      <c r="J19" s="31"/>
      <c r="K19" s="31"/>
      <c r="L19" s="83" t="str">
        <f t="shared" si="0"/>
        <v/>
      </c>
    </row>
    <row r="20" spans="2:12" x14ac:dyDescent="0.25">
      <c r="B20" s="283" t="s">
        <v>920</v>
      </c>
      <c r="C20" s="284"/>
      <c r="D20" s="284"/>
      <c r="E20" s="284"/>
      <c r="F20" s="284"/>
      <c r="G20" s="284"/>
      <c r="H20" s="284"/>
      <c r="I20" s="31"/>
      <c r="J20" s="31"/>
      <c r="K20" s="31"/>
      <c r="L20" s="83" t="str">
        <f t="shared" si="0"/>
        <v/>
      </c>
    </row>
    <row r="21" spans="2:12" x14ac:dyDescent="0.25">
      <c r="B21" s="283" t="s">
        <v>435</v>
      </c>
      <c r="C21" s="284"/>
      <c r="D21" s="284"/>
      <c r="E21" s="284"/>
      <c r="F21" s="284"/>
      <c r="G21" s="284"/>
      <c r="H21" s="284"/>
      <c r="I21" s="31"/>
      <c r="J21" s="31"/>
      <c r="K21" s="31"/>
      <c r="L21" s="83" t="str">
        <f t="shared" si="0"/>
        <v/>
      </c>
    </row>
    <row r="22" spans="2:12" x14ac:dyDescent="0.25">
      <c r="B22" s="283" t="s">
        <v>921</v>
      </c>
      <c r="C22" s="284"/>
      <c r="D22" s="284"/>
      <c r="E22" s="284"/>
      <c r="F22" s="284"/>
      <c r="G22" s="284"/>
      <c r="H22" s="284"/>
      <c r="I22" s="31"/>
      <c r="J22" s="31"/>
      <c r="K22" s="31"/>
      <c r="L22" s="83" t="str">
        <f t="shared" si="0"/>
        <v/>
      </c>
    </row>
    <row r="23" spans="2:12" x14ac:dyDescent="0.25">
      <c r="B23" s="283" t="s">
        <v>922</v>
      </c>
      <c r="C23" s="284"/>
      <c r="D23" s="284"/>
      <c r="E23" s="284"/>
      <c r="F23" s="284"/>
      <c r="G23" s="284"/>
      <c r="H23" s="284"/>
      <c r="I23" s="31"/>
      <c r="J23" s="31"/>
      <c r="K23" s="31"/>
      <c r="L23" s="83" t="str">
        <f t="shared" si="0"/>
        <v/>
      </c>
    </row>
    <row r="24" spans="2:12" ht="15.75" customHeight="1" x14ac:dyDescent="0.25">
      <c r="B24" s="380" t="s">
        <v>923</v>
      </c>
      <c r="C24" s="381"/>
      <c r="D24" s="381"/>
      <c r="E24" s="381"/>
      <c r="F24" s="381"/>
      <c r="G24" s="381"/>
      <c r="H24" s="381"/>
      <c r="I24" s="86">
        <f>I12+I17</f>
        <v>0</v>
      </c>
      <c r="J24" s="86">
        <f>J12+J17</f>
        <v>0</v>
      </c>
      <c r="K24" s="86">
        <f>K12+K17</f>
        <v>0</v>
      </c>
      <c r="L24" s="87" t="str">
        <f t="shared" si="0"/>
        <v/>
      </c>
    </row>
    <row r="25" spans="2:12" ht="15.75" customHeight="1" x14ac:dyDescent="0.25"/>
    <row r="26" spans="2:12" x14ac:dyDescent="0.25">
      <c r="B26" s="382" t="s">
        <v>924</v>
      </c>
      <c r="C26" s="383"/>
      <c r="D26" s="251" t="s">
        <v>216</v>
      </c>
      <c r="E26" s="251" t="s">
        <v>217</v>
      </c>
      <c r="F26" s="241" t="s">
        <v>218</v>
      </c>
      <c r="G26" s="241"/>
      <c r="H26" s="241" t="s">
        <v>219</v>
      </c>
      <c r="I26" s="241"/>
      <c r="J26" s="241" t="s">
        <v>220</v>
      </c>
      <c r="K26" s="241"/>
      <c r="L26" s="42" t="s">
        <v>925</v>
      </c>
    </row>
    <row r="27" spans="2:12" x14ac:dyDescent="0.25">
      <c r="B27" s="384"/>
      <c r="C27" s="385"/>
      <c r="D27" s="244"/>
      <c r="E27" s="244"/>
      <c r="F27" s="4" t="s">
        <v>137</v>
      </c>
      <c r="G27" s="4" t="s">
        <v>136</v>
      </c>
      <c r="H27" s="4" t="s">
        <v>137</v>
      </c>
      <c r="I27" s="4" t="s">
        <v>136</v>
      </c>
      <c r="J27" s="4" t="s">
        <v>137</v>
      </c>
      <c r="K27" s="4" t="s">
        <v>136</v>
      </c>
      <c r="L27" s="85" t="s">
        <v>476</v>
      </c>
    </row>
    <row r="28" spans="2:12" x14ac:dyDescent="0.25">
      <c r="B28" s="386"/>
      <c r="C28" s="387"/>
      <c r="D28" s="252"/>
      <c r="E28" s="5" t="s">
        <v>141</v>
      </c>
      <c r="F28" s="5" t="s">
        <v>224</v>
      </c>
      <c r="G28" s="5" t="s">
        <v>926</v>
      </c>
      <c r="H28" s="5" t="s">
        <v>225</v>
      </c>
      <c r="I28" s="5" t="s">
        <v>927</v>
      </c>
      <c r="J28" s="5" t="s">
        <v>226</v>
      </c>
      <c r="K28" s="5" t="s">
        <v>928</v>
      </c>
      <c r="L28" s="6" t="s">
        <v>478</v>
      </c>
    </row>
    <row r="29" spans="2:12" x14ac:dyDescent="0.25">
      <c r="B29" s="230" t="s">
        <v>929</v>
      </c>
      <c r="C29" s="231"/>
      <c r="D29" s="65">
        <f>SUM(D30:D31)</f>
        <v>0</v>
      </c>
      <c r="E29" s="65">
        <f>SUM(E30:E31)</f>
        <v>0</v>
      </c>
      <c r="F29" s="65">
        <f>SUM(F30:F31)</f>
        <v>0</v>
      </c>
      <c r="G29" s="74" t="str">
        <f t="shared" ref="G29:G50" si="1">IFERROR(F29/E29,"-")</f>
        <v>-</v>
      </c>
      <c r="H29" s="65">
        <f>SUM(H30:H31)</f>
        <v>0</v>
      </c>
      <c r="I29" s="51" t="str">
        <f t="shared" ref="I29:I50" si="2">IFERROR(H29/E29,"-")</f>
        <v>-</v>
      </c>
      <c r="J29" s="65">
        <f>SUM(J30:J31)</f>
        <v>0</v>
      </c>
      <c r="K29" s="51" t="str">
        <f t="shared" ref="K29:K50" si="3">IFERROR(J29/E29,"-")</f>
        <v>-</v>
      </c>
      <c r="L29" s="66" t="str">
        <f t="shared" ref="L29:L50" si="4">IF(MONTH(paramDataBase)=12,F29-H29,"")</f>
        <v/>
      </c>
    </row>
    <row r="30" spans="2:12" x14ac:dyDescent="0.25">
      <c r="B30" s="283" t="s">
        <v>930</v>
      </c>
      <c r="C30" s="284"/>
      <c r="D30" s="31"/>
      <c r="E30" s="31"/>
      <c r="F30" s="31"/>
      <c r="G30" s="54" t="str">
        <f t="shared" si="1"/>
        <v>-</v>
      </c>
      <c r="H30" s="31"/>
      <c r="I30" s="54" t="str">
        <f t="shared" si="2"/>
        <v>-</v>
      </c>
      <c r="J30" s="31"/>
      <c r="K30" s="54" t="str">
        <f t="shared" si="3"/>
        <v>-</v>
      </c>
      <c r="L30" s="32" t="str">
        <f t="shared" si="4"/>
        <v/>
      </c>
    </row>
    <row r="31" spans="2:12" x14ac:dyDescent="0.25">
      <c r="B31" s="283" t="s">
        <v>902</v>
      </c>
      <c r="C31" s="284"/>
      <c r="D31" s="31"/>
      <c r="E31" s="31"/>
      <c r="F31" s="31"/>
      <c r="G31" s="54" t="str">
        <f t="shared" si="1"/>
        <v>-</v>
      </c>
      <c r="H31" s="31"/>
      <c r="I31" s="54" t="str">
        <f t="shared" si="2"/>
        <v>-</v>
      </c>
      <c r="J31" s="31"/>
      <c r="K31" s="54" t="str">
        <f t="shared" si="3"/>
        <v>-</v>
      </c>
      <c r="L31" s="32" t="str">
        <f t="shared" si="4"/>
        <v/>
      </c>
    </row>
    <row r="32" spans="2:12" x14ac:dyDescent="0.25">
      <c r="B32" s="266" t="s">
        <v>931</v>
      </c>
      <c r="C32" s="267"/>
      <c r="D32" s="31">
        <f>SUM(D33:D34)</f>
        <v>0</v>
      </c>
      <c r="E32" s="31">
        <f>SUM(E33:E34)</f>
        <v>0</v>
      </c>
      <c r="F32" s="31">
        <f>SUM(F33:F34)</f>
        <v>0</v>
      </c>
      <c r="G32" s="54" t="str">
        <f t="shared" si="1"/>
        <v>-</v>
      </c>
      <c r="H32" s="31">
        <f>SUM(H33:H34)</f>
        <v>0</v>
      </c>
      <c r="I32" s="54" t="str">
        <f t="shared" si="2"/>
        <v>-</v>
      </c>
      <c r="J32" s="31">
        <f>SUM(J33:J34)</f>
        <v>0</v>
      </c>
      <c r="K32" s="54" t="str">
        <f t="shared" si="3"/>
        <v>-</v>
      </c>
      <c r="L32" s="32" t="str">
        <f t="shared" si="4"/>
        <v/>
      </c>
    </row>
    <row r="33" spans="2:12" x14ac:dyDescent="0.25">
      <c r="B33" s="283" t="s">
        <v>930</v>
      </c>
      <c r="C33" s="284"/>
      <c r="D33" s="31"/>
      <c r="E33" s="31"/>
      <c r="F33" s="31"/>
      <c r="G33" s="54" t="str">
        <f t="shared" si="1"/>
        <v>-</v>
      </c>
      <c r="H33" s="31"/>
      <c r="I33" s="54" t="str">
        <f t="shared" si="2"/>
        <v>-</v>
      </c>
      <c r="J33" s="31"/>
      <c r="K33" s="54" t="str">
        <f t="shared" si="3"/>
        <v>-</v>
      </c>
      <c r="L33" s="32" t="str">
        <f t="shared" si="4"/>
        <v/>
      </c>
    </row>
    <row r="34" spans="2:12" x14ac:dyDescent="0.25">
      <c r="B34" s="283" t="s">
        <v>902</v>
      </c>
      <c r="C34" s="284"/>
      <c r="D34" s="31"/>
      <c r="E34" s="31"/>
      <c r="F34" s="31"/>
      <c r="G34" s="54" t="str">
        <f t="shared" si="1"/>
        <v>-</v>
      </c>
      <c r="H34" s="31"/>
      <c r="I34" s="54" t="str">
        <f t="shared" si="2"/>
        <v>-</v>
      </c>
      <c r="J34" s="31"/>
      <c r="K34" s="54" t="str">
        <f t="shared" si="3"/>
        <v>-</v>
      </c>
      <c r="L34" s="32" t="str">
        <f t="shared" si="4"/>
        <v/>
      </c>
    </row>
    <row r="35" spans="2:12" x14ac:dyDescent="0.25">
      <c r="B35" s="266" t="s">
        <v>932</v>
      </c>
      <c r="C35" s="267"/>
      <c r="D35" s="31">
        <f>SUM(D36:D37)</f>
        <v>0</v>
      </c>
      <c r="E35" s="31">
        <f>SUM(E36:E37)</f>
        <v>0</v>
      </c>
      <c r="F35" s="31">
        <f>SUM(F36:F37)</f>
        <v>0</v>
      </c>
      <c r="G35" s="54" t="str">
        <f t="shared" si="1"/>
        <v>-</v>
      </c>
      <c r="H35" s="31">
        <f>SUM(H36:H37)</f>
        <v>0</v>
      </c>
      <c r="I35" s="54" t="str">
        <f t="shared" si="2"/>
        <v>-</v>
      </c>
      <c r="J35" s="31">
        <f>SUM(J36:J37)</f>
        <v>0</v>
      </c>
      <c r="K35" s="54" t="str">
        <f t="shared" si="3"/>
        <v>-</v>
      </c>
      <c r="L35" s="32" t="str">
        <f t="shared" si="4"/>
        <v/>
      </c>
    </row>
    <row r="36" spans="2:12" x14ac:dyDescent="0.25">
      <c r="B36" s="283" t="s">
        <v>930</v>
      </c>
      <c r="C36" s="284"/>
      <c r="D36" s="31"/>
      <c r="E36" s="31"/>
      <c r="F36" s="31"/>
      <c r="G36" s="54" t="str">
        <f t="shared" si="1"/>
        <v>-</v>
      </c>
      <c r="H36" s="31"/>
      <c r="I36" s="54" t="str">
        <f t="shared" si="2"/>
        <v>-</v>
      </c>
      <c r="J36" s="31"/>
      <c r="K36" s="54" t="str">
        <f t="shared" si="3"/>
        <v>-</v>
      </c>
      <c r="L36" s="32" t="str">
        <f t="shared" si="4"/>
        <v/>
      </c>
    </row>
    <row r="37" spans="2:12" x14ac:dyDescent="0.25">
      <c r="B37" s="283" t="s">
        <v>902</v>
      </c>
      <c r="C37" s="284"/>
      <c r="D37" s="31"/>
      <c r="E37" s="31"/>
      <c r="F37" s="31"/>
      <c r="G37" s="54" t="str">
        <f t="shared" si="1"/>
        <v>-</v>
      </c>
      <c r="H37" s="31"/>
      <c r="I37" s="54" t="str">
        <f t="shared" si="2"/>
        <v>-</v>
      </c>
      <c r="J37" s="31"/>
      <c r="K37" s="54" t="str">
        <f t="shared" si="3"/>
        <v>-</v>
      </c>
      <c r="L37" s="32" t="str">
        <f t="shared" si="4"/>
        <v/>
      </c>
    </row>
    <row r="38" spans="2:12" x14ac:dyDescent="0.25">
      <c r="B38" s="266" t="s">
        <v>933</v>
      </c>
      <c r="C38" s="267"/>
      <c r="D38" s="31">
        <f>SUM(D39:D40)</f>
        <v>0</v>
      </c>
      <c r="E38" s="31">
        <f>SUM(E39:E40)</f>
        <v>0</v>
      </c>
      <c r="F38" s="31">
        <f>SUM(F39:F40)</f>
        <v>0</v>
      </c>
      <c r="G38" s="54" t="str">
        <f t="shared" si="1"/>
        <v>-</v>
      </c>
      <c r="H38" s="31">
        <f>SUM(H39:H40)</f>
        <v>0</v>
      </c>
      <c r="I38" s="54" t="str">
        <f t="shared" si="2"/>
        <v>-</v>
      </c>
      <c r="J38" s="31">
        <f>SUM(J39:J40)</f>
        <v>0</v>
      </c>
      <c r="K38" s="54" t="str">
        <f t="shared" si="3"/>
        <v>-</v>
      </c>
      <c r="L38" s="32" t="str">
        <f t="shared" si="4"/>
        <v/>
      </c>
    </row>
    <row r="39" spans="2:12" x14ac:dyDescent="0.25">
      <c r="B39" s="283" t="s">
        <v>930</v>
      </c>
      <c r="C39" s="284"/>
      <c r="D39" s="31"/>
      <c r="E39" s="31"/>
      <c r="F39" s="31"/>
      <c r="G39" s="54" t="str">
        <f t="shared" si="1"/>
        <v>-</v>
      </c>
      <c r="H39" s="31"/>
      <c r="I39" s="54" t="str">
        <f t="shared" si="2"/>
        <v>-</v>
      </c>
      <c r="J39" s="31"/>
      <c r="K39" s="54" t="str">
        <f t="shared" si="3"/>
        <v>-</v>
      </c>
      <c r="L39" s="32" t="str">
        <f t="shared" si="4"/>
        <v/>
      </c>
    </row>
    <row r="40" spans="2:12" x14ac:dyDescent="0.25">
      <c r="B40" s="283" t="s">
        <v>902</v>
      </c>
      <c r="C40" s="284"/>
      <c r="D40" s="31"/>
      <c r="E40" s="31"/>
      <c r="F40" s="31"/>
      <c r="G40" s="54" t="str">
        <f t="shared" si="1"/>
        <v>-</v>
      </c>
      <c r="H40" s="31"/>
      <c r="I40" s="54" t="str">
        <f t="shared" si="2"/>
        <v>-</v>
      </c>
      <c r="J40" s="31"/>
      <c r="K40" s="54" t="str">
        <f t="shared" si="3"/>
        <v>-</v>
      </c>
      <c r="L40" s="32" t="str">
        <f t="shared" si="4"/>
        <v/>
      </c>
    </row>
    <row r="41" spans="2:12" x14ac:dyDescent="0.25">
      <c r="B41" s="266" t="s">
        <v>934</v>
      </c>
      <c r="C41" s="267"/>
      <c r="D41" s="31">
        <f>SUM(D42:D43)</f>
        <v>0</v>
      </c>
      <c r="E41" s="31">
        <f>SUM(E42:E43)</f>
        <v>0</v>
      </c>
      <c r="F41" s="31">
        <f>SUM(F42:F43)</f>
        <v>0</v>
      </c>
      <c r="G41" s="54" t="str">
        <f t="shared" si="1"/>
        <v>-</v>
      </c>
      <c r="H41" s="31">
        <f>SUM(H42:H43)</f>
        <v>0</v>
      </c>
      <c r="I41" s="54" t="str">
        <f t="shared" si="2"/>
        <v>-</v>
      </c>
      <c r="J41" s="31">
        <f>SUM(J42:J43)</f>
        <v>0</v>
      </c>
      <c r="K41" s="54" t="str">
        <f t="shared" si="3"/>
        <v>-</v>
      </c>
      <c r="L41" s="32" t="str">
        <f t="shared" si="4"/>
        <v/>
      </c>
    </row>
    <row r="42" spans="2:12" x14ac:dyDescent="0.25">
      <c r="B42" s="283" t="s">
        <v>930</v>
      </c>
      <c r="C42" s="284"/>
      <c r="D42" s="31"/>
      <c r="E42" s="31"/>
      <c r="F42" s="31"/>
      <c r="G42" s="54" t="str">
        <f t="shared" si="1"/>
        <v>-</v>
      </c>
      <c r="H42" s="31"/>
      <c r="I42" s="54" t="str">
        <f t="shared" si="2"/>
        <v>-</v>
      </c>
      <c r="J42" s="31"/>
      <c r="K42" s="54" t="str">
        <f t="shared" si="3"/>
        <v>-</v>
      </c>
      <c r="L42" s="32" t="str">
        <f t="shared" si="4"/>
        <v/>
      </c>
    </row>
    <row r="43" spans="2:12" x14ac:dyDescent="0.25">
      <c r="B43" s="283" t="s">
        <v>902</v>
      </c>
      <c r="C43" s="284"/>
      <c r="D43" s="31"/>
      <c r="E43" s="31"/>
      <c r="F43" s="31"/>
      <c r="G43" s="54" t="str">
        <f t="shared" si="1"/>
        <v>-</v>
      </c>
      <c r="H43" s="31"/>
      <c r="I43" s="54" t="str">
        <f t="shared" si="2"/>
        <v>-</v>
      </c>
      <c r="J43" s="31"/>
      <c r="K43" s="54" t="str">
        <f t="shared" si="3"/>
        <v>-</v>
      </c>
      <c r="L43" s="32" t="str">
        <f t="shared" si="4"/>
        <v/>
      </c>
    </row>
    <row r="44" spans="2:12" x14ac:dyDescent="0.25">
      <c r="B44" s="266" t="s">
        <v>935</v>
      </c>
      <c r="C44" s="267"/>
      <c r="D44" s="31">
        <f>SUM(D45:D46)</f>
        <v>0</v>
      </c>
      <c r="E44" s="31">
        <f>SUM(E45:E46)</f>
        <v>0</v>
      </c>
      <c r="F44" s="31">
        <f>SUM(F45:F46)</f>
        <v>0</v>
      </c>
      <c r="G44" s="54" t="str">
        <f t="shared" si="1"/>
        <v>-</v>
      </c>
      <c r="H44" s="31">
        <f>SUM(H45:H46)</f>
        <v>0</v>
      </c>
      <c r="I44" s="54" t="str">
        <f t="shared" si="2"/>
        <v>-</v>
      </c>
      <c r="J44" s="31">
        <f>SUM(J45:J46)</f>
        <v>0</v>
      </c>
      <c r="K44" s="54" t="str">
        <f t="shared" si="3"/>
        <v>-</v>
      </c>
      <c r="L44" s="32" t="str">
        <f t="shared" si="4"/>
        <v/>
      </c>
    </row>
    <row r="45" spans="2:12" x14ac:dyDescent="0.25">
      <c r="B45" s="283" t="s">
        <v>930</v>
      </c>
      <c r="C45" s="284"/>
      <c r="D45" s="31"/>
      <c r="E45" s="31"/>
      <c r="F45" s="31"/>
      <c r="G45" s="54" t="str">
        <f t="shared" si="1"/>
        <v>-</v>
      </c>
      <c r="H45" s="31"/>
      <c r="I45" s="54" t="str">
        <f t="shared" si="2"/>
        <v>-</v>
      </c>
      <c r="J45" s="31"/>
      <c r="K45" s="54" t="str">
        <f t="shared" si="3"/>
        <v>-</v>
      </c>
      <c r="L45" s="32" t="str">
        <f t="shared" si="4"/>
        <v/>
      </c>
    </row>
    <row r="46" spans="2:12" x14ac:dyDescent="0.25">
      <c r="B46" s="283" t="s">
        <v>902</v>
      </c>
      <c r="C46" s="284"/>
      <c r="D46" s="31"/>
      <c r="E46" s="31"/>
      <c r="F46" s="31"/>
      <c r="G46" s="54" t="str">
        <f t="shared" si="1"/>
        <v>-</v>
      </c>
      <c r="H46" s="31"/>
      <c r="I46" s="54" t="str">
        <f t="shared" si="2"/>
        <v>-</v>
      </c>
      <c r="J46" s="31"/>
      <c r="K46" s="54" t="str">
        <f t="shared" si="3"/>
        <v>-</v>
      </c>
      <c r="L46" s="32" t="str">
        <f t="shared" si="4"/>
        <v/>
      </c>
    </row>
    <row r="47" spans="2:12" x14ac:dyDescent="0.25">
      <c r="B47" s="266" t="s">
        <v>936</v>
      </c>
      <c r="C47" s="267"/>
      <c r="D47" s="31">
        <f>SUM(D48:D49)</f>
        <v>0</v>
      </c>
      <c r="E47" s="31">
        <f>SUM(E48:E49)</f>
        <v>0</v>
      </c>
      <c r="F47" s="31">
        <f>SUM(F48:F49)</f>
        <v>0</v>
      </c>
      <c r="G47" s="54" t="str">
        <f t="shared" si="1"/>
        <v>-</v>
      </c>
      <c r="H47" s="31">
        <f>SUM(H48:H49)</f>
        <v>0</v>
      </c>
      <c r="I47" s="54" t="str">
        <f t="shared" si="2"/>
        <v>-</v>
      </c>
      <c r="J47" s="31">
        <f>SUM(J48:J49)</f>
        <v>0</v>
      </c>
      <c r="K47" s="54" t="str">
        <f t="shared" si="3"/>
        <v>-</v>
      </c>
      <c r="L47" s="32" t="str">
        <f t="shared" si="4"/>
        <v/>
      </c>
    </row>
    <row r="48" spans="2:12" x14ac:dyDescent="0.25">
      <c r="B48" s="283" t="s">
        <v>930</v>
      </c>
      <c r="C48" s="284"/>
      <c r="D48" s="31"/>
      <c r="E48" s="31"/>
      <c r="F48" s="31"/>
      <c r="G48" s="54" t="str">
        <f t="shared" si="1"/>
        <v>-</v>
      </c>
      <c r="H48" s="31"/>
      <c r="I48" s="54" t="str">
        <f t="shared" si="2"/>
        <v>-</v>
      </c>
      <c r="J48" s="31"/>
      <c r="K48" s="54" t="str">
        <f t="shared" si="3"/>
        <v>-</v>
      </c>
      <c r="L48" s="32" t="str">
        <f t="shared" si="4"/>
        <v/>
      </c>
    </row>
    <row r="49" spans="2:12" x14ac:dyDescent="0.25">
      <c r="B49" s="285" t="s">
        <v>902</v>
      </c>
      <c r="C49" s="286"/>
      <c r="D49" s="68"/>
      <c r="E49" s="68"/>
      <c r="F49" s="68"/>
      <c r="G49" s="190" t="str">
        <f t="shared" si="1"/>
        <v>-</v>
      </c>
      <c r="H49" s="68"/>
      <c r="I49" s="190" t="str">
        <f t="shared" si="2"/>
        <v>-</v>
      </c>
      <c r="J49" s="68"/>
      <c r="K49" s="190" t="str">
        <f t="shared" si="3"/>
        <v>-</v>
      </c>
      <c r="L49" s="69" t="str">
        <f t="shared" si="4"/>
        <v/>
      </c>
    </row>
    <row r="50" spans="2:12" ht="15.75" customHeight="1" x14ac:dyDescent="0.25">
      <c r="B50" s="349" t="s">
        <v>937</v>
      </c>
      <c r="C50" s="350"/>
      <c r="D50" s="17">
        <f>D29+D32+D35+D38+D41+D44+D47</f>
        <v>0</v>
      </c>
      <c r="E50" s="17">
        <f>E29+E32+E35+E38+E41+E44+E47</f>
        <v>0</v>
      </c>
      <c r="F50" s="17">
        <f>F29+F32+F35+F38+F41+F44+F47</f>
        <v>0</v>
      </c>
      <c r="G50" s="191" t="str">
        <f t="shared" si="1"/>
        <v>-</v>
      </c>
      <c r="H50" s="17">
        <f>H29+H32+H35+H38+H41+H44+H47</f>
        <v>0</v>
      </c>
      <c r="I50" s="191" t="str">
        <f t="shared" si="2"/>
        <v>-</v>
      </c>
      <c r="J50" s="17">
        <f>J29+J32+J35+J38+J41+J44+J47</f>
        <v>0</v>
      </c>
      <c r="K50" s="191" t="str">
        <f t="shared" si="3"/>
        <v>-</v>
      </c>
      <c r="L50" s="18" t="str">
        <f t="shared" si="4"/>
        <v/>
      </c>
    </row>
    <row r="51" spans="2:12" ht="15.75" customHeight="1" x14ac:dyDescent="0.25"/>
    <row r="52" spans="2:12" x14ac:dyDescent="0.25">
      <c r="B52" s="234" t="s">
        <v>938</v>
      </c>
      <c r="C52" s="251"/>
      <c r="D52" s="251"/>
      <c r="E52" s="251"/>
      <c r="F52" s="251"/>
      <c r="G52" s="251"/>
      <c r="H52" s="251"/>
      <c r="I52" s="251"/>
      <c r="J52" s="3" t="s">
        <v>218</v>
      </c>
      <c r="K52" s="3" t="s">
        <v>219</v>
      </c>
      <c r="L52" s="42" t="s">
        <v>220</v>
      </c>
    </row>
    <row r="53" spans="2:12" x14ac:dyDescent="0.25">
      <c r="B53" s="229"/>
      <c r="C53" s="252"/>
      <c r="D53" s="252"/>
      <c r="E53" s="252"/>
      <c r="F53" s="252"/>
      <c r="G53" s="252"/>
      <c r="H53" s="252"/>
      <c r="I53" s="252"/>
      <c r="J53" s="5" t="s">
        <v>224</v>
      </c>
      <c r="K53" s="5" t="s">
        <v>225</v>
      </c>
      <c r="L53" s="6" t="s">
        <v>226</v>
      </c>
    </row>
    <row r="54" spans="2:12" x14ac:dyDescent="0.25">
      <c r="B54" s="230" t="s">
        <v>939</v>
      </c>
      <c r="C54" s="231"/>
      <c r="D54" s="231"/>
      <c r="E54" s="231"/>
      <c r="F54" s="231"/>
      <c r="G54" s="231"/>
      <c r="H54" s="231"/>
      <c r="I54" s="231"/>
      <c r="J54" s="65">
        <f>F50</f>
        <v>0</v>
      </c>
      <c r="K54" s="65">
        <f>H50</f>
        <v>0</v>
      </c>
      <c r="L54" s="66">
        <f>J50</f>
        <v>0</v>
      </c>
    </row>
    <row r="55" spans="2:12" x14ac:dyDescent="0.25">
      <c r="B55" s="266" t="s">
        <v>940</v>
      </c>
      <c r="C55" s="267"/>
      <c r="D55" s="267"/>
      <c r="E55" s="267"/>
      <c r="F55" s="267"/>
      <c r="G55" s="267"/>
      <c r="H55" s="267"/>
      <c r="I55" s="267"/>
      <c r="J55" s="31">
        <f>paramASPSRPInscritosSemDisponibilidadeEmpenhado</f>
        <v>0</v>
      </c>
      <c r="K55" s="31">
        <f>paramASPSRPInscritosSemDisponibilidadeLiquidado</f>
        <v>0</v>
      </c>
      <c r="L55" s="32">
        <f>paramASPSRPInscritosSemDisponibilidadePago</f>
        <v>0</v>
      </c>
    </row>
    <row r="56" spans="2:12" x14ac:dyDescent="0.25">
      <c r="B56" s="266" t="s">
        <v>941</v>
      </c>
      <c r="C56" s="267"/>
      <c r="D56" s="267"/>
      <c r="E56" s="267"/>
      <c r="F56" s="267"/>
      <c r="G56" s="267"/>
      <c r="H56" s="267"/>
      <c r="I56" s="267"/>
      <c r="J56" s="31"/>
      <c r="K56" s="31"/>
      <c r="L56" s="32"/>
    </row>
    <row r="57" spans="2:12" x14ac:dyDescent="0.25">
      <c r="B57" s="266" t="s">
        <v>942</v>
      </c>
      <c r="C57" s="267"/>
      <c r="D57" s="267"/>
      <c r="E57" s="267"/>
      <c r="F57" s="267"/>
      <c r="G57" s="267"/>
      <c r="H57" s="267"/>
      <c r="I57" s="267"/>
      <c r="J57" s="31"/>
      <c r="K57" s="31"/>
      <c r="L57" s="32"/>
    </row>
    <row r="58" spans="2:12" x14ac:dyDescent="0.25">
      <c r="B58" s="388" t="s">
        <v>943</v>
      </c>
      <c r="C58" s="389"/>
      <c r="D58" s="389"/>
      <c r="E58" s="389"/>
      <c r="F58" s="389"/>
      <c r="G58" s="389"/>
      <c r="H58" s="389"/>
      <c r="I58" s="389"/>
      <c r="J58" s="90">
        <f>J54-J55-J56-J57</f>
        <v>0</v>
      </c>
      <c r="K58" s="90">
        <f>K54-K55-K56-K57</f>
        <v>0</v>
      </c>
      <c r="L58" s="91">
        <f>L54-L55-L56-L57</f>
        <v>0</v>
      </c>
    </row>
    <row r="59" spans="2:12" x14ac:dyDescent="0.25">
      <c r="B59" s="266" t="s">
        <v>944</v>
      </c>
      <c r="C59" s="267"/>
      <c r="D59" s="267"/>
      <c r="E59" s="267"/>
      <c r="F59" s="267"/>
      <c r="G59" s="267"/>
      <c r="H59" s="267"/>
      <c r="I59" s="267"/>
      <c r="J59" s="318">
        <f>ROUND(K24*15%,2)</f>
        <v>0</v>
      </c>
      <c r="K59" s="319"/>
      <c r="L59" s="319"/>
    </row>
    <row r="60" spans="2:12" x14ac:dyDescent="0.25">
      <c r="B60" s="266" t="s">
        <v>945</v>
      </c>
      <c r="C60" s="267"/>
      <c r="D60" s="267"/>
      <c r="E60" s="267"/>
      <c r="F60" s="267"/>
      <c r="G60" s="267"/>
      <c r="H60" s="267"/>
      <c r="I60" s="267"/>
      <c r="J60" s="303">
        <f>ROUND(K24*paramMinimoASPS,2)</f>
        <v>0</v>
      </c>
      <c r="K60" s="296"/>
      <c r="L60" s="296"/>
    </row>
    <row r="61" spans="2:12" x14ac:dyDescent="0.25">
      <c r="B61" s="230" t="s">
        <v>946</v>
      </c>
      <c r="C61" s="231"/>
      <c r="D61" s="231"/>
      <c r="E61" s="231"/>
      <c r="F61" s="231"/>
      <c r="G61" s="231"/>
      <c r="H61" s="231"/>
      <c r="I61" s="231"/>
      <c r="J61" s="65">
        <f>J58-J60</f>
        <v>0</v>
      </c>
      <c r="K61" s="65">
        <f>K58-J60</f>
        <v>0</v>
      </c>
      <c r="L61" s="66">
        <f>L58-J60</f>
        <v>0</v>
      </c>
    </row>
    <row r="62" spans="2:12" x14ac:dyDescent="0.25">
      <c r="B62" s="333" t="s">
        <v>947</v>
      </c>
      <c r="C62" s="334"/>
      <c r="D62" s="334"/>
      <c r="E62" s="334"/>
      <c r="F62" s="334"/>
      <c r="G62" s="334"/>
      <c r="H62" s="334"/>
      <c r="I62" s="334"/>
      <c r="J62" s="68">
        <f>IF(MONTH(paramDataBase)=12,IF(J61&lt;0,J61*-1,0),IF(K61&lt;0,K61*-1,0))</f>
        <v>0</v>
      </c>
      <c r="K62" s="68"/>
      <c r="L62" s="69"/>
    </row>
    <row r="63" spans="2:12" ht="31.5" customHeight="1" x14ac:dyDescent="0.25">
      <c r="B63" s="393" t="s">
        <v>948</v>
      </c>
      <c r="C63" s="394"/>
      <c r="D63" s="394"/>
      <c r="E63" s="394"/>
      <c r="F63" s="394"/>
      <c r="G63" s="394"/>
      <c r="H63" s="394"/>
      <c r="I63" s="394"/>
      <c r="J63" s="19" t="e">
        <f>ROUND(J58/K24,4)</f>
        <v>#DIV/0!</v>
      </c>
      <c r="K63" s="19" t="e">
        <f>ROUND(K58/K24,4)</f>
        <v>#DIV/0!</v>
      </c>
      <c r="L63" s="92"/>
    </row>
    <row r="64" spans="2:12" ht="15.75" customHeight="1" x14ac:dyDescent="0.25"/>
    <row r="65" spans="2:12" x14ac:dyDescent="0.25">
      <c r="B65" s="382" t="s">
        <v>949</v>
      </c>
      <c r="C65" s="383"/>
      <c r="D65" s="383"/>
      <c r="E65" s="383"/>
      <c r="F65" s="383"/>
      <c r="G65" s="383"/>
      <c r="H65" s="241" t="s">
        <v>950</v>
      </c>
      <c r="I65" s="241"/>
      <c r="J65" s="241"/>
      <c r="K65" s="241"/>
      <c r="L65" s="242"/>
    </row>
    <row r="66" spans="2:12" x14ac:dyDescent="0.25">
      <c r="B66" s="384"/>
      <c r="C66" s="385"/>
      <c r="D66" s="385"/>
      <c r="E66" s="385"/>
      <c r="F66" s="385"/>
      <c r="G66" s="385"/>
      <c r="H66" s="4" t="s">
        <v>98</v>
      </c>
      <c r="I66" s="245" t="s">
        <v>99</v>
      </c>
      <c r="J66" s="245"/>
      <c r="K66" s="245"/>
      <c r="L66" s="329" t="s">
        <v>951</v>
      </c>
    </row>
    <row r="67" spans="2:12" x14ac:dyDescent="0.25">
      <c r="B67" s="384"/>
      <c r="C67" s="385"/>
      <c r="D67" s="385"/>
      <c r="E67" s="385"/>
      <c r="F67" s="385"/>
      <c r="G67" s="385"/>
      <c r="H67" s="4" t="s">
        <v>952</v>
      </c>
      <c r="I67" s="4" t="s">
        <v>101</v>
      </c>
      <c r="J67" s="4" t="s">
        <v>102</v>
      </c>
      <c r="K67" s="4" t="s">
        <v>103</v>
      </c>
      <c r="L67" s="329"/>
    </row>
    <row r="68" spans="2:12" x14ac:dyDescent="0.25">
      <c r="B68" s="386"/>
      <c r="C68" s="387"/>
      <c r="D68" s="387"/>
      <c r="E68" s="387"/>
      <c r="F68" s="387"/>
      <c r="G68" s="387"/>
      <c r="H68" s="5" t="s">
        <v>228</v>
      </c>
      <c r="I68" s="5" t="s">
        <v>629</v>
      </c>
      <c r="J68" s="5" t="s">
        <v>230</v>
      </c>
      <c r="K68" s="5" t="s">
        <v>231</v>
      </c>
      <c r="L68" s="6" t="s">
        <v>953</v>
      </c>
    </row>
    <row r="69" spans="2:12" x14ac:dyDescent="0.25">
      <c r="B69" s="230" t="str">
        <f>"Diferença de limite não cumprido em "&amp;YEAR(paramDataBase)&amp;" (saldo final = XIXd)"</f>
        <v>Diferença de limite não cumprido em 1900 (saldo final = XIXd)</v>
      </c>
      <c r="C69" s="231"/>
      <c r="D69" s="231"/>
      <c r="E69" s="231"/>
      <c r="F69" s="231"/>
      <c r="G69" s="231"/>
      <c r="H69" s="65"/>
      <c r="I69" s="65"/>
      <c r="J69" s="65"/>
      <c r="K69" s="65"/>
      <c r="L69" s="66">
        <f>J62</f>
        <v>0</v>
      </c>
    </row>
    <row r="70" spans="2:12" x14ac:dyDescent="0.25">
      <c r="B70" s="266" t="str">
        <f>"Diferença de limite não cumprido em "&amp;YEAR(paramDataBase)-1&amp;" (saldo inicial igual ao saldo final do demonstrativo do exercício anterior)"</f>
        <v>Diferença de limite não cumprido em 1899 (saldo inicial igual ao saldo final do demonstrativo do exercício anterior)</v>
      </c>
      <c r="C70" s="267"/>
      <c r="D70" s="267"/>
      <c r="E70" s="267"/>
      <c r="F70" s="267"/>
      <c r="G70" s="267"/>
      <c r="H70" s="31">
        <f>paramASPSXIXdAnoAnterior</f>
        <v>0</v>
      </c>
      <c r="I70" s="31"/>
      <c r="J70" s="31"/>
      <c r="K70" s="31"/>
      <c r="L70" s="32">
        <f>IF(MONTH(paramDataBase)=12,H70-I70,H70-J70)</f>
        <v>0</v>
      </c>
    </row>
    <row r="71" spans="2:12" x14ac:dyDescent="0.25">
      <c r="B71" s="333" t="s">
        <v>954</v>
      </c>
      <c r="C71" s="334"/>
      <c r="D71" s="334"/>
      <c r="E71" s="334"/>
      <c r="F71" s="334"/>
      <c r="G71" s="334"/>
      <c r="H71" s="68"/>
      <c r="I71" s="68"/>
      <c r="J71" s="68"/>
      <c r="K71" s="68"/>
      <c r="L71" s="69">
        <f>IF(MONTH(paramDataBase)=12,H71-I71,H71-J71)</f>
        <v>0</v>
      </c>
    </row>
    <row r="72" spans="2:12" ht="15.75" customHeight="1" x14ac:dyDescent="0.25">
      <c r="B72" s="349" t="s">
        <v>955</v>
      </c>
      <c r="C72" s="350"/>
      <c r="D72" s="350"/>
      <c r="E72" s="350"/>
      <c r="F72" s="350"/>
      <c r="G72" s="350"/>
      <c r="H72" s="17"/>
      <c r="I72" s="17"/>
      <c r="J72" s="17"/>
      <c r="K72" s="17"/>
      <c r="L72" s="18">
        <f>IF(MONTH(paramDataBase)=12,H72-I72,H72-J72)</f>
        <v>0</v>
      </c>
    </row>
    <row r="74" spans="2:12" ht="15.75" customHeight="1" x14ac:dyDescent="0.25">
      <c r="B74" s="390" t="s">
        <v>956</v>
      </c>
      <c r="C74" s="390"/>
      <c r="D74" s="390"/>
      <c r="E74" s="390"/>
      <c r="F74" s="390"/>
      <c r="G74" s="390"/>
      <c r="H74" s="390"/>
      <c r="I74" s="390"/>
      <c r="J74" s="390"/>
      <c r="K74" s="390"/>
      <c r="L74" s="390"/>
    </row>
    <row r="75" spans="2:12" ht="75" customHeight="1" x14ac:dyDescent="0.25">
      <c r="B75" s="234" t="s">
        <v>86</v>
      </c>
      <c r="C75" s="88" t="s">
        <v>87</v>
      </c>
      <c r="D75" s="88" t="s">
        <v>88</v>
      </c>
      <c r="E75" s="88" t="s">
        <v>957</v>
      </c>
      <c r="F75" s="88" t="s">
        <v>89</v>
      </c>
      <c r="G75" s="88" t="s">
        <v>90</v>
      </c>
      <c r="H75" s="88" t="s">
        <v>958</v>
      </c>
      <c r="I75" s="88" t="s">
        <v>959</v>
      </c>
      <c r="J75" s="88" t="s">
        <v>960</v>
      </c>
      <c r="K75" s="88" t="s">
        <v>961</v>
      </c>
      <c r="L75" s="93" t="s">
        <v>962</v>
      </c>
    </row>
    <row r="76" spans="2:12" ht="30" customHeight="1" x14ac:dyDescent="0.25">
      <c r="B76" s="229"/>
      <c r="C76" s="5" t="s">
        <v>91</v>
      </c>
      <c r="D76" s="5" t="s">
        <v>92</v>
      </c>
      <c r="E76" s="89" t="s">
        <v>963</v>
      </c>
      <c r="F76" s="5" t="s">
        <v>93</v>
      </c>
      <c r="G76" s="5" t="s">
        <v>94</v>
      </c>
      <c r="H76" s="89" t="s">
        <v>964</v>
      </c>
      <c r="I76" s="5" t="s">
        <v>760</v>
      </c>
      <c r="J76" s="5" t="s">
        <v>965</v>
      </c>
      <c r="K76" s="5" t="s">
        <v>762</v>
      </c>
      <c r="L76" s="6" t="s">
        <v>966</v>
      </c>
    </row>
    <row r="77" spans="2:12" x14ac:dyDescent="0.25">
      <c r="B77" s="49" t="str">
        <f>_xlfn.CONCAT("Empenhos de ",YEAR(paramDataBase))</f>
        <v>Empenhos de 1900</v>
      </c>
      <c r="C77" s="65">
        <f>LARGE(J59:L60,1)</f>
        <v>0</v>
      </c>
      <c r="D77" s="65">
        <f>IF(MONTH(paramDataBase)=12,J58,K58)</f>
        <v>0</v>
      </c>
      <c r="E77" s="65">
        <f>IF(D77-C77&gt;0,D77-C77,0)</f>
        <v>0</v>
      </c>
      <c r="F77" s="65">
        <f>(J54-K54)+(K54-L54)</f>
        <v>0</v>
      </c>
      <c r="G77" s="65">
        <f>J55</f>
        <v>0</v>
      </c>
      <c r="H77" s="65">
        <f>IF((F77-(E77+G77))&gt;0,(F77-(E77+G77)),0)</f>
        <v>0</v>
      </c>
      <c r="I77" s="65"/>
      <c r="J77" s="65">
        <f>F77-I77-K77</f>
        <v>0</v>
      </c>
      <c r="K77" s="65"/>
      <c r="L77" s="66">
        <f>(E77+G77)-K77</f>
        <v>0</v>
      </c>
    </row>
    <row r="78" spans="2:12" x14ac:dyDescent="0.25">
      <c r="B78" s="57" t="str">
        <f>_xlfn.CONCAT("Empenhos de ",YEAR(paramDataBase)-1)</f>
        <v>Empenhos de 1899</v>
      </c>
      <c r="C78" s="31">
        <f>'RREO A12 Valores Manuais'!C5</f>
        <v>4966107.74</v>
      </c>
      <c r="D78" s="31">
        <f>'RREO A12 Valores Manuais'!D5</f>
        <v>6579419.0599999996</v>
      </c>
      <c r="E78" s="31">
        <f>IF(D78-C78&gt;0,D78-C78,0)</f>
        <v>1613311.3199999994</v>
      </c>
      <c r="F78" s="31">
        <f>'RREO A12 Valores Manuais'!E5</f>
        <v>63376.57</v>
      </c>
      <c r="G78" s="31">
        <f>'RREO A12 Valores Manuais'!F5</f>
        <v>0</v>
      </c>
      <c r="H78" s="31">
        <f>IF((F78-(E78+G78))&gt;0,(F78-(E78+G78)),0)</f>
        <v>0</v>
      </c>
      <c r="I78" s="31"/>
      <c r="J78" s="31">
        <f>F78-I78-K78</f>
        <v>63376.57</v>
      </c>
      <c r="K78" s="31"/>
      <c r="L78" s="32">
        <f>(E78+G78)-K78</f>
        <v>1613311.3199999994</v>
      </c>
    </row>
    <row r="79" spans="2:12" x14ac:dyDescent="0.25">
      <c r="B79" s="57" t="str">
        <f>_xlfn.CONCAT("Empenhos de ",YEAR(paramDataBase)-2)</f>
        <v>Empenhos de 1898</v>
      </c>
      <c r="C79" s="31">
        <f>'RREO A12 Valores Manuais'!C6</f>
        <v>4469353.25</v>
      </c>
      <c r="D79" s="31">
        <f>'RREO A12 Valores Manuais'!D6</f>
        <v>6251270.6600000001</v>
      </c>
      <c r="E79" s="31">
        <f>IF(D79-C79&gt;0,D79-C79,0)</f>
        <v>1781917.4100000001</v>
      </c>
      <c r="F79" s="31">
        <f>'RREO A12 Valores Manuais'!E6</f>
        <v>64056.55</v>
      </c>
      <c r="G79" s="31">
        <f>'RREO A12 Valores Manuais'!F6</f>
        <v>0</v>
      </c>
      <c r="H79" s="31">
        <f>IF((F79-(E79+G79))&gt;0,(F79-(E79+G79)),0)</f>
        <v>0</v>
      </c>
      <c r="I79" s="31"/>
      <c r="J79" s="31">
        <f>F79-I79-K79</f>
        <v>64056.55</v>
      </c>
      <c r="K79" s="31"/>
      <c r="L79" s="32">
        <f>(E79+G79)-K79</f>
        <v>1781917.4100000001</v>
      </c>
    </row>
    <row r="80" spans="2:12" x14ac:dyDescent="0.25">
      <c r="B80" s="57" t="str">
        <f>_xlfn.CONCAT("Empenhos de ",YEAR(paramDataBase)-3)</f>
        <v>Empenhos de 1897</v>
      </c>
      <c r="C80" s="31">
        <f>'RREO A12 Valores Manuais'!C7</f>
        <v>4246982.26</v>
      </c>
      <c r="D80" s="31">
        <f>'RREO A12 Valores Manuais'!D7</f>
        <v>4588461.57</v>
      </c>
      <c r="E80" s="31">
        <f>IF(D80-C80&gt;0,D80-C80,0)</f>
        <v>341479.31000000052</v>
      </c>
      <c r="F80" s="31">
        <f>'RREO A12 Valores Manuais'!E7</f>
        <v>97864.27</v>
      </c>
      <c r="G80" s="31">
        <f>'RREO A12 Valores Manuais'!F7</f>
        <v>0</v>
      </c>
      <c r="H80" s="31">
        <f>IF((F80-(E80+G80))&gt;0,(F80-(E80+G80)),0)</f>
        <v>0</v>
      </c>
      <c r="I80" s="31"/>
      <c r="J80" s="31">
        <f>F80-I80-K80</f>
        <v>97864.27</v>
      </c>
      <c r="K80" s="31"/>
      <c r="L80" s="32">
        <f>(E80+G80)-K80</f>
        <v>341479.31000000052</v>
      </c>
    </row>
    <row r="81" spans="2:12" ht="15.75" customHeight="1" x14ac:dyDescent="0.25">
      <c r="B81" s="21" t="str">
        <f>_xlfn.CONCAT("Empenhos de ",YEAR(paramDataBase)-4," e anteriores")</f>
        <v>Empenhos de 1896 e anteriores</v>
      </c>
      <c r="C81" s="22">
        <f>'RREO A12 Valores Manuais'!C8</f>
        <v>3211439.67</v>
      </c>
      <c r="D81" s="22">
        <f>'RREO A12 Valores Manuais'!D8</f>
        <v>4292565.12</v>
      </c>
      <c r="E81" s="22">
        <f>IF(D81-C81&gt;0,D81-C81,0)</f>
        <v>1081125.4500000002</v>
      </c>
      <c r="F81" s="22">
        <f>'RREO A12 Valores Manuais'!E8</f>
        <v>68600.320000000007</v>
      </c>
      <c r="G81" s="22">
        <f>'RREO A12 Valores Manuais'!F8</f>
        <v>0</v>
      </c>
      <c r="H81" s="22">
        <f>IF((F81-(E81+G81))&gt;0,(F81-(E81+G81)),0)</f>
        <v>0</v>
      </c>
      <c r="I81" s="22"/>
      <c r="J81" s="22">
        <f>F81-I81-K81</f>
        <v>68600.320000000007</v>
      </c>
      <c r="K81" s="22"/>
      <c r="L81" s="23">
        <f>(E81+G81)-K81</f>
        <v>1081125.4500000002</v>
      </c>
    </row>
    <row r="82" spans="2:12" ht="15.75" customHeight="1" x14ac:dyDescent="0.25"/>
    <row r="83" spans="2:12" x14ac:dyDescent="0.25">
      <c r="B83" s="391" t="s">
        <v>967</v>
      </c>
      <c r="C83" s="392"/>
      <c r="D83" s="392"/>
      <c r="E83" s="392"/>
      <c r="F83" s="392"/>
      <c r="G83" s="392"/>
      <c r="H83" s="392"/>
      <c r="I83" s="392"/>
      <c r="J83" s="392"/>
      <c r="K83" s="392"/>
      <c r="L83" s="94">
        <f>SUMIF(L77:L81,"&lt;0",L77:L81)*-1</f>
        <v>0</v>
      </c>
    </row>
    <row r="84" spans="2:12" x14ac:dyDescent="0.25">
      <c r="B84" s="235" t="s">
        <v>968</v>
      </c>
      <c r="C84" s="236"/>
      <c r="D84" s="236"/>
      <c r="E84" s="236"/>
      <c r="F84" s="236"/>
      <c r="G84" s="236"/>
      <c r="H84" s="236"/>
      <c r="I84" s="236"/>
      <c r="J84" s="236"/>
      <c r="K84" s="236"/>
      <c r="L84" s="95">
        <f>'RREO A12 Valores Manuais'!L10</f>
        <v>0</v>
      </c>
    </row>
    <row r="85" spans="2:12" ht="15.75" customHeight="1" x14ac:dyDescent="0.25">
      <c r="B85" s="274" t="s">
        <v>969</v>
      </c>
      <c r="C85" s="275"/>
      <c r="D85" s="275"/>
      <c r="E85" s="275"/>
      <c r="F85" s="275"/>
      <c r="G85" s="275"/>
      <c r="H85" s="275"/>
      <c r="I85" s="275"/>
      <c r="J85" s="275"/>
      <c r="K85" s="275"/>
      <c r="L85" s="96">
        <f>L83-L84</f>
        <v>0</v>
      </c>
    </row>
    <row r="86" spans="2:12" ht="15.75" customHeight="1" x14ac:dyDescent="0.25"/>
    <row r="87" spans="2:12" x14ac:dyDescent="0.25">
      <c r="B87" s="237" t="s">
        <v>96</v>
      </c>
      <c r="C87" s="238"/>
      <c r="D87" s="238"/>
      <c r="E87" s="238"/>
      <c r="F87" s="238"/>
      <c r="G87" s="238"/>
      <c r="H87" s="241" t="s">
        <v>97</v>
      </c>
      <c r="I87" s="241"/>
      <c r="J87" s="241"/>
      <c r="K87" s="241"/>
      <c r="L87" s="242"/>
    </row>
    <row r="88" spans="2:12" x14ac:dyDescent="0.25">
      <c r="B88" s="239"/>
      <c r="C88" s="240"/>
      <c r="D88" s="240"/>
      <c r="E88" s="240"/>
      <c r="F88" s="240"/>
      <c r="G88" s="240"/>
      <c r="H88" s="243" t="s">
        <v>98</v>
      </c>
      <c r="I88" s="245" t="s">
        <v>99</v>
      </c>
      <c r="J88" s="245"/>
      <c r="K88" s="245"/>
      <c r="L88" s="44" t="s">
        <v>100</v>
      </c>
    </row>
    <row r="89" spans="2:12" x14ac:dyDescent="0.25">
      <c r="B89" s="239"/>
      <c r="C89" s="240"/>
      <c r="D89" s="240"/>
      <c r="E89" s="240"/>
      <c r="F89" s="240"/>
      <c r="G89" s="240"/>
      <c r="H89" s="244"/>
      <c r="I89" s="39" t="s">
        <v>101</v>
      </c>
      <c r="J89" s="39" t="s">
        <v>102</v>
      </c>
      <c r="K89" s="39" t="s">
        <v>103</v>
      </c>
      <c r="L89" s="85" t="s">
        <v>104</v>
      </c>
    </row>
    <row r="90" spans="2:12" x14ac:dyDescent="0.25">
      <c r="B90" s="239"/>
      <c r="C90" s="240"/>
      <c r="D90" s="240"/>
      <c r="E90" s="240"/>
      <c r="F90" s="240"/>
      <c r="G90" s="240"/>
      <c r="H90" s="5" t="s">
        <v>105</v>
      </c>
      <c r="I90" s="5" t="s">
        <v>106</v>
      </c>
      <c r="J90" s="5" t="s">
        <v>107</v>
      </c>
      <c r="K90" s="5" t="s">
        <v>108</v>
      </c>
      <c r="L90" s="6" t="s">
        <v>109</v>
      </c>
    </row>
    <row r="91" spans="2:12" x14ac:dyDescent="0.25">
      <c r="B91" s="230" t="str">
        <f>_xlfn.CONCAT("Restos a pagar cancelados ou prescritos em ",YEAR(paramDataBase)," a serem compensados (XXIV) (saldo inicial = XXIII)")</f>
        <v>Restos a pagar cancelados ou prescritos em 1900 a serem compensados (XXIV) (saldo inicial = XXIII)</v>
      </c>
      <c r="C91" s="231"/>
      <c r="D91" s="231"/>
      <c r="E91" s="231"/>
      <c r="F91" s="231"/>
      <c r="G91" s="231"/>
      <c r="H91" s="65">
        <f>L85</f>
        <v>0</v>
      </c>
      <c r="I91" s="65"/>
      <c r="J91" s="65"/>
      <c r="K91" s="65"/>
      <c r="L91" s="66">
        <f>IF(MONTH(paramDataBase)=12,H91-I91,H91-J91)</f>
        <v>0</v>
      </c>
    </row>
    <row r="92" spans="2:12" ht="30" customHeight="1" x14ac:dyDescent="0.25">
      <c r="B92" s="232" t="str">
        <f>_xlfn.CONCAT("Restos a pagar cancelados ou prescritos em ",YEAR(paramDataBase)-1," a serem compensados (XXV) (saldo inicial igual ao saldo final do demonstrativo do exercício anterior)")</f>
        <v>Restos a pagar cancelados ou prescritos em 1899 a serem compensados (XXV) (saldo inicial igual ao saldo final do demonstrativo do exercício anterior)</v>
      </c>
      <c r="C92" s="233"/>
      <c r="D92" s="233"/>
      <c r="E92" s="233"/>
      <c r="F92" s="233"/>
      <c r="G92" s="233"/>
      <c r="H92" s="31">
        <f>'RREO A12 Valores Manuais'!H18</f>
        <v>0</v>
      </c>
      <c r="I92" s="31"/>
      <c r="J92" s="31"/>
      <c r="K92" s="31"/>
      <c r="L92" s="32">
        <f>IF(MONTH(paramDataBase)=12,H92-I92,H92-J92)</f>
        <v>0</v>
      </c>
    </row>
    <row r="93" spans="2:12" ht="30" customHeight="1" x14ac:dyDescent="0.25">
      <c r="B93" s="232" t="s">
        <v>110</v>
      </c>
      <c r="C93" s="233"/>
      <c r="D93" s="233"/>
      <c r="E93" s="233"/>
      <c r="F93" s="233"/>
      <c r="G93" s="233"/>
      <c r="H93" s="31">
        <f>'RREO A12 Valores Manuais'!H19</f>
        <v>0</v>
      </c>
      <c r="I93" s="31"/>
      <c r="J93" s="31"/>
      <c r="K93" s="31"/>
      <c r="L93" s="32">
        <f>IF(MONTH(paramDataBase)=12,H93-I93,H93-J93)</f>
        <v>0</v>
      </c>
    </row>
    <row r="94" spans="2:12" ht="15.75" customHeight="1" x14ac:dyDescent="0.25">
      <c r="B94" s="349" t="s">
        <v>970</v>
      </c>
      <c r="C94" s="350"/>
      <c r="D94" s="350"/>
      <c r="E94" s="350"/>
      <c r="F94" s="350"/>
      <c r="G94" s="350"/>
      <c r="H94" s="17">
        <f>SUM(H91:H93)</f>
        <v>0</v>
      </c>
      <c r="I94" s="17">
        <f>SUM(I91:I93)</f>
        <v>0</v>
      </c>
      <c r="J94" s="17">
        <f>SUM(J91:J93)</f>
        <v>0</v>
      </c>
      <c r="K94" s="17">
        <f>SUM(K91:K93)</f>
        <v>0</v>
      </c>
      <c r="L94" s="18">
        <f>IF(MONTH(paramDataBase)=12,H94-I94,H94-J94)</f>
        <v>0</v>
      </c>
    </row>
    <row r="95" spans="2:12" ht="15.75" customHeight="1" x14ac:dyDescent="0.25"/>
    <row r="96" spans="2:12" x14ac:dyDescent="0.25">
      <c r="B96" s="234" t="s">
        <v>971</v>
      </c>
      <c r="C96" s="251"/>
      <c r="D96" s="251"/>
      <c r="E96" s="251"/>
      <c r="F96" s="251"/>
      <c r="G96" s="251"/>
      <c r="H96" s="251"/>
      <c r="I96" s="251" t="s">
        <v>912</v>
      </c>
      <c r="J96" s="251" t="s">
        <v>132</v>
      </c>
      <c r="K96" s="241" t="s">
        <v>133</v>
      </c>
      <c r="L96" s="242"/>
    </row>
    <row r="97" spans="2:12" x14ac:dyDescent="0.25">
      <c r="B97" s="228"/>
      <c r="C97" s="244"/>
      <c r="D97" s="244"/>
      <c r="E97" s="244"/>
      <c r="F97" s="244"/>
      <c r="G97" s="244"/>
      <c r="H97" s="244"/>
      <c r="I97" s="244"/>
      <c r="J97" s="244"/>
      <c r="K97" s="4" t="s">
        <v>137</v>
      </c>
      <c r="L97" s="85" t="s">
        <v>136</v>
      </c>
    </row>
    <row r="98" spans="2:12" x14ac:dyDescent="0.25">
      <c r="B98" s="229"/>
      <c r="C98" s="252"/>
      <c r="D98" s="252"/>
      <c r="E98" s="252"/>
      <c r="F98" s="252"/>
      <c r="G98" s="252"/>
      <c r="H98" s="252"/>
      <c r="I98" s="252"/>
      <c r="J98" s="5" t="s">
        <v>138</v>
      </c>
      <c r="K98" s="5" t="s">
        <v>139</v>
      </c>
      <c r="L98" s="6" t="s">
        <v>913</v>
      </c>
    </row>
    <row r="99" spans="2:12" x14ac:dyDescent="0.25">
      <c r="B99" s="230" t="s">
        <v>972</v>
      </c>
      <c r="C99" s="231"/>
      <c r="D99" s="231"/>
      <c r="E99" s="231"/>
      <c r="F99" s="231"/>
      <c r="G99" s="231"/>
      <c r="H99" s="231"/>
      <c r="I99" s="65">
        <f>SUM(I100:I102)</f>
        <v>0</v>
      </c>
      <c r="J99" s="65">
        <f>SUM(J100:J102)</f>
        <v>0</v>
      </c>
      <c r="K99" s="65">
        <f>SUM(K100:K102)</f>
        <v>0</v>
      </c>
      <c r="L99" s="82" t="str">
        <f t="shared" ref="L99:L105" si="5">IFERROR(ROUND(K99/J99,4),"")</f>
        <v/>
      </c>
    </row>
    <row r="100" spans="2:12" x14ac:dyDescent="0.25">
      <c r="B100" s="283" t="s">
        <v>973</v>
      </c>
      <c r="C100" s="284"/>
      <c r="D100" s="284"/>
      <c r="E100" s="284"/>
      <c r="F100" s="284"/>
      <c r="G100" s="284"/>
      <c r="H100" s="284"/>
      <c r="I100" s="31"/>
      <c r="J100" s="31"/>
      <c r="K100" s="31"/>
      <c r="L100" s="83" t="str">
        <f t="shared" si="5"/>
        <v/>
      </c>
    </row>
    <row r="101" spans="2:12" x14ac:dyDescent="0.25">
      <c r="B101" s="283" t="s">
        <v>974</v>
      </c>
      <c r="C101" s="284"/>
      <c r="D101" s="284"/>
      <c r="E101" s="284"/>
      <c r="F101" s="284"/>
      <c r="G101" s="284"/>
      <c r="H101" s="284"/>
      <c r="I101" s="31"/>
      <c r="J101" s="31"/>
      <c r="K101" s="31"/>
      <c r="L101" s="83" t="str">
        <f t="shared" si="5"/>
        <v/>
      </c>
    </row>
    <row r="102" spans="2:12" x14ac:dyDescent="0.25">
      <c r="B102" s="283" t="s">
        <v>975</v>
      </c>
      <c r="C102" s="284"/>
      <c r="D102" s="284"/>
      <c r="E102" s="284"/>
      <c r="F102" s="284"/>
      <c r="G102" s="284"/>
      <c r="H102" s="284"/>
      <c r="I102" s="31"/>
      <c r="J102" s="31"/>
      <c r="K102" s="31"/>
      <c r="L102" s="83" t="str">
        <f t="shared" si="5"/>
        <v/>
      </c>
    </row>
    <row r="103" spans="2:12" x14ac:dyDescent="0.25">
      <c r="B103" s="266" t="s">
        <v>976</v>
      </c>
      <c r="C103" s="267"/>
      <c r="D103" s="267"/>
      <c r="E103" s="267"/>
      <c r="F103" s="267"/>
      <c r="G103" s="267"/>
      <c r="H103" s="267"/>
      <c r="I103" s="31"/>
      <c r="J103" s="31"/>
      <c r="K103" s="31"/>
      <c r="L103" s="83" t="str">
        <f t="shared" si="5"/>
        <v/>
      </c>
    </row>
    <row r="104" spans="2:12" x14ac:dyDescent="0.25">
      <c r="B104" s="266" t="s">
        <v>977</v>
      </c>
      <c r="C104" s="267"/>
      <c r="D104" s="267"/>
      <c r="E104" s="267"/>
      <c r="F104" s="267"/>
      <c r="G104" s="267"/>
      <c r="H104" s="267"/>
      <c r="I104" s="31"/>
      <c r="J104" s="31"/>
      <c r="K104" s="31"/>
      <c r="L104" s="83" t="str">
        <f t="shared" si="5"/>
        <v/>
      </c>
    </row>
    <row r="105" spans="2:12" ht="15.75" customHeight="1" x14ac:dyDescent="0.25">
      <c r="B105" s="349" t="s">
        <v>978</v>
      </c>
      <c r="C105" s="350"/>
      <c r="D105" s="350"/>
      <c r="E105" s="350"/>
      <c r="F105" s="350"/>
      <c r="G105" s="350"/>
      <c r="H105" s="350"/>
      <c r="I105" s="17">
        <f>I99+I103+I104</f>
        <v>0</v>
      </c>
      <c r="J105" s="17">
        <f>J99+J103+J104</f>
        <v>0</v>
      </c>
      <c r="K105" s="17">
        <f>K99+K103+K104</f>
        <v>0</v>
      </c>
      <c r="L105" s="92" t="str">
        <f t="shared" si="5"/>
        <v/>
      </c>
    </row>
    <row r="106" spans="2:12" ht="15.75" customHeight="1" x14ac:dyDescent="0.25"/>
    <row r="107" spans="2:12" x14ac:dyDescent="0.25">
      <c r="B107" s="382" t="s">
        <v>979</v>
      </c>
      <c r="C107" s="383"/>
      <c r="D107" s="251" t="s">
        <v>216</v>
      </c>
      <c r="E107" s="251" t="s">
        <v>217</v>
      </c>
      <c r="F107" s="241" t="s">
        <v>218</v>
      </c>
      <c r="G107" s="241"/>
      <c r="H107" s="241" t="s">
        <v>219</v>
      </c>
      <c r="I107" s="241"/>
      <c r="J107" s="241" t="s">
        <v>220</v>
      </c>
      <c r="K107" s="241"/>
      <c r="L107" s="42" t="s">
        <v>925</v>
      </c>
    </row>
    <row r="108" spans="2:12" x14ac:dyDescent="0.25">
      <c r="B108" s="384"/>
      <c r="C108" s="385"/>
      <c r="D108" s="244"/>
      <c r="E108" s="244"/>
      <c r="F108" s="4" t="s">
        <v>137</v>
      </c>
      <c r="G108" s="4" t="s">
        <v>136</v>
      </c>
      <c r="H108" s="4" t="s">
        <v>137</v>
      </c>
      <c r="I108" s="4" t="s">
        <v>136</v>
      </c>
      <c r="J108" s="4" t="s">
        <v>137</v>
      </c>
      <c r="K108" s="4" t="s">
        <v>136</v>
      </c>
      <c r="L108" s="85" t="s">
        <v>476</v>
      </c>
    </row>
    <row r="109" spans="2:12" x14ac:dyDescent="0.25">
      <c r="B109" s="386"/>
      <c r="C109" s="387"/>
      <c r="D109" s="252"/>
      <c r="E109" s="5" t="s">
        <v>141</v>
      </c>
      <c r="F109" s="5" t="s">
        <v>224</v>
      </c>
      <c r="G109" s="5" t="s">
        <v>926</v>
      </c>
      <c r="H109" s="5" t="s">
        <v>225</v>
      </c>
      <c r="I109" s="5" t="s">
        <v>927</v>
      </c>
      <c r="J109" s="5" t="s">
        <v>226</v>
      </c>
      <c r="K109" s="5" t="s">
        <v>928</v>
      </c>
      <c r="L109" s="6" t="s">
        <v>478</v>
      </c>
    </row>
    <row r="110" spans="2:12" x14ac:dyDescent="0.25">
      <c r="B110" s="230" t="s">
        <v>980</v>
      </c>
      <c r="C110" s="231"/>
      <c r="D110" s="65">
        <f>SUM(D111:D112)</f>
        <v>0</v>
      </c>
      <c r="E110" s="65">
        <f>SUM(E111:E112)</f>
        <v>0</v>
      </c>
      <c r="F110" s="65">
        <f>SUM(F111:F112)</f>
        <v>0</v>
      </c>
      <c r="G110" s="74" t="str">
        <f t="shared" ref="G110:G131" si="6">IFERROR(ROUND(F110/$E110,4),"")</f>
        <v/>
      </c>
      <c r="H110" s="65">
        <f>SUM(H111:H112)</f>
        <v>0</v>
      </c>
      <c r="I110" s="74" t="str">
        <f t="shared" ref="I110:I131" si="7">IFERROR(ROUND(H110/$E110,4),"")</f>
        <v/>
      </c>
      <c r="J110" s="65">
        <f>SUM(J111:J112)</f>
        <v>0</v>
      </c>
      <c r="K110" s="74" t="str">
        <f t="shared" ref="K110:K131" si="8">IFERROR(ROUND(J110/$E110,4),"")</f>
        <v/>
      </c>
      <c r="L110" s="66" t="str">
        <f t="shared" ref="L110:L131" si="9">IF(MONTH(paramDataBase)=12,F110-H110,"")</f>
        <v/>
      </c>
    </row>
    <row r="111" spans="2:12" x14ac:dyDescent="0.25">
      <c r="B111" s="283" t="s">
        <v>930</v>
      </c>
      <c r="C111" s="284"/>
      <c r="D111" s="31"/>
      <c r="E111" s="31"/>
      <c r="F111" s="31"/>
      <c r="G111" s="75" t="str">
        <f t="shared" si="6"/>
        <v/>
      </c>
      <c r="H111" s="31"/>
      <c r="I111" s="75" t="str">
        <f t="shared" si="7"/>
        <v/>
      </c>
      <c r="J111" s="31"/>
      <c r="K111" s="75" t="str">
        <f t="shared" si="8"/>
        <v/>
      </c>
      <c r="L111" s="32" t="str">
        <f t="shared" si="9"/>
        <v/>
      </c>
    </row>
    <row r="112" spans="2:12" x14ac:dyDescent="0.25">
      <c r="B112" s="283" t="s">
        <v>902</v>
      </c>
      <c r="C112" s="284"/>
      <c r="D112" s="31"/>
      <c r="E112" s="31"/>
      <c r="F112" s="31"/>
      <c r="G112" s="75" t="str">
        <f t="shared" si="6"/>
        <v/>
      </c>
      <c r="H112" s="31"/>
      <c r="I112" s="75" t="str">
        <f t="shared" si="7"/>
        <v/>
      </c>
      <c r="J112" s="31"/>
      <c r="K112" s="75" t="str">
        <f t="shared" si="8"/>
        <v/>
      </c>
      <c r="L112" s="32" t="str">
        <f t="shared" si="9"/>
        <v/>
      </c>
    </row>
    <row r="113" spans="2:12" x14ac:dyDescent="0.25">
      <c r="B113" s="266" t="s">
        <v>981</v>
      </c>
      <c r="C113" s="267"/>
      <c r="D113" s="31">
        <f>SUM(D114:D115)</f>
        <v>0</v>
      </c>
      <c r="E113" s="31">
        <f>SUM(E114:E115)</f>
        <v>0</v>
      </c>
      <c r="F113" s="31">
        <f>SUM(F114:F115)</f>
        <v>0</v>
      </c>
      <c r="G113" s="75" t="str">
        <f t="shared" si="6"/>
        <v/>
      </c>
      <c r="H113" s="31">
        <f>SUM(H114:H115)</f>
        <v>0</v>
      </c>
      <c r="I113" s="75" t="str">
        <f t="shared" si="7"/>
        <v/>
      </c>
      <c r="J113" s="31">
        <f>SUM(J114:J115)</f>
        <v>0</v>
      </c>
      <c r="K113" s="75" t="str">
        <f t="shared" si="8"/>
        <v/>
      </c>
      <c r="L113" s="32" t="str">
        <f t="shared" si="9"/>
        <v/>
      </c>
    </row>
    <row r="114" spans="2:12" x14ac:dyDescent="0.25">
      <c r="B114" s="283" t="s">
        <v>930</v>
      </c>
      <c r="C114" s="284"/>
      <c r="D114" s="31"/>
      <c r="E114" s="31"/>
      <c r="F114" s="31"/>
      <c r="G114" s="75" t="str">
        <f t="shared" si="6"/>
        <v/>
      </c>
      <c r="H114" s="31"/>
      <c r="I114" s="75" t="str">
        <f t="shared" si="7"/>
        <v/>
      </c>
      <c r="J114" s="31"/>
      <c r="K114" s="75" t="str">
        <f t="shared" si="8"/>
        <v/>
      </c>
      <c r="L114" s="32" t="str">
        <f t="shared" si="9"/>
        <v/>
      </c>
    </row>
    <row r="115" spans="2:12" x14ac:dyDescent="0.25">
      <c r="B115" s="283" t="s">
        <v>902</v>
      </c>
      <c r="C115" s="284"/>
      <c r="D115" s="31"/>
      <c r="E115" s="31"/>
      <c r="F115" s="31"/>
      <c r="G115" s="75" t="str">
        <f t="shared" si="6"/>
        <v/>
      </c>
      <c r="H115" s="31"/>
      <c r="I115" s="75" t="str">
        <f t="shared" si="7"/>
        <v/>
      </c>
      <c r="J115" s="31"/>
      <c r="K115" s="75" t="str">
        <f t="shared" si="8"/>
        <v/>
      </c>
      <c r="L115" s="32" t="str">
        <f t="shared" si="9"/>
        <v/>
      </c>
    </row>
    <row r="116" spans="2:12" x14ac:dyDescent="0.25">
      <c r="B116" s="266" t="s">
        <v>982</v>
      </c>
      <c r="C116" s="267"/>
      <c r="D116" s="31">
        <f>SUM(D117:D118)</f>
        <v>0</v>
      </c>
      <c r="E116" s="31">
        <f>SUM(E117:E118)</f>
        <v>0</v>
      </c>
      <c r="F116" s="31">
        <f>SUM(F117:F118)</f>
        <v>0</v>
      </c>
      <c r="G116" s="75" t="str">
        <f t="shared" si="6"/>
        <v/>
      </c>
      <c r="H116" s="31">
        <f>SUM(H117:H118)</f>
        <v>0</v>
      </c>
      <c r="I116" s="75" t="str">
        <f t="shared" si="7"/>
        <v/>
      </c>
      <c r="J116" s="31">
        <f>SUM(J117:J118)</f>
        <v>0</v>
      </c>
      <c r="K116" s="75" t="str">
        <f t="shared" si="8"/>
        <v/>
      </c>
      <c r="L116" s="32" t="str">
        <f t="shared" si="9"/>
        <v/>
      </c>
    </row>
    <row r="117" spans="2:12" x14ac:dyDescent="0.25">
      <c r="B117" s="283" t="s">
        <v>930</v>
      </c>
      <c r="C117" s="284"/>
      <c r="D117" s="31"/>
      <c r="E117" s="31"/>
      <c r="F117" s="31"/>
      <c r="G117" s="75" t="str">
        <f t="shared" si="6"/>
        <v/>
      </c>
      <c r="H117" s="31"/>
      <c r="I117" s="75" t="str">
        <f t="shared" si="7"/>
        <v/>
      </c>
      <c r="J117" s="31"/>
      <c r="K117" s="75" t="str">
        <f t="shared" si="8"/>
        <v/>
      </c>
      <c r="L117" s="32" t="str">
        <f t="shared" si="9"/>
        <v/>
      </c>
    </row>
    <row r="118" spans="2:12" x14ac:dyDescent="0.25">
      <c r="B118" s="283" t="s">
        <v>902</v>
      </c>
      <c r="C118" s="284"/>
      <c r="D118" s="31"/>
      <c r="E118" s="31"/>
      <c r="F118" s="31"/>
      <c r="G118" s="75" t="str">
        <f t="shared" si="6"/>
        <v/>
      </c>
      <c r="H118" s="31"/>
      <c r="I118" s="75" t="str">
        <f t="shared" si="7"/>
        <v/>
      </c>
      <c r="J118" s="31"/>
      <c r="K118" s="75" t="str">
        <f t="shared" si="8"/>
        <v/>
      </c>
      <c r="L118" s="32" t="str">
        <f t="shared" si="9"/>
        <v/>
      </c>
    </row>
    <row r="119" spans="2:12" x14ac:dyDescent="0.25">
      <c r="B119" s="266" t="s">
        <v>983</v>
      </c>
      <c r="C119" s="267"/>
      <c r="D119" s="31">
        <f>SUM(D120:D121)</f>
        <v>0</v>
      </c>
      <c r="E119" s="31">
        <f>SUM(E120:E121)</f>
        <v>0</v>
      </c>
      <c r="F119" s="31">
        <f>SUM(F120:F121)</f>
        <v>0</v>
      </c>
      <c r="G119" s="75" t="str">
        <f t="shared" si="6"/>
        <v/>
      </c>
      <c r="H119" s="31">
        <f>SUM(H120:H121)</f>
        <v>0</v>
      </c>
      <c r="I119" s="75" t="str">
        <f t="shared" si="7"/>
        <v/>
      </c>
      <c r="J119" s="31">
        <f>SUM(J120:J121)</f>
        <v>0</v>
      </c>
      <c r="K119" s="75" t="str">
        <f t="shared" si="8"/>
        <v/>
      </c>
      <c r="L119" s="32" t="str">
        <f t="shared" si="9"/>
        <v/>
      </c>
    </row>
    <row r="120" spans="2:12" x14ac:dyDescent="0.25">
      <c r="B120" s="283" t="s">
        <v>930</v>
      </c>
      <c r="C120" s="284"/>
      <c r="D120" s="31"/>
      <c r="E120" s="31"/>
      <c r="F120" s="31"/>
      <c r="G120" s="75" t="str">
        <f t="shared" si="6"/>
        <v/>
      </c>
      <c r="H120" s="31"/>
      <c r="I120" s="75" t="str">
        <f t="shared" si="7"/>
        <v/>
      </c>
      <c r="J120" s="31"/>
      <c r="K120" s="75" t="str">
        <f t="shared" si="8"/>
        <v/>
      </c>
      <c r="L120" s="32" t="str">
        <f t="shared" si="9"/>
        <v/>
      </c>
    </row>
    <row r="121" spans="2:12" x14ac:dyDescent="0.25">
      <c r="B121" s="283" t="s">
        <v>902</v>
      </c>
      <c r="C121" s="284"/>
      <c r="D121" s="31"/>
      <c r="E121" s="31"/>
      <c r="F121" s="31"/>
      <c r="G121" s="75" t="str">
        <f t="shared" si="6"/>
        <v/>
      </c>
      <c r="H121" s="31"/>
      <c r="I121" s="75" t="str">
        <f t="shared" si="7"/>
        <v/>
      </c>
      <c r="J121" s="31"/>
      <c r="K121" s="75" t="str">
        <f t="shared" si="8"/>
        <v/>
      </c>
      <c r="L121" s="32" t="str">
        <f t="shared" si="9"/>
        <v/>
      </c>
    </row>
    <row r="122" spans="2:12" x14ac:dyDescent="0.25">
      <c r="B122" s="266" t="s">
        <v>984</v>
      </c>
      <c r="C122" s="267"/>
      <c r="D122" s="31">
        <f>SUM(D123:D124)</f>
        <v>0</v>
      </c>
      <c r="E122" s="31">
        <f>SUM(E123:E124)</f>
        <v>0</v>
      </c>
      <c r="F122" s="31">
        <f>SUM(F123:F124)</f>
        <v>0</v>
      </c>
      <c r="G122" s="75" t="str">
        <f t="shared" si="6"/>
        <v/>
      </c>
      <c r="H122" s="31">
        <f>SUM(H123:H124)</f>
        <v>0</v>
      </c>
      <c r="I122" s="75" t="str">
        <f t="shared" si="7"/>
        <v/>
      </c>
      <c r="J122" s="31">
        <f>SUM(J123:J124)</f>
        <v>0</v>
      </c>
      <c r="K122" s="75" t="str">
        <f t="shared" si="8"/>
        <v/>
      </c>
      <c r="L122" s="32" t="str">
        <f t="shared" si="9"/>
        <v/>
      </c>
    </row>
    <row r="123" spans="2:12" x14ac:dyDescent="0.25">
      <c r="B123" s="283" t="s">
        <v>930</v>
      </c>
      <c r="C123" s="284"/>
      <c r="D123" s="31"/>
      <c r="E123" s="31"/>
      <c r="F123" s="31"/>
      <c r="G123" s="75" t="str">
        <f t="shared" si="6"/>
        <v/>
      </c>
      <c r="H123" s="31"/>
      <c r="I123" s="75" t="str">
        <f t="shared" si="7"/>
        <v/>
      </c>
      <c r="J123" s="31"/>
      <c r="K123" s="75" t="str">
        <f t="shared" si="8"/>
        <v/>
      </c>
      <c r="L123" s="32" t="str">
        <f t="shared" si="9"/>
        <v/>
      </c>
    </row>
    <row r="124" spans="2:12" x14ac:dyDescent="0.25">
      <c r="B124" s="283" t="s">
        <v>902</v>
      </c>
      <c r="C124" s="284"/>
      <c r="D124" s="31"/>
      <c r="E124" s="31"/>
      <c r="F124" s="31"/>
      <c r="G124" s="75" t="str">
        <f t="shared" si="6"/>
        <v/>
      </c>
      <c r="H124" s="31"/>
      <c r="I124" s="75" t="str">
        <f t="shared" si="7"/>
        <v/>
      </c>
      <c r="J124" s="31"/>
      <c r="K124" s="75" t="str">
        <f t="shared" si="8"/>
        <v/>
      </c>
      <c r="L124" s="32" t="str">
        <f t="shared" si="9"/>
        <v/>
      </c>
    </row>
    <row r="125" spans="2:12" x14ac:dyDescent="0.25">
      <c r="B125" s="266" t="s">
        <v>985</v>
      </c>
      <c r="C125" s="267"/>
      <c r="D125" s="31">
        <f>SUM(D126:D127)</f>
        <v>0</v>
      </c>
      <c r="E125" s="31">
        <f>SUM(E126:E127)</f>
        <v>0</v>
      </c>
      <c r="F125" s="31">
        <f>SUM(F126:F127)</f>
        <v>0</v>
      </c>
      <c r="G125" s="75" t="str">
        <f t="shared" si="6"/>
        <v/>
      </c>
      <c r="H125" s="31">
        <f>SUM(H126:H127)</f>
        <v>0</v>
      </c>
      <c r="I125" s="75" t="str">
        <f t="shared" si="7"/>
        <v/>
      </c>
      <c r="J125" s="31">
        <f>SUM(J126:J127)</f>
        <v>0</v>
      </c>
      <c r="K125" s="75" t="str">
        <f t="shared" si="8"/>
        <v/>
      </c>
      <c r="L125" s="32" t="str">
        <f t="shared" si="9"/>
        <v/>
      </c>
    </row>
    <row r="126" spans="2:12" x14ac:dyDescent="0.25">
      <c r="B126" s="283" t="s">
        <v>930</v>
      </c>
      <c r="C126" s="284"/>
      <c r="D126" s="31"/>
      <c r="E126" s="31"/>
      <c r="F126" s="31"/>
      <c r="G126" s="75" t="str">
        <f t="shared" si="6"/>
        <v/>
      </c>
      <c r="H126" s="31"/>
      <c r="I126" s="75" t="str">
        <f t="shared" si="7"/>
        <v/>
      </c>
      <c r="J126" s="31"/>
      <c r="K126" s="75" t="str">
        <f t="shared" si="8"/>
        <v/>
      </c>
      <c r="L126" s="32" t="str">
        <f t="shared" si="9"/>
        <v/>
      </c>
    </row>
    <row r="127" spans="2:12" x14ac:dyDescent="0.25">
      <c r="B127" s="283" t="s">
        <v>902</v>
      </c>
      <c r="C127" s="284"/>
      <c r="D127" s="31"/>
      <c r="E127" s="31"/>
      <c r="F127" s="31"/>
      <c r="G127" s="75" t="str">
        <f t="shared" si="6"/>
        <v/>
      </c>
      <c r="H127" s="31"/>
      <c r="I127" s="75" t="str">
        <f t="shared" si="7"/>
        <v/>
      </c>
      <c r="J127" s="31"/>
      <c r="K127" s="75" t="str">
        <f t="shared" si="8"/>
        <v/>
      </c>
      <c r="L127" s="32" t="str">
        <f t="shared" si="9"/>
        <v/>
      </c>
    </row>
    <row r="128" spans="2:12" x14ac:dyDescent="0.25">
      <c r="B128" s="266" t="s">
        <v>986</v>
      </c>
      <c r="C128" s="267"/>
      <c r="D128" s="31">
        <f>SUM(D129:D130)</f>
        <v>0</v>
      </c>
      <c r="E128" s="31">
        <f>SUM(E129:E130)</f>
        <v>0</v>
      </c>
      <c r="F128" s="31">
        <f>SUM(F129:F130)</f>
        <v>0</v>
      </c>
      <c r="G128" s="75" t="str">
        <f t="shared" si="6"/>
        <v/>
      </c>
      <c r="H128" s="31">
        <f>SUM(H129:H130)</f>
        <v>0</v>
      </c>
      <c r="I128" s="75" t="str">
        <f t="shared" si="7"/>
        <v/>
      </c>
      <c r="J128" s="31">
        <f>SUM(J129:J130)</f>
        <v>0</v>
      </c>
      <c r="K128" s="75" t="str">
        <f t="shared" si="8"/>
        <v/>
      </c>
      <c r="L128" s="32" t="str">
        <f t="shared" si="9"/>
        <v/>
      </c>
    </row>
    <row r="129" spans="2:12" x14ac:dyDescent="0.25">
      <c r="B129" s="283" t="s">
        <v>930</v>
      </c>
      <c r="C129" s="284"/>
      <c r="D129" s="31"/>
      <c r="E129" s="31"/>
      <c r="F129" s="31"/>
      <c r="G129" s="75" t="str">
        <f t="shared" si="6"/>
        <v/>
      </c>
      <c r="H129" s="31"/>
      <c r="I129" s="75" t="str">
        <f t="shared" si="7"/>
        <v/>
      </c>
      <c r="J129" s="31"/>
      <c r="K129" s="75" t="str">
        <f t="shared" si="8"/>
        <v/>
      </c>
      <c r="L129" s="32" t="str">
        <f t="shared" si="9"/>
        <v/>
      </c>
    </row>
    <row r="130" spans="2:12" x14ac:dyDescent="0.25">
      <c r="B130" s="285" t="s">
        <v>902</v>
      </c>
      <c r="C130" s="286"/>
      <c r="D130" s="68"/>
      <c r="E130" s="68"/>
      <c r="F130" s="68"/>
      <c r="G130" s="77" t="str">
        <f t="shared" si="6"/>
        <v/>
      </c>
      <c r="H130" s="68"/>
      <c r="I130" s="77" t="str">
        <f t="shared" si="7"/>
        <v/>
      </c>
      <c r="J130" s="68"/>
      <c r="K130" s="77" t="str">
        <f t="shared" si="8"/>
        <v/>
      </c>
      <c r="L130" s="69" t="str">
        <f t="shared" si="9"/>
        <v/>
      </c>
    </row>
    <row r="131" spans="2:12" ht="46.5" customHeight="1" x14ac:dyDescent="0.25">
      <c r="B131" s="393" t="s">
        <v>987</v>
      </c>
      <c r="C131" s="394"/>
      <c r="D131" s="17">
        <f>D110+D113+D116+D119+D122+D125+D128</f>
        <v>0</v>
      </c>
      <c r="E131" s="17">
        <f>E110+E113+E116+E119+E122+E125+E128</f>
        <v>0</v>
      </c>
      <c r="F131" s="17">
        <f>F110+F113+F116+F119+F122+F125+F128</f>
        <v>0</v>
      </c>
      <c r="G131" s="19" t="str">
        <f t="shared" si="6"/>
        <v/>
      </c>
      <c r="H131" s="17">
        <f>H110+H113+H116+H119+H122+H125+H128</f>
        <v>0</v>
      </c>
      <c r="I131" s="19" t="str">
        <f t="shared" si="7"/>
        <v/>
      </c>
      <c r="J131" s="17">
        <f>J110+J113+J116+J119+J122+J125+J128</f>
        <v>0</v>
      </c>
      <c r="K131" s="19" t="str">
        <f t="shared" si="8"/>
        <v/>
      </c>
      <c r="L131" s="18" t="str">
        <f t="shared" si="9"/>
        <v/>
      </c>
    </row>
    <row r="132" spans="2:12" ht="15.75" customHeight="1" x14ac:dyDescent="0.25"/>
    <row r="133" spans="2:12" x14ac:dyDescent="0.25">
      <c r="B133" s="382" t="s">
        <v>988</v>
      </c>
      <c r="C133" s="383"/>
      <c r="D133" s="251" t="s">
        <v>216</v>
      </c>
      <c r="E133" s="251" t="s">
        <v>217</v>
      </c>
      <c r="F133" s="241" t="s">
        <v>218</v>
      </c>
      <c r="G133" s="241"/>
      <c r="H133" s="241" t="s">
        <v>219</v>
      </c>
      <c r="I133" s="241"/>
      <c r="J133" s="241" t="s">
        <v>220</v>
      </c>
      <c r="K133" s="241"/>
      <c r="L133" s="42" t="s">
        <v>925</v>
      </c>
    </row>
    <row r="134" spans="2:12" x14ac:dyDescent="0.25">
      <c r="B134" s="384"/>
      <c r="C134" s="385"/>
      <c r="D134" s="244"/>
      <c r="E134" s="244"/>
      <c r="F134" s="4" t="s">
        <v>137</v>
      </c>
      <c r="G134" s="4" t="s">
        <v>136</v>
      </c>
      <c r="H134" s="4" t="s">
        <v>137</v>
      </c>
      <c r="I134" s="4" t="s">
        <v>136</v>
      </c>
      <c r="J134" s="4" t="s">
        <v>137</v>
      </c>
      <c r="K134" s="4" t="s">
        <v>136</v>
      </c>
      <c r="L134" s="85" t="s">
        <v>476</v>
      </c>
    </row>
    <row r="135" spans="2:12" x14ac:dyDescent="0.25">
      <c r="B135" s="386"/>
      <c r="C135" s="387"/>
      <c r="D135" s="252"/>
      <c r="E135" s="5" t="s">
        <v>141</v>
      </c>
      <c r="F135" s="5" t="s">
        <v>224</v>
      </c>
      <c r="G135" s="5" t="s">
        <v>926</v>
      </c>
      <c r="H135" s="5" t="s">
        <v>225</v>
      </c>
      <c r="I135" s="5" t="s">
        <v>927</v>
      </c>
      <c r="J135" s="5" t="s">
        <v>226</v>
      </c>
      <c r="K135" s="5" t="s">
        <v>928</v>
      </c>
      <c r="L135" s="6" t="s">
        <v>478</v>
      </c>
    </row>
    <row r="136" spans="2:12" x14ac:dyDescent="0.25">
      <c r="B136" s="230" t="s">
        <v>989</v>
      </c>
      <c r="C136" s="231"/>
      <c r="D136" s="65">
        <f>D29+D110</f>
        <v>0</v>
      </c>
      <c r="E136" s="65">
        <f>E29+E110</f>
        <v>0</v>
      </c>
      <c r="F136" s="65">
        <f>F29+F110</f>
        <v>0</v>
      </c>
      <c r="G136" s="74" t="str">
        <f t="shared" ref="G136:G143" si="10">IFERROR(ROUND(F136/$E136,4),"")</f>
        <v/>
      </c>
      <c r="H136" s="65">
        <f>H29+H110</f>
        <v>0</v>
      </c>
      <c r="I136" s="74" t="str">
        <f t="shared" ref="I136:I143" si="11">IFERROR(ROUND(H136/$E136,4),"")</f>
        <v/>
      </c>
      <c r="J136" s="65">
        <f>J29+J110</f>
        <v>0</v>
      </c>
      <c r="K136" s="74" t="str">
        <f t="shared" ref="K136:K143" si="12">IFERROR(ROUND(J136/$E136,4),"")</f>
        <v/>
      </c>
      <c r="L136" s="66" t="str">
        <f t="shared" ref="L136:L143" si="13">IF(MONTH(paramDataBase)=12,F136-H136,"")</f>
        <v/>
      </c>
    </row>
    <row r="137" spans="2:12" x14ac:dyDescent="0.25">
      <c r="B137" s="266" t="s">
        <v>990</v>
      </c>
      <c r="C137" s="267"/>
      <c r="D137" s="31">
        <f>D32+D113</f>
        <v>0</v>
      </c>
      <c r="E137" s="31">
        <f>E32+E113</f>
        <v>0</v>
      </c>
      <c r="F137" s="31">
        <f>F32+F113</f>
        <v>0</v>
      </c>
      <c r="G137" s="75" t="str">
        <f t="shared" si="10"/>
        <v/>
      </c>
      <c r="H137" s="31">
        <f>H32+H113</f>
        <v>0</v>
      </c>
      <c r="I137" s="75" t="str">
        <f t="shared" si="11"/>
        <v/>
      </c>
      <c r="J137" s="31">
        <f>J32+J113</f>
        <v>0</v>
      </c>
      <c r="K137" s="75" t="str">
        <f t="shared" si="12"/>
        <v/>
      </c>
      <c r="L137" s="32" t="str">
        <f t="shared" si="13"/>
        <v/>
      </c>
    </row>
    <row r="138" spans="2:12" x14ac:dyDescent="0.25">
      <c r="B138" s="266" t="s">
        <v>991</v>
      </c>
      <c r="C138" s="267"/>
      <c r="D138" s="31">
        <f>D35+D116</f>
        <v>0</v>
      </c>
      <c r="E138" s="31">
        <f>E35+E116</f>
        <v>0</v>
      </c>
      <c r="F138" s="31">
        <f>F35+F116</f>
        <v>0</v>
      </c>
      <c r="G138" s="75" t="str">
        <f t="shared" si="10"/>
        <v/>
      </c>
      <c r="H138" s="31">
        <f>H35+H116</f>
        <v>0</v>
      </c>
      <c r="I138" s="75" t="str">
        <f t="shared" si="11"/>
        <v/>
      </c>
      <c r="J138" s="31">
        <f>J35+J116</f>
        <v>0</v>
      </c>
      <c r="K138" s="75" t="str">
        <f t="shared" si="12"/>
        <v/>
      </c>
      <c r="L138" s="32" t="str">
        <f t="shared" si="13"/>
        <v/>
      </c>
    </row>
    <row r="139" spans="2:12" x14ac:dyDescent="0.25">
      <c r="B139" s="266" t="s">
        <v>992</v>
      </c>
      <c r="C139" s="267"/>
      <c r="D139" s="31">
        <f>D38+D119</f>
        <v>0</v>
      </c>
      <c r="E139" s="31">
        <f>E38+E119</f>
        <v>0</v>
      </c>
      <c r="F139" s="31">
        <f>F38+F119</f>
        <v>0</v>
      </c>
      <c r="G139" s="75" t="str">
        <f t="shared" si="10"/>
        <v/>
      </c>
      <c r="H139" s="31">
        <f>H38+H119</f>
        <v>0</v>
      </c>
      <c r="I139" s="75" t="str">
        <f t="shared" si="11"/>
        <v/>
      </c>
      <c r="J139" s="31">
        <f>J38+J119</f>
        <v>0</v>
      </c>
      <c r="K139" s="75" t="str">
        <f t="shared" si="12"/>
        <v/>
      </c>
      <c r="L139" s="32" t="str">
        <f t="shared" si="13"/>
        <v/>
      </c>
    </row>
    <row r="140" spans="2:12" x14ac:dyDescent="0.25">
      <c r="B140" s="266" t="s">
        <v>993</v>
      </c>
      <c r="C140" s="267"/>
      <c r="D140" s="31">
        <f>D41+D122</f>
        <v>0</v>
      </c>
      <c r="E140" s="31">
        <f>E41+E122</f>
        <v>0</v>
      </c>
      <c r="F140" s="31">
        <f>F41+F122</f>
        <v>0</v>
      </c>
      <c r="G140" s="75" t="str">
        <f t="shared" si="10"/>
        <v/>
      </c>
      <c r="H140" s="31">
        <f>H41+H122</f>
        <v>0</v>
      </c>
      <c r="I140" s="75" t="str">
        <f t="shared" si="11"/>
        <v/>
      </c>
      <c r="J140" s="31">
        <f>J41+J122</f>
        <v>0</v>
      </c>
      <c r="K140" s="75" t="str">
        <f t="shared" si="12"/>
        <v/>
      </c>
      <c r="L140" s="32" t="str">
        <f t="shared" si="13"/>
        <v/>
      </c>
    </row>
    <row r="141" spans="2:12" x14ac:dyDescent="0.25">
      <c r="B141" s="266" t="s">
        <v>994</v>
      </c>
      <c r="C141" s="267"/>
      <c r="D141" s="31">
        <f>D44+D125</f>
        <v>0</v>
      </c>
      <c r="E141" s="31">
        <f>E44+E125</f>
        <v>0</v>
      </c>
      <c r="F141" s="31">
        <f>F44+F125</f>
        <v>0</v>
      </c>
      <c r="G141" s="75" t="str">
        <f t="shared" si="10"/>
        <v/>
      </c>
      <c r="H141" s="31">
        <f>H44+H125</f>
        <v>0</v>
      </c>
      <c r="I141" s="75" t="str">
        <f t="shared" si="11"/>
        <v/>
      </c>
      <c r="J141" s="31">
        <f>J44+J125</f>
        <v>0</v>
      </c>
      <c r="K141" s="75" t="str">
        <f t="shared" si="12"/>
        <v/>
      </c>
      <c r="L141" s="32" t="str">
        <f t="shared" si="13"/>
        <v/>
      </c>
    </row>
    <row r="142" spans="2:12" x14ac:dyDescent="0.25">
      <c r="B142" s="266" t="s">
        <v>995</v>
      </c>
      <c r="C142" s="267"/>
      <c r="D142" s="31">
        <f>D47+D128</f>
        <v>0</v>
      </c>
      <c r="E142" s="31">
        <f>E47+E128</f>
        <v>0</v>
      </c>
      <c r="F142" s="31">
        <f>F47+F128</f>
        <v>0</v>
      </c>
      <c r="G142" s="75" t="str">
        <f t="shared" si="10"/>
        <v/>
      </c>
      <c r="H142" s="31">
        <f>H47+H128</f>
        <v>0</v>
      </c>
      <c r="I142" s="75" t="str">
        <f t="shared" si="11"/>
        <v/>
      </c>
      <c r="J142" s="31">
        <f>J47+J128</f>
        <v>0</v>
      </c>
      <c r="K142" s="75" t="str">
        <f t="shared" si="12"/>
        <v/>
      </c>
      <c r="L142" s="32" t="str">
        <f t="shared" si="13"/>
        <v/>
      </c>
    </row>
    <row r="143" spans="2:12" ht="15.75" customHeight="1" x14ac:dyDescent="0.25">
      <c r="B143" s="393" t="s">
        <v>996</v>
      </c>
      <c r="C143" s="394"/>
      <c r="D143" s="17">
        <f>SUM(D136:D142)</f>
        <v>0</v>
      </c>
      <c r="E143" s="17">
        <f>SUM(E136:E142)</f>
        <v>0</v>
      </c>
      <c r="F143" s="17">
        <f>SUM(F136:F142)</f>
        <v>0</v>
      </c>
      <c r="G143" s="19" t="str">
        <f t="shared" si="10"/>
        <v/>
      </c>
      <c r="H143" s="17">
        <f>SUM(H136:H142)</f>
        <v>0</v>
      </c>
      <c r="I143" s="19" t="str">
        <f t="shared" si="11"/>
        <v/>
      </c>
      <c r="J143" s="17">
        <f>SUM(J136:J142)</f>
        <v>0</v>
      </c>
      <c r="K143" s="19" t="str">
        <f t="shared" si="12"/>
        <v/>
      </c>
      <c r="L143" s="18" t="str">
        <f t="shared" si="13"/>
        <v/>
      </c>
    </row>
    <row r="144" spans="2:12" x14ac:dyDescent="0.25">
      <c r="B144" s="261" t="str">
        <f ca="1">_xlfn.CONCAT("Fonte: ",paramFonte,". Emissão em ",TEXT(NOW(),"dd/mm/aaaa \à\s hh:mm:ss"))</f>
        <v>Fonte: Sistema MS Excel + SIAPC/PAD, Unidade Responsável: Secretaria da Fazenda / Setor de Contabilidade. Emissão em 09/05/2024 às 09:42:51</v>
      </c>
      <c r="C144" s="261"/>
      <c r="D144" s="261"/>
      <c r="E144" s="261"/>
      <c r="F144" s="261"/>
      <c r="G144" s="261"/>
      <c r="H144" s="261"/>
      <c r="I144" s="261"/>
      <c r="J144" s="261"/>
      <c r="K144" s="261"/>
      <c r="L144" s="261"/>
    </row>
    <row r="146" spans="2:12" x14ac:dyDescent="0.25">
      <c r="B146" t="s">
        <v>253</v>
      </c>
    </row>
    <row r="147" spans="2:12" ht="15" customHeight="1" x14ac:dyDescent="0.25">
      <c r="B147" s="262" t="s">
        <v>997</v>
      </c>
      <c r="C147" s="262"/>
      <c r="D147" s="262"/>
      <c r="E147" s="262"/>
      <c r="F147" s="262"/>
      <c r="G147" s="262"/>
      <c r="H147" s="262"/>
      <c r="I147" s="262"/>
      <c r="J147" s="262"/>
      <c r="K147" s="262"/>
      <c r="L147" s="262"/>
    </row>
    <row r="148" spans="2:12" ht="30.75" customHeight="1" x14ac:dyDescent="0.25">
      <c r="B148" s="262" t="s">
        <v>998</v>
      </c>
      <c r="C148" s="262"/>
      <c r="D148" s="262"/>
      <c r="E148" s="262"/>
      <c r="F148" s="262"/>
      <c r="G148" s="262"/>
      <c r="H148" s="262"/>
      <c r="I148" s="262"/>
      <c r="J148" s="262"/>
      <c r="K148" s="262"/>
      <c r="L148" s="262"/>
    </row>
    <row r="149" spans="2:12" x14ac:dyDescent="0.25">
      <c r="B149" s="247" t="str">
        <f>IFERROR(_xlfn.CONCAT(_xlfn._xlws.FILTER(tblNotasExplicativas[Nota Com Separador],tblNotasExplicativas[Demonstrativo]="RREO A12")),"")</f>
        <v xml:space="preserve">Na apuração da despesa com ASPS foi considerado o valor executado via consórcios públicos, somando um total de R$ 0.000,00 </v>
      </c>
      <c r="C149" s="247"/>
      <c r="D149" s="247"/>
      <c r="E149" s="247"/>
      <c r="F149" s="247"/>
      <c r="G149" s="247"/>
      <c r="H149" s="247"/>
      <c r="I149" s="247"/>
      <c r="J149" s="247"/>
      <c r="K149" s="247"/>
      <c r="L149" s="247"/>
    </row>
    <row r="154" spans="2:12" x14ac:dyDescent="0.25">
      <c r="B154" s="247" t="str">
        <f>paramNomeContador</f>
        <v>EVERTON DA ROSA</v>
      </c>
      <c r="C154" s="247"/>
      <c r="D154" s="247"/>
      <c r="F154" s="247" t="str">
        <f>paramNomeSecretario</f>
        <v>ANA PAULA RODRIGUES SCHNEIDER SCHMIDT</v>
      </c>
      <c r="G154" s="247"/>
      <c r="H154" s="247"/>
      <c r="I154" s="247"/>
      <c r="K154" s="247" t="str">
        <f>paramNomePrefeito</f>
        <v>JOÃO EDÉCIO GRAEF</v>
      </c>
      <c r="L154" s="247"/>
    </row>
    <row r="155" spans="2:12" x14ac:dyDescent="0.25">
      <c r="B155" s="247" t="str">
        <f>paramCargoContador</f>
        <v>Contador</v>
      </c>
      <c r="C155" s="247"/>
      <c r="D155" s="247"/>
      <c r="F155" s="247" t="str">
        <f>paramCargoSecretario</f>
        <v>Secretária da Fazenda</v>
      </c>
      <c r="G155" s="247"/>
      <c r="H155" s="247"/>
      <c r="I155" s="247"/>
      <c r="K155" s="247" t="str">
        <f>paramCargoPrefeito</f>
        <v>Prefeito Municipal</v>
      </c>
      <c r="L155" s="247"/>
    </row>
    <row r="156" spans="2:12" x14ac:dyDescent="0.25">
      <c r="B156" s="247" t="str">
        <f>_xlfn.CONCAT("CRC ",paramCRCContador)</f>
        <v>CRC 076595/O-3</v>
      </c>
      <c r="C156" s="247"/>
      <c r="D156" s="247"/>
    </row>
  </sheetData>
  <mergeCells count="149">
    <mergeCell ref="B143:C143"/>
    <mergeCell ref="B144:L144"/>
    <mergeCell ref="B147:L147"/>
    <mergeCell ref="B148:L148"/>
    <mergeCell ref="B149:L149"/>
    <mergeCell ref="B155:D155"/>
    <mergeCell ref="B156:D156"/>
    <mergeCell ref="F154:I154"/>
    <mergeCell ref="F155:I155"/>
    <mergeCell ref="K154:L154"/>
    <mergeCell ref="K155:L155"/>
    <mergeCell ref="B154:D154"/>
    <mergeCell ref="B141:C141"/>
    <mergeCell ref="B142:C142"/>
    <mergeCell ref="B139:C139"/>
    <mergeCell ref="B140:C140"/>
    <mergeCell ref="B137:C137"/>
    <mergeCell ref="B138:C138"/>
    <mergeCell ref="H133:I133"/>
    <mergeCell ref="J133:K133"/>
    <mergeCell ref="B136:C136"/>
    <mergeCell ref="B127:C127"/>
    <mergeCell ref="B128:C128"/>
    <mergeCell ref="B129:C129"/>
    <mergeCell ref="B130:C130"/>
    <mergeCell ref="B131:C131"/>
    <mergeCell ref="B133:C135"/>
    <mergeCell ref="D133:D135"/>
    <mergeCell ref="E133:E134"/>
    <mergeCell ref="F133:G133"/>
    <mergeCell ref="B126:C126"/>
    <mergeCell ref="B115:C115"/>
    <mergeCell ref="B116:C116"/>
    <mergeCell ref="B117:C117"/>
    <mergeCell ref="B118:C118"/>
    <mergeCell ref="B119:C119"/>
    <mergeCell ref="B120:C120"/>
    <mergeCell ref="B121:C121"/>
    <mergeCell ref="B122:C122"/>
    <mergeCell ref="B123:C123"/>
    <mergeCell ref="B124:C124"/>
    <mergeCell ref="B125:C125"/>
    <mergeCell ref="B114:C114"/>
    <mergeCell ref="B103:H103"/>
    <mergeCell ref="B104:H104"/>
    <mergeCell ref="B105:H105"/>
    <mergeCell ref="B107:C109"/>
    <mergeCell ref="D107:D109"/>
    <mergeCell ref="E107:E108"/>
    <mergeCell ref="F107:G107"/>
    <mergeCell ref="H107:I107"/>
    <mergeCell ref="J107:K107"/>
    <mergeCell ref="B110:C110"/>
    <mergeCell ref="B111:C111"/>
    <mergeCell ref="B112:C112"/>
    <mergeCell ref="B113:C113"/>
    <mergeCell ref="B102:H102"/>
    <mergeCell ref="B91:G91"/>
    <mergeCell ref="B92:G92"/>
    <mergeCell ref="B93:G93"/>
    <mergeCell ref="B94:G94"/>
    <mergeCell ref="B96:H98"/>
    <mergeCell ref="J96:J97"/>
    <mergeCell ref="K96:L96"/>
    <mergeCell ref="B99:H99"/>
    <mergeCell ref="B100:H100"/>
    <mergeCell ref="B101:H101"/>
    <mergeCell ref="I96:I98"/>
    <mergeCell ref="J59:L59"/>
    <mergeCell ref="J60:L60"/>
    <mergeCell ref="B84:K84"/>
    <mergeCell ref="B85:K85"/>
    <mergeCell ref="H87:L87"/>
    <mergeCell ref="B87:G90"/>
    <mergeCell ref="H88:H89"/>
    <mergeCell ref="I88:K88"/>
    <mergeCell ref="B70:G70"/>
    <mergeCell ref="B71:G71"/>
    <mergeCell ref="B72:G72"/>
    <mergeCell ref="B74:L74"/>
    <mergeCell ref="B75:B76"/>
    <mergeCell ref="B83:K83"/>
    <mergeCell ref="B59:I59"/>
    <mergeCell ref="B60:I60"/>
    <mergeCell ref="B61:I61"/>
    <mergeCell ref="B62:I62"/>
    <mergeCell ref="B63:I63"/>
    <mergeCell ref="B65:G68"/>
    <mergeCell ref="H65:L65"/>
    <mergeCell ref="I66:K66"/>
    <mergeCell ref="L66:L67"/>
    <mergeCell ref="B69:G69"/>
    <mergeCell ref="B58:I58"/>
    <mergeCell ref="B43:C43"/>
    <mergeCell ref="B45:C45"/>
    <mergeCell ref="B46:C46"/>
    <mergeCell ref="B48:C48"/>
    <mergeCell ref="B49:C49"/>
    <mergeCell ref="B50:C50"/>
    <mergeCell ref="B52:I53"/>
    <mergeCell ref="B54:I54"/>
    <mergeCell ref="B55:I55"/>
    <mergeCell ref="B56:I56"/>
    <mergeCell ref="B57:I57"/>
    <mergeCell ref="B41:C41"/>
    <mergeCell ref="B44:C44"/>
    <mergeCell ref="B47:C47"/>
    <mergeCell ref="B33:C33"/>
    <mergeCell ref="B34:C34"/>
    <mergeCell ref="B36:C36"/>
    <mergeCell ref="B37:C37"/>
    <mergeCell ref="B39:C39"/>
    <mergeCell ref="B40:C40"/>
    <mergeCell ref="B42:C42"/>
    <mergeCell ref="J26:K26"/>
    <mergeCell ref="B29:C29"/>
    <mergeCell ref="B20:H20"/>
    <mergeCell ref="B21:H21"/>
    <mergeCell ref="B22:H22"/>
    <mergeCell ref="B23:H23"/>
    <mergeCell ref="B24:H24"/>
    <mergeCell ref="B26:C28"/>
    <mergeCell ref="D26:D28"/>
    <mergeCell ref="E26:E27"/>
    <mergeCell ref="F26:G26"/>
    <mergeCell ref="H26:I26"/>
    <mergeCell ref="B14:H14"/>
    <mergeCell ref="B15:H15"/>
    <mergeCell ref="B16:H16"/>
    <mergeCell ref="B17:H17"/>
    <mergeCell ref="B30:C30"/>
    <mergeCell ref="B31:C31"/>
    <mergeCell ref="B32:C32"/>
    <mergeCell ref="B35:C35"/>
    <mergeCell ref="B38:C38"/>
    <mergeCell ref="B18:H18"/>
    <mergeCell ref="B19:H19"/>
    <mergeCell ref="B2:L2"/>
    <mergeCell ref="B3:L3"/>
    <mergeCell ref="B4:L4"/>
    <mergeCell ref="B5:L5"/>
    <mergeCell ref="B6:L6"/>
    <mergeCell ref="K9:L9"/>
    <mergeCell ref="B9:H11"/>
    <mergeCell ref="B12:H12"/>
    <mergeCell ref="B13:H13"/>
    <mergeCell ref="B8:K8"/>
    <mergeCell ref="I9:I11"/>
    <mergeCell ref="J9:J10"/>
  </mergeCells>
  <pageMargins left="0.25" right="0.25" top="0.75" bottom="0.75" header="0.3" footer="0.3"/>
  <pageSetup paperSize="9" scale="40" fitToHeight="0" orientation="portrait" r:id="rId1"/>
  <rowBreaks count="1" manualBreakCount="1">
    <brk id="106" max="11" man="1"/>
  </rowBreaks>
  <ignoredErrors>
    <ignoredError sqref="H29 J29 H32 J32 H35 J35 H38 J38 H41 J41 H44 J44 H47 J47 H50 J50 G110 I110 G111 I111 G113 I113 G116 I116 G119 I119 G122 I122 G125 I125 G128 I128 G131 I131 G136 I136 G137 I137 G138 I138 G139 I139 G140 I140 G141 I141 G142 I142 G143 H143 I143 J143" formula="1"/>
    <ignoredError sqref="J63 K63" evalError="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53C0C"/>
    <pageSetUpPr fitToPage="1"/>
  </sheetPr>
  <dimension ref="B2:M40"/>
  <sheetViews>
    <sheetView workbookViewId="0">
      <selection activeCell="B42" sqref="B42:P42"/>
    </sheetView>
  </sheetViews>
  <sheetFormatPr defaultRowHeight="15" x14ac:dyDescent="0.25"/>
  <cols>
    <col min="2" max="2" width="67.28515625" customWidth="1"/>
    <col min="3" max="3" width="19.85546875" customWidth="1"/>
    <col min="4" max="4" width="20.140625" customWidth="1"/>
    <col min="5" max="11" width="5" customWidth="1"/>
    <col min="12" max="12" width="19.85546875" customWidth="1"/>
    <col min="13" max="13" width="26" customWidth="1"/>
  </cols>
  <sheetData>
    <row r="2" spans="2:13" x14ac:dyDescent="0.25">
      <c r="B2" s="247" t="str">
        <f>paramEnte</f>
        <v>Município de Independência - RS</v>
      </c>
      <c r="C2" s="247"/>
      <c r="D2" s="247"/>
      <c r="E2" s="247"/>
      <c r="F2" s="247"/>
      <c r="G2" s="247"/>
      <c r="H2" s="247"/>
      <c r="I2" s="247"/>
      <c r="J2" s="247"/>
      <c r="K2" s="247"/>
      <c r="L2" s="247"/>
      <c r="M2" s="247"/>
    </row>
    <row r="3" spans="2:13" x14ac:dyDescent="0.25">
      <c r="B3" s="247" t="s">
        <v>125</v>
      </c>
      <c r="C3" s="247"/>
      <c r="D3" s="247"/>
      <c r="E3" s="247"/>
      <c r="F3" s="247"/>
      <c r="G3" s="247"/>
      <c r="H3" s="247"/>
      <c r="I3" s="247"/>
      <c r="J3" s="247"/>
      <c r="K3" s="247"/>
      <c r="L3" s="247"/>
      <c r="M3" s="46"/>
    </row>
    <row r="4" spans="2:13" x14ac:dyDescent="0.25">
      <c r="B4" s="248" t="s">
        <v>999</v>
      </c>
      <c r="C4" s="248"/>
      <c r="D4" s="248"/>
      <c r="E4" s="248"/>
      <c r="F4" s="248"/>
      <c r="G4" s="248"/>
      <c r="H4" s="248"/>
      <c r="I4" s="248"/>
      <c r="J4" s="248"/>
      <c r="K4" s="248"/>
      <c r="L4" s="248"/>
      <c r="M4" s="248"/>
    </row>
    <row r="5" spans="2:13" x14ac:dyDescent="0.25">
      <c r="B5" s="247" t="s">
        <v>127</v>
      </c>
      <c r="C5" s="247"/>
      <c r="D5" s="247"/>
      <c r="E5" s="247"/>
      <c r="F5" s="247"/>
      <c r="G5" s="247"/>
      <c r="H5" s="247"/>
      <c r="I5" s="247"/>
      <c r="J5" s="247"/>
      <c r="K5" s="247"/>
      <c r="L5" s="247"/>
      <c r="M5" s="247"/>
    </row>
    <row r="6" spans="2:13" x14ac:dyDescent="0.25">
      <c r="B6" s="249" t="str">
        <f>UPPER(TEXT(paramDataBase,"mmmm \d\e aaaa"))</f>
        <v>JANEIRO DE 1900</v>
      </c>
      <c r="C6" s="249"/>
      <c r="D6" s="249"/>
      <c r="E6" s="249"/>
      <c r="F6" s="249"/>
      <c r="G6" s="249"/>
      <c r="H6" s="249"/>
      <c r="I6" s="249"/>
      <c r="J6" s="249"/>
      <c r="K6" s="249"/>
      <c r="L6" s="249"/>
      <c r="M6" s="249"/>
    </row>
    <row r="8" spans="2:13" ht="15.75" customHeight="1" x14ac:dyDescent="0.25">
      <c r="B8" s="250" t="s">
        <v>1000</v>
      </c>
      <c r="C8" s="250"/>
      <c r="D8" s="250"/>
      <c r="E8" s="250"/>
      <c r="F8" s="250"/>
      <c r="G8" s="250"/>
      <c r="H8" s="250"/>
      <c r="I8" s="250"/>
      <c r="J8" s="250"/>
      <c r="K8" s="250"/>
      <c r="L8" s="250"/>
      <c r="M8" s="2" t="s">
        <v>129</v>
      </c>
    </row>
    <row r="9" spans="2:13" x14ac:dyDescent="0.25">
      <c r="B9" s="234" t="s">
        <v>1001</v>
      </c>
      <c r="C9" s="251"/>
      <c r="D9" s="251"/>
      <c r="E9" s="251"/>
      <c r="F9" s="251"/>
      <c r="G9" s="251"/>
      <c r="H9" s="251"/>
      <c r="I9" s="251"/>
      <c r="J9" s="251"/>
      <c r="K9" s="251"/>
      <c r="L9" s="7" t="s">
        <v>1002</v>
      </c>
      <c r="M9" s="335" t="s">
        <v>804</v>
      </c>
    </row>
    <row r="10" spans="2:13" x14ac:dyDescent="0.25">
      <c r="B10" s="228"/>
      <c r="C10" s="244"/>
      <c r="D10" s="244"/>
      <c r="E10" s="244"/>
      <c r="F10" s="244"/>
      <c r="G10" s="244"/>
      <c r="H10" s="244"/>
      <c r="I10" s="244"/>
      <c r="J10" s="244"/>
      <c r="K10" s="244"/>
      <c r="L10" s="8" t="s">
        <v>1003</v>
      </c>
      <c r="M10" s="329"/>
    </row>
    <row r="11" spans="2:13" x14ac:dyDescent="0.25">
      <c r="B11" s="229"/>
      <c r="C11" s="252"/>
      <c r="D11" s="252"/>
      <c r="E11" s="252"/>
      <c r="F11" s="252"/>
      <c r="G11" s="252"/>
      <c r="H11" s="252"/>
      <c r="I11" s="252"/>
      <c r="J11" s="252"/>
      <c r="K11" s="252"/>
      <c r="L11" s="11" t="s">
        <v>1004</v>
      </c>
      <c r="M11" s="12" t="s">
        <v>1005</v>
      </c>
    </row>
    <row r="12" spans="2:13" x14ac:dyDescent="0.25">
      <c r="B12" s="230" t="s">
        <v>1006</v>
      </c>
      <c r="C12" s="231"/>
      <c r="D12" s="231"/>
      <c r="E12" s="231"/>
      <c r="F12" s="231"/>
      <c r="G12" s="231"/>
      <c r="H12" s="231"/>
      <c r="I12" s="231"/>
      <c r="J12" s="231"/>
      <c r="K12" s="231"/>
      <c r="L12" s="65">
        <f>SUM(L13)</f>
        <v>0</v>
      </c>
      <c r="M12" s="66">
        <f>SUM(M13)</f>
        <v>0</v>
      </c>
    </row>
    <row r="13" spans="2:13" x14ac:dyDescent="0.25">
      <c r="B13" s="283" t="s">
        <v>1007</v>
      </c>
      <c r="C13" s="284"/>
      <c r="D13" s="284"/>
      <c r="E13" s="284"/>
      <c r="F13" s="284"/>
      <c r="G13" s="284"/>
      <c r="H13" s="284"/>
      <c r="I13" s="284"/>
      <c r="J13" s="284"/>
      <c r="K13" s="284"/>
      <c r="L13" s="31"/>
      <c r="M13" s="32"/>
    </row>
    <row r="14" spans="2:13" x14ac:dyDescent="0.25">
      <c r="B14" s="266" t="s">
        <v>1008</v>
      </c>
      <c r="C14" s="267"/>
      <c r="D14" s="267"/>
      <c r="E14" s="267"/>
      <c r="F14" s="267"/>
      <c r="G14" s="267"/>
      <c r="H14" s="267"/>
      <c r="I14" s="267"/>
      <c r="J14" s="267"/>
      <c r="K14" s="267"/>
      <c r="L14" s="31">
        <f>SUM(L15:L17)</f>
        <v>0</v>
      </c>
      <c r="M14" s="32">
        <f>SUM(M15:M17)</f>
        <v>0</v>
      </c>
    </row>
    <row r="15" spans="2:13" x14ac:dyDescent="0.25">
      <c r="B15" s="283" t="s">
        <v>1009</v>
      </c>
      <c r="C15" s="284"/>
      <c r="D15" s="284"/>
      <c r="E15" s="284"/>
      <c r="F15" s="284"/>
      <c r="G15" s="284"/>
      <c r="H15" s="284"/>
      <c r="I15" s="284"/>
      <c r="J15" s="284"/>
      <c r="K15" s="284"/>
      <c r="L15" s="31"/>
      <c r="M15" s="32"/>
    </row>
    <row r="16" spans="2:13" x14ac:dyDescent="0.25">
      <c r="B16" s="283" t="s">
        <v>1010</v>
      </c>
      <c r="C16" s="284"/>
      <c r="D16" s="284"/>
      <c r="E16" s="284"/>
      <c r="F16" s="284"/>
      <c r="G16" s="284"/>
      <c r="H16" s="284"/>
      <c r="I16" s="284"/>
      <c r="J16" s="284"/>
      <c r="K16" s="284"/>
      <c r="L16" s="31"/>
      <c r="M16" s="32"/>
    </row>
    <row r="17" spans="2:13" x14ac:dyDescent="0.25">
      <c r="B17" s="283" t="s">
        <v>1011</v>
      </c>
      <c r="C17" s="284"/>
      <c r="D17" s="284"/>
      <c r="E17" s="284"/>
      <c r="F17" s="284"/>
      <c r="G17" s="284"/>
      <c r="H17" s="284"/>
      <c r="I17" s="284"/>
      <c r="J17" s="284"/>
      <c r="K17" s="284"/>
      <c r="L17" s="31"/>
      <c r="M17" s="32"/>
    </row>
    <row r="18" spans="2:13" x14ac:dyDescent="0.25">
      <c r="B18" s="266" t="s">
        <v>1012</v>
      </c>
      <c r="C18" s="267"/>
      <c r="D18" s="267"/>
      <c r="E18" s="267"/>
      <c r="F18" s="267"/>
      <c r="G18" s="267"/>
      <c r="H18" s="267"/>
      <c r="I18" s="267"/>
      <c r="J18" s="267"/>
      <c r="K18" s="267"/>
      <c r="L18" s="31">
        <f>SUM(L19:L22)</f>
        <v>0</v>
      </c>
      <c r="M18" s="32">
        <f>SUM(M19:M22)</f>
        <v>0</v>
      </c>
    </row>
    <row r="19" spans="2:13" x14ac:dyDescent="0.25">
      <c r="B19" s="283" t="s">
        <v>1013</v>
      </c>
      <c r="C19" s="284"/>
      <c r="D19" s="284"/>
      <c r="E19" s="284"/>
      <c r="F19" s="284"/>
      <c r="G19" s="284"/>
      <c r="H19" s="284"/>
      <c r="I19" s="284"/>
      <c r="J19" s="284"/>
      <c r="K19" s="284"/>
      <c r="L19" s="31"/>
      <c r="M19" s="32"/>
    </row>
    <row r="20" spans="2:13" x14ac:dyDescent="0.25">
      <c r="B20" s="283" t="s">
        <v>1014</v>
      </c>
      <c r="C20" s="284"/>
      <c r="D20" s="284"/>
      <c r="E20" s="284"/>
      <c r="F20" s="284"/>
      <c r="G20" s="284"/>
      <c r="H20" s="284"/>
      <c r="I20" s="284"/>
      <c r="J20" s="284"/>
      <c r="K20" s="284"/>
      <c r="L20" s="31"/>
      <c r="M20" s="32"/>
    </row>
    <row r="21" spans="2:13" x14ac:dyDescent="0.25">
      <c r="B21" s="283" t="s">
        <v>1015</v>
      </c>
      <c r="C21" s="284"/>
      <c r="D21" s="284"/>
      <c r="E21" s="284"/>
      <c r="F21" s="284"/>
      <c r="G21" s="284"/>
      <c r="H21" s="284"/>
      <c r="I21" s="284"/>
      <c r="J21" s="284"/>
      <c r="K21" s="284"/>
      <c r="L21" s="31"/>
      <c r="M21" s="32"/>
    </row>
    <row r="22" spans="2:13" ht="15.75" customHeight="1" x14ac:dyDescent="0.25">
      <c r="B22" s="345" t="s">
        <v>1016</v>
      </c>
      <c r="C22" s="346"/>
      <c r="D22" s="346"/>
      <c r="E22" s="346"/>
      <c r="F22" s="346"/>
      <c r="G22" s="346"/>
      <c r="H22" s="346"/>
      <c r="I22" s="346"/>
      <c r="J22" s="346"/>
      <c r="K22" s="346"/>
      <c r="L22" s="22"/>
      <c r="M22" s="23"/>
    </row>
    <row r="23" spans="2:13" ht="15.75" customHeight="1" x14ac:dyDescent="0.25"/>
    <row r="24" spans="2:13" x14ac:dyDescent="0.25">
      <c r="B24" s="48" t="s">
        <v>1017</v>
      </c>
      <c r="C24" s="47" t="s">
        <v>1004</v>
      </c>
      <c r="D24" s="47" t="s">
        <v>1018</v>
      </c>
      <c r="E24" s="47">
        <f>YEAR(paramDataBase)+1</f>
        <v>1901</v>
      </c>
      <c r="F24" s="47">
        <f t="shared" ref="F24:M24" si="0">E24+1</f>
        <v>1902</v>
      </c>
      <c r="G24" s="47">
        <f t="shared" si="0"/>
        <v>1903</v>
      </c>
      <c r="H24" s="47">
        <f t="shared" si="0"/>
        <v>1904</v>
      </c>
      <c r="I24" s="47">
        <f t="shared" si="0"/>
        <v>1905</v>
      </c>
      <c r="J24" s="47">
        <f t="shared" si="0"/>
        <v>1906</v>
      </c>
      <c r="K24" s="47">
        <f t="shared" si="0"/>
        <v>1907</v>
      </c>
      <c r="L24" s="47">
        <f t="shared" si="0"/>
        <v>1908</v>
      </c>
      <c r="M24" s="25">
        <f t="shared" si="0"/>
        <v>1909</v>
      </c>
    </row>
    <row r="25" spans="2:13" x14ac:dyDescent="0.25">
      <c r="B25" s="49" t="s">
        <v>1019</v>
      </c>
      <c r="C25" s="103"/>
      <c r="D25" s="103"/>
      <c r="E25" s="103"/>
      <c r="F25" s="103"/>
      <c r="G25" s="103"/>
      <c r="H25" s="103"/>
      <c r="I25" s="103"/>
      <c r="J25" s="103"/>
      <c r="K25" s="103"/>
      <c r="L25" s="103"/>
      <c r="M25" s="104"/>
    </row>
    <row r="26" spans="2:13" x14ac:dyDescent="0.25">
      <c r="B26" s="57" t="s">
        <v>1020</v>
      </c>
      <c r="C26" s="98"/>
      <c r="D26" s="98"/>
      <c r="E26" s="98"/>
      <c r="F26" s="98"/>
      <c r="G26" s="98"/>
      <c r="H26" s="98"/>
      <c r="I26" s="98"/>
      <c r="J26" s="98"/>
      <c r="K26" s="98"/>
      <c r="L26" s="98"/>
      <c r="M26" s="99"/>
    </row>
    <row r="27" spans="2:13" x14ac:dyDescent="0.25">
      <c r="B27" s="105" t="s">
        <v>1021</v>
      </c>
      <c r="C27" s="106"/>
      <c r="D27" s="106"/>
      <c r="E27" s="106"/>
      <c r="F27" s="106"/>
      <c r="G27" s="106"/>
      <c r="H27" s="106"/>
      <c r="I27" s="106"/>
      <c r="J27" s="106"/>
      <c r="K27" s="106"/>
      <c r="L27" s="106"/>
      <c r="M27" s="107"/>
    </row>
    <row r="28" spans="2:13" x14ac:dyDescent="0.25">
      <c r="B28" s="105" t="s">
        <v>1022</v>
      </c>
      <c r="C28" s="106"/>
      <c r="D28" s="106"/>
      <c r="E28" s="106"/>
      <c r="F28" s="106"/>
      <c r="G28" s="106"/>
      <c r="H28" s="106"/>
      <c r="I28" s="106"/>
      <c r="J28" s="106"/>
      <c r="K28" s="106"/>
      <c r="L28" s="106"/>
      <c r="M28" s="107"/>
    </row>
    <row r="29" spans="2:13" x14ac:dyDescent="0.25">
      <c r="B29" s="105" t="s">
        <v>1023</v>
      </c>
      <c r="C29" s="106"/>
      <c r="D29" s="106"/>
      <c r="E29" s="106"/>
      <c r="F29" s="106"/>
      <c r="G29" s="106"/>
      <c r="H29" s="106"/>
      <c r="I29" s="106"/>
      <c r="J29" s="106"/>
      <c r="K29" s="106"/>
      <c r="L29" s="106"/>
      <c r="M29" s="107"/>
    </row>
    <row r="30" spans="2:13" ht="15.75" customHeight="1" x14ac:dyDescent="0.25">
      <c r="B30" s="16" t="s">
        <v>1024</v>
      </c>
      <c r="C30" s="108"/>
      <c r="D30" s="108"/>
      <c r="E30" s="108"/>
      <c r="F30" s="108"/>
      <c r="G30" s="108"/>
      <c r="H30" s="108"/>
      <c r="I30" s="108"/>
      <c r="J30" s="108"/>
      <c r="K30" s="108"/>
      <c r="L30" s="108"/>
      <c r="M30" s="109"/>
    </row>
    <row r="31" spans="2:13" x14ac:dyDescent="0.25">
      <c r="B31" s="395" t="str">
        <f ca="1">_xlfn.CONCAT("Fonte: ",paramFonte,". Emissão em ",TEXT(NOW(),"dd/mm/aaaa \à\s hh:mm:ss"))</f>
        <v>Fonte: Sistema MS Excel + SIAPC/PAD, Unidade Responsável: Secretaria da Fazenda / Setor de Contabilidade. Emissão em 09/05/2024 às 09:42:51</v>
      </c>
      <c r="C31" s="395"/>
      <c r="D31" s="395"/>
      <c r="E31" s="395"/>
      <c r="F31" s="395"/>
      <c r="G31" s="395"/>
      <c r="H31" s="395"/>
      <c r="I31" s="395"/>
      <c r="J31" s="395"/>
      <c r="K31" s="395"/>
      <c r="L31" s="395"/>
      <c r="M31" s="395"/>
    </row>
    <row r="33" spans="2:13" x14ac:dyDescent="0.25">
      <c r="B33" t="s">
        <v>253</v>
      </c>
    </row>
    <row r="34" spans="2:13" x14ac:dyDescent="0.25">
      <c r="B34" s="247" t="str">
        <f>IFERROR(_xlfn.CONCAT(_xlfn._xlws.FILTER(tblNotasExplicativas[Nota Com Separador],tblNotasExplicativas[Demonstrativo]="RREO A13")),"")</f>
        <v xml:space="preserve">O Município não possui contratos de PPP vigentes. </v>
      </c>
      <c r="C34" s="247"/>
      <c r="D34" s="247"/>
      <c r="E34" s="247"/>
      <c r="F34" s="247"/>
      <c r="G34" s="247"/>
      <c r="H34" s="247"/>
      <c r="I34" s="247"/>
      <c r="J34" s="247"/>
      <c r="K34" s="247"/>
      <c r="L34" s="247"/>
      <c r="M34" s="247"/>
    </row>
    <row r="38" spans="2:13" x14ac:dyDescent="0.25">
      <c r="B38" t="str">
        <f>paramNomeContador</f>
        <v>EVERTON DA ROSA</v>
      </c>
      <c r="D38" s="247" t="str">
        <f>paramNomeSecretario</f>
        <v>ANA PAULA RODRIGUES SCHNEIDER SCHMIDT</v>
      </c>
      <c r="E38" s="247"/>
      <c r="F38" s="247"/>
      <c r="G38" s="247"/>
      <c r="H38" s="247"/>
      <c r="L38" s="247" t="str">
        <f>paramNomePrefeito</f>
        <v>JOÃO EDÉCIO GRAEF</v>
      </c>
      <c r="M38" s="247"/>
    </row>
    <row r="39" spans="2:13" x14ac:dyDescent="0.25">
      <c r="B39" t="str">
        <f>paramCargoContador</f>
        <v>Contador</v>
      </c>
      <c r="D39" s="247" t="str">
        <f>paramCargoSecretario</f>
        <v>Secretária da Fazenda</v>
      </c>
      <c r="E39" s="247"/>
      <c r="F39" s="247"/>
      <c r="G39" s="247"/>
      <c r="H39" s="247"/>
      <c r="L39" s="247" t="str">
        <f>paramCargoPrefeito</f>
        <v>Prefeito Municipal</v>
      </c>
      <c r="M39" s="247"/>
    </row>
    <row r="40" spans="2:13" x14ac:dyDescent="0.25">
      <c r="B40" t="str">
        <f>_xlfn.CONCAT("CRC ",paramCRCContador)</f>
        <v>CRC 076595/O-3</v>
      </c>
    </row>
  </sheetData>
  <mergeCells count="25">
    <mergeCell ref="B2:M2"/>
    <mergeCell ref="B8:L8"/>
    <mergeCell ref="B6:M6"/>
    <mergeCell ref="B5:M5"/>
    <mergeCell ref="B4:M4"/>
    <mergeCell ref="B3:L3"/>
    <mergeCell ref="B21:K21"/>
    <mergeCell ref="B9:K11"/>
    <mergeCell ref="M9:M10"/>
    <mergeCell ref="B12:K12"/>
    <mergeCell ref="B13:K13"/>
    <mergeCell ref="B14:K14"/>
    <mergeCell ref="B15:K15"/>
    <mergeCell ref="B16:K16"/>
    <mergeCell ref="B17:K17"/>
    <mergeCell ref="B18:K18"/>
    <mergeCell ref="B19:K19"/>
    <mergeCell ref="B20:K20"/>
    <mergeCell ref="D38:H38"/>
    <mergeCell ref="D39:H39"/>
    <mergeCell ref="B22:K22"/>
    <mergeCell ref="B31:M31"/>
    <mergeCell ref="B34:M34"/>
    <mergeCell ref="L38:M38"/>
    <mergeCell ref="L39:M39"/>
  </mergeCells>
  <pageMargins left="0.25" right="0.25" top="0.75" bottom="0.75" header="0.3" footer="0.3"/>
  <pageSetup paperSize="9" scale="52"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853C0C"/>
    <pageSetUpPr fitToPage="1"/>
  </sheetPr>
  <dimension ref="B2:F47"/>
  <sheetViews>
    <sheetView workbookViewId="0">
      <selection activeCell="B42" sqref="B42:P42"/>
    </sheetView>
  </sheetViews>
  <sheetFormatPr defaultRowHeight="15" x14ac:dyDescent="0.25"/>
  <cols>
    <col min="2" max="2" width="71.85546875" customWidth="1"/>
    <col min="3" max="3" width="13.28515625" customWidth="1"/>
    <col min="4" max="4" width="14.2851562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73" t="s">
        <v>126</v>
      </c>
      <c r="C9" s="257"/>
      <c r="D9" s="257"/>
      <c r="E9" s="257"/>
      <c r="F9" s="25" t="s">
        <v>137</v>
      </c>
    </row>
    <row r="10" spans="2:6" x14ac:dyDescent="0.25">
      <c r="B10" s="230" t="s">
        <v>130</v>
      </c>
      <c r="C10" s="231"/>
      <c r="D10" s="231"/>
      <c r="E10" s="231"/>
      <c r="F10" s="66"/>
    </row>
    <row r="11" spans="2:6" x14ac:dyDescent="0.25">
      <c r="B11" s="283" t="s">
        <v>1027</v>
      </c>
      <c r="C11" s="284"/>
      <c r="D11" s="284"/>
      <c r="E11" s="284"/>
      <c r="F11" s="32">
        <f>'RREO A1 BO Receita'!C76</f>
        <v>0</v>
      </c>
    </row>
    <row r="12" spans="2:6" x14ac:dyDescent="0.25">
      <c r="B12" s="283" t="s">
        <v>1028</v>
      </c>
      <c r="C12" s="284"/>
      <c r="D12" s="284"/>
      <c r="E12" s="284"/>
      <c r="F12" s="32">
        <f>'RREO A1 BO Receita'!D76</f>
        <v>0</v>
      </c>
    </row>
    <row r="13" spans="2:6" x14ac:dyDescent="0.25">
      <c r="B13" s="283" t="s">
        <v>1029</v>
      </c>
      <c r="C13" s="284"/>
      <c r="D13" s="284"/>
      <c r="E13" s="284"/>
      <c r="F13" s="32">
        <f>'RREO A1 BO Receita'!G76</f>
        <v>0</v>
      </c>
    </row>
    <row r="14" spans="2:6" x14ac:dyDescent="0.25">
      <c r="B14" s="283" t="s">
        <v>1030</v>
      </c>
      <c r="C14" s="284"/>
      <c r="D14" s="284"/>
      <c r="E14" s="284"/>
      <c r="F14" s="32">
        <f>'RREO A1 BO Receita'!G85</f>
        <v>0</v>
      </c>
    </row>
    <row r="15" spans="2:6" x14ac:dyDescent="0.25">
      <c r="B15" s="283" t="s">
        <v>1031</v>
      </c>
      <c r="C15" s="284"/>
      <c r="D15" s="284"/>
      <c r="E15" s="284"/>
      <c r="F15" s="32">
        <f>'RREO A1 BO Receita'!G87</f>
        <v>0</v>
      </c>
    </row>
    <row r="16" spans="2:6" x14ac:dyDescent="0.25">
      <c r="B16" s="266" t="s">
        <v>215</v>
      </c>
      <c r="C16" s="267"/>
      <c r="D16" s="267"/>
      <c r="E16" s="267"/>
      <c r="F16" s="32"/>
    </row>
    <row r="17" spans="2:6" x14ac:dyDescent="0.25">
      <c r="B17" s="283" t="s">
        <v>1032</v>
      </c>
      <c r="C17" s="284"/>
      <c r="D17" s="284"/>
      <c r="E17" s="284"/>
      <c r="F17" s="32">
        <f>'RREO A1 BO Despesa'!C23</f>
        <v>0</v>
      </c>
    </row>
    <row r="18" spans="2:6" x14ac:dyDescent="0.25">
      <c r="B18" s="283" t="s">
        <v>1033</v>
      </c>
      <c r="C18" s="284"/>
      <c r="D18" s="284"/>
      <c r="E18" s="284"/>
      <c r="F18" s="32">
        <f>'RREO A1 BO Despesa'!D23</f>
        <v>0</v>
      </c>
    </row>
    <row r="19" spans="2:6" x14ac:dyDescent="0.25">
      <c r="B19" s="283" t="s">
        <v>1034</v>
      </c>
      <c r="C19" s="284"/>
      <c r="D19" s="284"/>
      <c r="E19" s="284"/>
      <c r="F19" s="32">
        <f>'RREO A1 BO Despesa'!F23</f>
        <v>0</v>
      </c>
    </row>
    <row r="20" spans="2:6" x14ac:dyDescent="0.25">
      <c r="B20" s="283" t="s">
        <v>1035</v>
      </c>
      <c r="C20" s="284"/>
      <c r="D20" s="284"/>
      <c r="E20" s="284"/>
      <c r="F20" s="32">
        <f>'RREO A1 BO Despesa'!I23</f>
        <v>0</v>
      </c>
    </row>
    <row r="21" spans="2:6" x14ac:dyDescent="0.25">
      <c r="B21" s="283" t="s">
        <v>1036</v>
      </c>
      <c r="C21" s="284"/>
      <c r="D21" s="284"/>
      <c r="E21" s="284"/>
      <c r="F21" s="32">
        <f>'RREO A1 BO Despesa'!K23</f>
        <v>0</v>
      </c>
    </row>
    <row r="22" spans="2:6" ht="15.75" customHeight="1" x14ac:dyDescent="0.25">
      <c r="B22" s="345" t="s">
        <v>1037</v>
      </c>
      <c r="C22" s="346"/>
      <c r="D22" s="346"/>
      <c r="E22" s="346"/>
      <c r="F22" s="23">
        <f>IF(MONTH(paramDataBase)=12,'RREO A1 BO Despesa'!F32,'RREO A1 BO Despesa'!I32)</f>
        <v>0</v>
      </c>
    </row>
    <row r="23" spans="2:6" ht="15.75" customHeight="1" x14ac:dyDescent="0.25"/>
    <row r="24" spans="2:6" x14ac:dyDescent="0.25">
      <c r="B24" s="273" t="s">
        <v>1038</v>
      </c>
      <c r="C24" s="257"/>
      <c r="D24" s="257"/>
      <c r="E24" s="257"/>
      <c r="F24" s="25" t="s">
        <v>137</v>
      </c>
    </row>
    <row r="25" spans="2:6" x14ac:dyDescent="0.25">
      <c r="B25" s="266" t="s">
        <v>1034</v>
      </c>
      <c r="C25" s="267"/>
      <c r="D25" s="267"/>
      <c r="E25" s="267"/>
      <c r="F25" s="32">
        <f>'RREO A2'!F206</f>
        <v>0</v>
      </c>
    </row>
    <row r="26" spans="2:6" ht="15.75" customHeight="1" x14ac:dyDescent="0.25">
      <c r="B26" s="339" t="s">
        <v>1035</v>
      </c>
      <c r="C26" s="340"/>
      <c r="D26" s="340"/>
      <c r="E26" s="340"/>
      <c r="F26" s="23">
        <f>'RREO A2'!J206</f>
        <v>0</v>
      </c>
    </row>
    <row r="27" spans="2:6" ht="15.75" customHeight="1" x14ac:dyDescent="0.25"/>
    <row r="28" spans="2:6" x14ac:dyDescent="0.25">
      <c r="B28" s="363" t="s">
        <v>1039</v>
      </c>
      <c r="C28" s="253"/>
      <c r="D28" s="97" t="s">
        <v>1040</v>
      </c>
      <c r="E28" s="257" t="s">
        <v>1041</v>
      </c>
      <c r="F28" s="268"/>
    </row>
    <row r="29" spans="2:6" x14ac:dyDescent="0.25">
      <c r="B29" s="344"/>
      <c r="C29" s="324"/>
      <c r="D29" s="100" t="s">
        <v>137</v>
      </c>
      <c r="E29" s="100" t="s">
        <v>1042</v>
      </c>
      <c r="F29" s="12" t="s">
        <v>1043</v>
      </c>
    </row>
    <row r="30" spans="2:6" x14ac:dyDescent="0.25">
      <c r="B30" s="266" t="str">
        <f>_xlfn.CONCAT("Mínimo anual de ",TEXT(paramMinimoMDE,"00%")," das Receitas de Impostos na Manutenção e Desenvolvimento do Ensino")</f>
        <v>Mínimo anual de 25% das Receitas de Impostos na Manutenção e Desenvolvimento do Ensino</v>
      </c>
      <c r="C30" s="267"/>
      <c r="D30" s="31">
        <f>'RREO A8'!G150</f>
        <v>0</v>
      </c>
      <c r="E30" s="75">
        <f>paramMinimoMDE</f>
        <v>0.25</v>
      </c>
      <c r="F30" s="83" t="e">
        <f>'RREO A8'!H150</f>
        <v>#DIV/0!</v>
      </c>
    </row>
    <row r="31" spans="2:6" x14ac:dyDescent="0.25">
      <c r="B31" s="266" t="s">
        <v>1044</v>
      </c>
      <c r="C31" s="267"/>
      <c r="D31" s="31">
        <f>'RREO A8'!G101</f>
        <v>0</v>
      </c>
      <c r="E31" s="75">
        <v>0.7</v>
      </c>
      <c r="F31" s="83" t="e">
        <f>'RREO A8'!H101</f>
        <v>#DIV/0!</v>
      </c>
    </row>
    <row r="32" spans="2:6" x14ac:dyDescent="0.25">
      <c r="B32" s="266" t="s">
        <v>1045</v>
      </c>
      <c r="C32" s="267"/>
      <c r="D32" s="31">
        <f>'RREO A8'!G102</f>
        <v>0</v>
      </c>
      <c r="E32" s="75">
        <v>0.5</v>
      </c>
      <c r="F32" s="83">
        <f>'RREO A8'!H102</f>
        <v>0</v>
      </c>
    </row>
    <row r="33" spans="2:6" ht="15.75" customHeight="1" x14ac:dyDescent="0.25">
      <c r="B33" s="339" t="s">
        <v>1046</v>
      </c>
      <c r="C33" s="340"/>
      <c r="D33" s="22">
        <f>'RREO A8'!G103</f>
        <v>0</v>
      </c>
      <c r="E33" s="101">
        <v>0.15</v>
      </c>
      <c r="F33" s="102">
        <f>'RREO A8'!H103</f>
        <v>0</v>
      </c>
    </row>
    <row r="34" spans="2:6" ht="15.75" customHeight="1" x14ac:dyDescent="0.25"/>
    <row r="35" spans="2:6" x14ac:dyDescent="0.25">
      <c r="B35" s="363" t="s">
        <v>1047</v>
      </c>
      <c r="C35" s="253"/>
      <c r="D35" s="97" t="s">
        <v>1040</v>
      </c>
      <c r="E35" s="257" t="s">
        <v>1041</v>
      </c>
      <c r="F35" s="268"/>
    </row>
    <row r="36" spans="2:6" x14ac:dyDescent="0.25">
      <c r="B36" s="344"/>
      <c r="C36" s="324"/>
      <c r="D36" s="100" t="s">
        <v>137</v>
      </c>
      <c r="E36" s="100" t="s">
        <v>1042</v>
      </c>
      <c r="F36" s="12" t="s">
        <v>1043</v>
      </c>
    </row>
    <row r="37" spans="2:6" ht="15.75" customHeight="1" x14ac:dyDescent="0.25">
      <c r="B37" s="339" t="s">
        <v>1048</v>
      </c>
      <c r="C37" s="340"/>
      <c r="D37" s="22">
        <f>IF(MONTH(paramDataBase)=12,'RREO A12'!J58,'RREO A12'!K58)</f>
        <v>0</v>
      </c>
      <c r="E37" s="101">
        <f>paramMinimoASPS</f>
        <v>0.15</v>
      </c>
      <c r="F37" s="102" t="e">
        <f>IF(MONTH(paramDataBase)=12,'RREO A12'!J63,'RREO A12'!K63)</f>
        <v>#DIV/0!</v>
      </c>
    </row>
    <row r="38" spans="2:6" x14ac:dyDescent="0.25">
      <c r="B38" s="261" t="str">
        <f ca="1">_xlfn.CONCAT("Fonte: ",paramFonte,". Emissão em ",TEXT(NOW(),"dd/mm/aaaa \à\s hh:mm:ss"))</f>
        <v>Fonte: Sistema MS Excel + SIAPC/PAD, Unidade Responsável: Secretaria da Fazenda / Setor de Contabilidade. Emissão em 09/05/2024 às 09:42:51</v>
      </c>
      <c r="C38" s="261"/>
      <c r="D38" s="261"/>
      <c r="E38" s="261"/>
      <c r="F38" s="261"/>
    </row>
    <row r="40" spans="2:6" x14ac:dyDescent="0.25">
      <c r="B40" t="s">
        <v>253</v>
      </c>
    </row>
    <row r="41" spans="2:6" x14ac:dyDescent="0.25">
      <c r="B41" s="247" t="str">
        <f>IFERROR(_xlfn.CONCAT(_xlfn._xlws.FILTER(tblNotasExplicativas[Nota Com Separador],tblNotasExplicativas[Demonstrativo]="RREO A14 Resumido")),"")</f>
        <v xml:space="preserve">Republicação em virtude de diversas inconsistências identificadas posteriormente à publicação inicial. </v>
      </c>
      <c r="C41" s="247"/>
      <c r="D41" s="247"/>
      <c r="E41" s="247"/>
      <c r="F41" s="247"/>
    </row>
    <row r="45" spans="2:6" x14ac:dyDescent="0.25">
      <c r="B45" t="str">
        <f>paramNomeContador</f>
        <v>EVERTON DA ROSA</v>
      </c>
      <c r="C45" s="247" t="str">
        <f>paramNomeSecretario</f>
        <v>ANA PAULA RODRIGUES SCHNEIDER SCHMIDT</v>
      </c>
      <c r="D45" s="247"/>
      <c r="F45" t="str">
        <f>paramNomePrefeito</f>
        <v>JOÃO EDÉCIO GRAEF</v>
      </c>
    </row>
    <row r="46" spans="2:6" x14ac:dyDescent="0.25">
      <c r="B46" t="str">
        <f>paramCargoContador</f>
        <v>Contador</v>
      </c>
      <c r="C46" s="247" t="str">
        <f>paramCargoSecretario</f>
        <v>Secretária da Fazenda</v>
      </c>
      <c r="D46" s="247"/>
      <c r="F46" t="str">
        <f>paramCargoPrefeito</f>
        <v>Prefeito Municipal</v>
      </c>
    </row>
    <row r="47" spans="2:6" x14ac:dyDescent="0.25">
      <c r="B47" t="str">
        <f>_xlfn.CONCAT("CRC ",paramCRCContador)</f>
        <v>CRC 076595/O-3</v>
      </c>
    </row>
  </sheetData>
  <mergeCells count="36">
    <mergeCell ref="B2:F2"/>
    <mergeCell ref="B8:E8"/>
    <mergeCell ref="B6:F6"/>
    <mergeCell ref="B5:F5"/>
    <mergeCell ref="B4:F4"/>
    <mergeCell ref="B3:F3"/>
    <mergeCell ref="B20:E20"/>
    <mergeCell ref="B9:E9"/>
    <mergeCell ref="B10:E10"/>
    <mergeCell ref="B11:E11"/>
    <mergeCell ref="B12:E12"/>
    <mergeCell ref="B13:E13"/>
    <mergeCell ref="B14:E14"/>
    <mergeCell ref="B15:E15"/>
    <mergeCell ref="B16:E16"/>
    <mergeCell ref="B17:E17"/>
    <mergeCell ref="B18:E18"/>
    <mergeCell ref="B19:E19"/>
    <mergeCell ref="B31:C31"/>
    <mergeCell ref="B32:C32"/>
    <mergeCell ref="B33:C33"/>
    <mergeCell ref="B21:E21"/>
    <mergeCell ref="B22:E22"/>
    <mergeCell ref="B24:E24"/>
    <mergeCell ref="B25:E25"/>
    <mergeCell ref="B26:E26"/>
    <mergeCell ref="B28:C29"/>
    <mergeCell ref="E28:F28"/>
    <mergeCell ref="B30:C30"/>
    <mergeCell ref="B38:F38"/>
    <mergeCell ref="B41:F41"/>
    <mergeCell ref="C45:D45"/>
    <mergeCell ref="C46:D46"/>
    <mergeCell ref="B35:C36"/>
    <mergeCell ref="E35:F35"/>
    <mergeCell ref="B37:C37"/>
  </mergeCells>
  <pageMargins left="0.25" right="0.25" top="0.75" bottom="0.75" header="0.3" footer="0.3"/>
  <pageSetup paperSize="9" scale="64"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53C0C"/>
    <pageSetUpPr fitToPage="1"/>
  </sheetPr>
  <dimension ref="B2:F109"/>
  <sheetViews>
    <sheetView topLeftCell="A71" workbookViewId="0">
      <selection activeCell="B45" sqref="B45:P45"/>
    </sheetView>
  </sheetViews>
  <sheetFormatPr defaultRowHeight="15" x14ac:dyDescent="0.25"/>
  <cols>
    <col min="2" max="2" width="71.85546875" customWidth="1"/>
    <col min="3" max="3" width="13.28515625" customWidth="1"/>
    <col min="4" max="4" width="15.7109375" customWidth="1"/>
    <col min="5" max="5" width="29.7109375" customWidth="1"/>
    <col min="6" max="6" width="24.7109375" customWidth="1"/>
  </cols>
  <sheetData>
    <row r="2" spans="2:6" x14ac:dyDescent="0.25">
      <c r="B2" s="247" t="str">
        <f>paramEnte</f>
        <v>Município de Independência - RS</v>
      </c>
      <c r="C2" s="247"/>
      <c r="D2" s="247"/>
      <c r="E2" s="247"/>
      <c r="F2" s="247"/>
    </row>
    <row r="3" spans="2:6" x14ac:dyDescent="0.25">
      <c r="B3" s="247" t="s">
        <v>125</v>
      </c>
      <c r="C3" s="247"/>
      <c r="D3" s="247"/>
      <c r="E3" s="247"/>
      <c r="F3" s="247"/>
    </row>
    <row r="4" spans="2:6" x14ac:dyDescent="0.25">
      <c r="B4" s="248" t="s">
        <v>1025</v>
      </c>
      <c r="C4" s="248"/>
      <c r="D4" s="248"/>
      <c r="E4" s="248"/>
      <c r="F4" s="248"/>
    </row>
    <row r="5" spans="2:6" x14ac:dyDescent="0.25">
      <c r="B5" s="247" t="s">
        <v>127</v>
      </c>
      <c r="C5" s="247"/>
      <c r="D5" s="247"/>
      <c r="E5" s="247"/>
      <c r="F5" s="247"/>
    </row>
    <row r="6" spans="2:6" x14ac:dyDescent="0.25">
      <c r="B6" s="249" t="str">
        <f>UPPER(TEXT(paramDataBase,"mmmm \d\e aaaa"))</f>
        <v>JANEIRO DE 1900</v>
      </c>
      <c r="C6" s="249"/>
      <c r="D6" s="249"/>
      <c r="E6" s="249"/>
      <c r="F6" s="249"/>
    </row>
    <row r="8" spans="2:6" ht="15.75" customHeight="1" x14ac:dyDescent="0.25">
      <c r="B8" s="250" t="s">
        <v>1026</v>
      </c>
      <c r="C8" s="250"/>
      <c r="D8" s="250"/>
      <c r="E8" s="250"/>
      <c r="F8" s="2" t="s">
        <v>129</v>
      </c>
    </row>
    <row r="9" spans="2:6" x14ac:dyDescent="0.25">
      <c r="B9" s="273" t="s">
        <v>126</v>
      </c>
      <c r="C9" s="257"/>
      <c r="D9" s="257"/>
      <c r="E9" s="257"/>
      <c r="F9" s="25" t="s">
        <v>137</v>
      </c>
    </row>
    <row r="10" spans="2:6" x14ac:dyDescent="0.25">
      <c r="B10" s="230" t="s">
        <v>130</v>
      </c>
      <c r="C10" s="231"/>
      <c r="D10" s="231"/>
      <c r="E10" s="231"/>
      <c r="F10" s="66"/>
    </row>
    <row r="11" spans="2:6" x14ac:dyDescent="0.25">
      <c r="B11" s="283" t="s">
        <v>1027</v>
      </c>
      <c r="C11" s="284"/>
      <c r="D11" s="284"/>
      <c r="E11" s="284"/>
      <c r="F11" s="32">
        <f>'RREO A1 BO Receita'!C76</f>
        <v>0</v>
      </c>
    </row>
    <row r="12" spans="2:6" x14ac:dyDescent="0.25">
      <c r="B12" s="283" t="s">
        <v>1028</v>
      </c>
      <c r="C12" s="284"/>
      <c r="D12" s="284"/>
      <c r="E12" s="284"/>
      <c r="F12" s="32">
        <f>'RREO A1 BO Receita'!D76</f>
        <v>0</v>
      </c>
    </row>
    <row r="13" spans="2:6" x14ac:dyDescent="0.25">
      <c r="B13" s="283" t="s">
        <v>1029</v>
      </c>
      <c r="C13" s="284"/>
      <c r="D13" s="284"/>
      <c r="E13" s="284"/>
      <c r="F13" s="32">
        <f>'RREO A1 BO Receita'!G76</f>
        <v>0</v>
      </c>
    </row>
    <row r="14" spans="2:6" x14ac:dyDescent="0.25">
      <c r="B14" s="283" t="s">
        <v>1030</v>
      </c>
      <c r="C14" s="284"/>
      <c r="D14" s="284"/>
      <c r="E14" s="284"/>
      <c r="F14" s="32">
        <f>'RREO A1 BO Receita'!G85</f>
        <v>0</v>
      </c>
    </row>
    <row r="15" spans="2:6" x14ac:dyDescent="0.25">
      <c r="B15" s="283" t="s">
        <v>1031</v>
      </c>
      <c r="C15" s="284"/>
      <c r="D15" s="284"/>
      <c r="E15" s="284"/>
      <c r="F15" s="32">
        <f>'RREO A1 BO Receita'!G87</f>
        <v>0</v>
      </c>
    </row>
    <row r="16" spans="2:6" x14ac:dyDescent="0.25">
      <c r="B16" s="266" t="s">
        <v>215</v>
      </c>
      <c r="C16" s="267"/>
      <c r="D16" s="267"/>
      <c r="E16" s="267"/>
      <c r="F16" s="32"/>
    </row>
    <row r="17" spans="2:6" x14ac:dyDescent="0.25">
      <c r="B17" s="283" t="s">
        <v>1032</v>
      </c>
      <c r="C17" s="284"/>
      <c r="D17" s="284"/>
      <c r="E17" s="284"/>
      <c r="F17" s="32">
        <f>'RREO A1 BO Despesa'!C23</f>
        <v>0</v>
      </c>
    </row>
    <row r="18" spans="2:6" x14ac:dyDescent="0.25">
      <c r="B18" s="283" t="s">
        <v>1033</v>
      </c>
      <c r="C18" s="284"/>
      <c r="D18" s="284"/>
      <c r="E18" s="284"/>
      <c r="F18" s="32">
        <f>'RREO A1 BO Despesa'!D23</f>
        <v>0</v>
      </c>
    </row>
    <row r="19" spans="2:6" x14ac:dyDescent="0.25">
      <c r="B19" s="283" t="s">
        <v>1034</v>
      </c>
      <c r="C19" s="284"/>
      <c r="D19" s="284"/>
      <c r="E19" s="284"/>
      <c r="F19" s="32">
        <f>'RREO A1 BO Despesa'!F23</f>
        <v>0</v>
      </c>
    </row>
    <row r="20" spans="2:6" x14ac:dyDescent="0.25">
      <c r="B20" s="283" t="s">
        <v>1035</v>
      </c>
      <c r="C20" s="284"/>
      <c r="D20" s="284"/>
      <c r="E20" s="284"/>
      <c r="F20" s="32">
        <f>'RREO A1 BO Despesa'!I23</f>
        <v>0</v>
      </c>
    </row>
    <row r="21" spans="2:6" x14ac:dyDescent="0.25">
      <c r="B21" s="283" t="s">
        <v>1036</v>
      </c>
      <c r="C21" s="284"/>
      <c r="D21" s="284"/>
      <c r="E21" s="284"/>
      <c r="F21" s="32">
        <f>'RREO A1 BO Despesa'!K23</f>
        <v>0</v>
      </c>
    </row>
    <row r="22" spans="2:6" ht="15.75" customHeight="1" x14ac:dyDescent="0.25">
      <c r="B22" s="345" t="s">
        <v>1037</v>
      </c>
      <c r="C22" s="346"/>
      <c r="D22" s="346"/>
      <c r="E22" s="346"/>
      <c r="F22" s="23">
        <f>IF(MONTH(paramDataBase)=12,'RREO A1 BO Despesa'!F32,'RREO A1 BO Despesa'!I32)</f>
        <v>0</v>
      </c>
    </row>
    <row r="23" spans="2:6" ht="15.75" customHeight="1" x14ac:dyDescent="0.25"/>
    <row r="24" spans="2:6" x14ac:dyDescent="0.25">
      <c r="B24" s="273" t="s">
        <v>1038</v>
      </c>
      <c r="C24" s="257"/>
      <c r="D24" s="257"/>
      <c r="E24" s="257"/>
      <c r="F24" s="25" t="s">
        <v>137</v>
      </c>
    </row>
    <row r="25" spans="2:6" x14ac:dyDescent="0.25">
      <c r="B25" s="266" t="s">
        <v>1034</v>
      </c>
      <c r="C25" s="267"/>
      <c r="D25" s="267"/>
      <c r="E25" s="267"/>
      <c r="F25" s="32">
        <f>'RREO A2'!F206</f>
        <v>0</v>
      </c>
    </row>
    <row r="26" spans="2:6" ht="15.75" customHeight="1" x14ac:dyDescent="0.25">
      <c r="B26" s="339" t="s">
        <v>1035</v>
      </c>
      <c r="C26" s="340"/>
      <c r="D26" s="340"/>
      <c r="E26" s="340"/>
      <c r="F26" s="23">
        <f>'RREO A2'!J206</f>
        <v>0</v>
      </c>
    </row>
    <row r="27" spans="2:6" ht="15.75" customHeight="1" x14ac:dyDescent="0.25">
      <c r="B27" s="46"/>
      <c r="C27" s="46"/>
      <c r="D27" s="46"/>
      <c r="E27" s="46"/>
      <c r="F27" s="133"/>
    </row>
    <row r="28" spans="2:6" x14ac:dyDescent="0.25">
      <c r="B28" s="273" t="s">
        <v>1049</v>
      </c>
      <c r="C28" s="257"/>
      <c r="D28" s="257"/>
      <c r="E28" s="257"/>
      <c r="F28" s="25" t="s">
        <v>137</v>
      </c>
    </row>
    <row r="29" spans="2:6" x14ac:dyDescent="0.25">
      <c r="B29" s="266" t="s">
        <v>1050</v>
      </c>
      <c r="C29" s="267"/>
      <c r="D29" s="267"/>
      <c r="E29" s="267"/>
      <c r="F29" s="32">
        <f>'RREO A3'!O40</f>
        <v>0</v>
      </c>
    </row>
    <row r="30" spans="2:6" x14ac:dyDescent="0.25">
      <c r="B30" s="266" t="s">
        <v>1051</v>
      </c>
      <c r="C30" s="267"/>
      <c r="D30" s="267"/>
      <c r="E30" s="267"/>
      <c r="F30" s="32">
        <f>'RREO A3'!O42</f>
        <v>0</v>
      </c>
    </row>
    <row r="31" spans="2:6" ht="15.75" customHeight="1" x14ac:dyDescent="0.25">
      <c r="B31" s="339" t="s">
        <v>1052</v>
      </c>
      <c r="C31" s="340"/>
      <c r="D31" s="340"/>
      <c r="E31" s="340"/>
      <c r="F31" s="23">
        <f>'RREO A3'!O46</f>
        <v>0</v>
      </c>
    </row>
    <row r="32" spans="2:6" ht="15.75" customHeight="1" x14ac:dyDescent="0.25">
      <c r="B32" s="46"/>
      <c r="C32" s="46"/>
      <c r="D32" s="46"/>
      <c r="E32" s="46"/>
      <c r="F32" s="133"/>
    </row>
    <row r="33" spans="2:6" x14ac:dyDescent="0.25">
      <c r="B33" s="273" t="s">
        <v>1053</v>
      </c>
      <c r="C33" s="257"/>
      <c r="D33" s="257"/>
      <c r="E33" s="257"/>
      <c r="F33" s="25" t="s">
        <v>137</v>
      </c>
    </row>
    <row r="34" spans="2:6" x14ac:dyDescent="0.25">
      <c r="B34" s="281" t="s">
        <v>1054</v>
      </c>
      <c r="C34" s="282"/>
      <c r="D34" s="282"/>
      <c r="E34" s="282"/>
      <c r="F34" s="150"/>
    </row>
    <row r="35" spans="2:6" x14ac:dyDescent="0.25">
      <c r="B35" s="283" t="s">
        <v>1055</v>
      </c>
      <c r="C35" s="284"/>
      <c r="D35" s="284"/>
      <c r="E35" s="284"/>
      <c r="F35" s="32">
        <f>'RREO A4'!G36</f>
        <v>0</v>
      </c>
    </row>
    <row r="36" spans="2:6" x14ac:dyDescent="0.25">
      <c r="B36" s="283" t="s">
        <v>1056</v>
      </c>
      <c r="C36" s="284"/>
      <c r="D36" s="284"/>
      <c r="E36" s="284"/>
      <c r="F36" s="32">
        <f>'RREO A4'!D48</f>
        <v>0</v>
      </c>
    </row>
    <row r="37" spans="2:6" x14ac:dyDescent="0.25">
      <c r="B37" s="283" t="s">
        <v>1057</v>
      </c>
      <c r="C37" s="284"/>
      <c r="D37" s="284"/>
      <c r="E37" s="284"/>
      <c r="F37" s="32">
        <f>'RREO A4'!E48</f>
        <v>0</v>
      </c>
    </row>
    <row r="38" spans="2:6" x14ac:dyDescent="0.25">
      <c r="B38" s="283" t="s">
        <v>1058</v>
      </c>
      <c r="C38" s="284"/>
      <c r="D38" s="284"/>
      <c r="E38" s="284"/>
      <c r="F38" s="32">
        <f>'RREO A4'!F48</f>
        <v>0</v>
      </c>
    </row>
    <row r="39" spans="2:6" x14ac:dyDescent="0.25">
      <c r="B39" s="283" t="s">
        <v>1059</v>
      </c>
      <c r="C39" s="284"/>
      <c r="D39" s="284"/>
      <c r="E39" s="284"/>
      <c r="F39" s="32">
        <f>IF(MONTH(paramDataBase)=12,F35-F36,F35-F37)</f>
        <v>0</v>
      </c>
    </row>
    <row r="40" spans="2:6" x14ac:dyDescent="0.25">
      <c r="B40" s="281" t="s">
        <v>1060</v>
      </c>
      <c r="C40" s="282"/>
      <c r="D40" s="282"/>
      <c r="E40" s="282"/>
      <c r="F40" s="32"/>
    </row>
    <row r="41" spans="2:6" x14ac:dyDescent="0.25">
      <c r="B41" s="283" t="s">
        <v>1055</v>
      </c>
      <c r="C41" s="284"/>
      <c r="D41" s="284"/>
      <c r="E41" s="284"/>
      <c r="F41" s="32">
        <v>0</v>
      </c>
    </row>
    <row r="42" spans="2:6" x14ac:dyDescent="0.25">
      <c r="B42" s="283" t="s">
        <v>1056</v>
      </c>
      <c r="C42" s="284"/>
      <c r="D42" s="284"/>
      <c r="E42" s="284"/>
      <c r="F42" s="32">
        <v>0</v>
      </c>
    </row>
    <row r="43" spans="2:6" x14ac:dyDescent="0.25">
      <c r="B43" s="283" t="s">
        <v>1057</v>
      </c>
      <c r="C43" s="284"/>
      <c r="D43" s="284"/>
      <c r="E43" s="284"/>
      <c r="F43" s="32">
        <v>0</v>
      </c>
    </row>
    <row r="44" spans="2:6" x14ac:dyDescent="0.25">
      <c r="B44" s="283" t="s">
        <v>1058</v>
      </c>
      <c r="C44" s="284"/>
      <c r="D44" s="284"/>
      <c r="E44" s="284"/>
      <c r="F44" s="32">
        <v>0</v>
      </c>
    </row>
    <row r="45" spans="2:6" ht="15.75" customHeight="1" x14ac:dyDescent="0.25">
      <c r="B45" s="345" t="s">
        <v>1059</v>
      </c>
      <c r="C45" s="346"/>
      <c r="D45" s="346"/>
      <c r="E45" s="346"/>
      <c r="F45" s="23">
        <v>0</v>
      </c>
    </row>
    <row r="46" spans="2:6" ht="15.75" customHeight="1" x14ac:dyDescent="0.25">
      <c r="B46" s="46"/>
      <c r="C46" s="46"/>
      <c r="D46" s="46"/>
      <c r="E46" s="46"/>
      <c r="F46" s="133"/>
    </row>
    <row r="47" spans="2:6" x14ac:dyDescent="0.25">
      <c r="B47" s="396" t="s">
        <v>1061</v>
      </c>
      <c r="C47" s="234"/>
      <c r="D47" s="7" t="s">
        <v>1062</v>
      </c>
      <c r="E47" s="7" t="s">
        <v>1063</v>
      </c>
      <c r="F47" s="9" t="s">
        <v>1064</v>
      </c>
    </row>
    <row r="48" spans="2:6" x14ac:dyDescent="0.25">
      <c r="B48" s="401"/>
      <c r="C48" s="228"/>
      <c r="D48" s="8" t="s">
        <v>1065</v>
      </c>
      <c r="E48" s="8" t="s">
        <v>137</v>
      </c>
      <c r="F48" s="10"/>
    </row>
    <row r="49" spans="2:6" x14ac:dyDescent="0.25">
      <c r="B49" s="401"/>
      <c r="C49" s="228"/>
      <c r="D49" s="8" t="s">
        <v>1066</v>
      </c>
      <c r="E49" s="8"/>
      <c r="F49" s="10"/>
    </row>
    <row r="50" spans="2:6" x14ac:dyDescent="0.25">
      <c r="B50" s="373"/>
      <c r="C50" s="229"/>
      <c r="D50" s="11" t="s">
        <v>138</v>
      </c>
      <c r="E50" s="11" t="s">
        <v>139</v>
      </c>
      <c r="F50" s="12" t="s">
        <v>140</v>
      </c>
    </row>
    <row r="51" spans="2:6" x14ac:dyDescent="0.25">
      <c r="B51" s="266" t="s">
        <v>1067</v>
      </c>
      <c r="C51" s="267"/>
      <c r="D51" s="31">
        <f>'RREO A6'!C88</f>
        <v>0</v>
      </c>
      <c r="E51" s="31">
        <f>'RREO A6'!C85</f>
        <v>0</v>
      </c>
      <c r="F51" s="207" t="e">
        <f>E51/D51</f>
        <v>#DIV/0!</v>
      </c>
    </row>
    <row r="52" spans="2:6" ht="15.75" customHeight="1" x14ac:dyDescent="0.25">
      <c r="B52" s="339" t="s">
        <v>1068</v>
      </c>
      <c r="C52" s="340"/>
      <c r="D52" s="22">
        <f>'RREO A6'!C112</f>
        <v>3120489</v>
      </c>
      <c r="E52" s="22">
        <f>'RREO A6'!C109</f>
        <v>0</v>
      </c>
      <c r="F52" s="208">
        <f>E52/D52</f>
        <v>0</v>
      </c>
    </row>
    <row r="53" spans="2:6" ht="15.75" customHeight="1" x14ac:dyDescent="0.25">
      <c r="B53" s="46"/>
      <c r="C53" s="46"/>
      <c r="D53" s="46"/>
      <c r="E53" s="46"/>
      <c r="F53" s="133"/>
    </row>
    <row r="54" spans="2:6" x14ac:dyDescent="0.25">
      <c r="B54" s="234" t="s">
        <v>1069</v>
      </c>
      <c r="C54" s="199" t="s">
        <v>1070</v>
      </c>
      <c r="D54" s="7" t="s">
        <v>1071</v>
      </c>
      <c r="E54" s="7" t="s">
        <v>1072</v>
      </c>
      <c r="F54" s="9" t="s">
        <v>623</v>
      </c>
    </row>
    <row r="55" spans="2:6" x14ac:dyDescent="0.25">
      <c r="B55" s="229"/>
      <c r="C55" s="200"/>
      <c r="D55" s="11" t="s">
        <v>137</v>
      </c>
      <c r="E55" s="11" t="s">
        <v>137</v>
      </c>
      <c r="F55" s="12" t="s">
        <v>1073</v>
      </c>
    </row>
    <row r="56" spans="2:6" x14ac:dyDescent="0.25">
      <c r="B56" s="57" t="s">
        <v>617</v>
      </c>
      <c r="C56" s="31">
        <f>SUM(C57:C58)</f>
        <v>0</v>
      </c>
      <c r="D56" s="31">
        <f>SUM(D57:D58)</f>
        <v>0</v>
      </c>
      <c r="E56" s="31">
        <f>SUM(E57:E58)</f>
        <v>0</v>
      </c>
      <c r="F56" s="32">
        <f t="shared" ref="F56:F62" si="0">C56-D56-E56</f>
        <v>0</v>
      </c>
    </row>
    <row r="57" spans="2:6" x14ac:dyDescent="0.25">
      <c r="B57" s="33" t="s">
        <v>1074</v>
      </c>
      <c r="C57" s="31">
        <f>'RREO A7'!C15+'RREO A7'!D15</f>
        <v>0</v>
      </c>
      <c r="D57" s="31">
        <f>'RREO A7'!F15</f>
        <v>0</v>
      </c>
      <c r="E57" s="31">
        <f>'RREO A7'!E15</f>
        <v>0</v>
      </c>
      <c r="F57" s="32">
        <f t="shared" si="0"/>
        <v>0</v>
      </c>
    </row>
    <row r="58" spans="2:6" x14ac:dyDescent="0.25">
      <c r="B58" s="33" t="s">
        <v>1075</v>
      </c>
      <c r="C58" s="31">
        <f>'RREO A7'!C16+'RREO A7'!D16</f>
        <v>0</v>
      </c>
      <c r="D58" s="31">
        <f>'RREO A7'!F16</f>
        <v>0</v>
      </c>
      <c r="E58" s="31">
        <f>'RREO A7'!E16</f>
        <v>0</v>
      </c>
      <c r="F58" s="32">
        <f t="shared" si="0"/>
        <v>0</v>
      </c>
    </row>
    <row r="59" spans="2:6" x14ac:dyDescent="0.25">
      <c r="B59" s="57" t="s">
        <v>618</v>
      </c>
      <c r="C59" s="31">
        <f>SUM(C60:C61)</f>
        <v>0</v>
      </c>
      <c r="D59" s="31">
        <f>SUM(D60:D61)</f>
        <v>0</v>
      </c>
      <c r="E59" s="31">
        <f>SUM(E60:E61)</f>
        <v>0</v>
      </c>
      <c r="F59" s="32">
        <f t="shared" si="0"/>
        <v>0</v>
      </c>
    </row>
    <row r="60" spans="2:6" x14ac:dyDescent="0.25">
      <c r="B60" s="33" t="s">
        <v>1074</v>
      </c>
      <c r="C60" s="31">
        <f>'RREO A7'!H15+'RREO A7'!I15</f>
        <v>0</v>
      </c>
      <c r="D60" s="31">
        <f>'RREO A7'!L15</f>
        <v>0</v>
      </c>
      <c r="E60" s="31">
        <f>'RREO A7'!K15</f>
        <v>0</v>
      </c>
      <c r="F60" s="32">
        <f t="shared" si="0"/>
        <v>0</v>
      </c>
    </row>
    <row r="61" spans="2:6" x14ac:dyDescent="0.25">
      <c r="B61" s="33" t="s">
        <v>1075</v>
      </c>
      <c r="C61" s="31">
        <f>'RREO A7'!H16+'RREO A7'!I16</f>
        <v>0</v>
      </c>
      <c r="D61" s="31">
        <f>'RREO A7'!L16</f>
        <v>0</v>
      </c>
      <c r="E61" s="31">
        <f>'RREO A7'!K16</f>
        <v>0</v>
      </c>
      <c r="F61" s="32">
        <f t="shared" si="0"/>
        <v>0</v>
      </c>
    </row>
    <row r="62" spans="2:6" ht="15.75" customHeight="1" x14ac:dyDescent="0.25">
      <c r="B62" s="16" t="s">
        <v>415</v>
      </c>
      <c r="C62" s="17">
        <f>C56+C59</f>
        <v>0</v>
      </c>
      <c r="D62" s="17">
        <f>D56+D59</f>
        <v>0</v>
      </c>
      <c r="E62" s="17">
        <f>E56+E59</f>
        <v>0</v>
      </c>
      <c r="F62" s="18">
        <f t="shared" si="0"/>
        <v>0</v>
      </c>
    </row>
    <row r="63" spans="2:6" ht="15.75" customHeight="1" x14ac:dyDescent="0.25">
      <c r="B63" s="132"/>
      <c r="C63" s="205"/>
      <c r="D63" s="205"/>
      <c r="E63" s="205"/>
      <c r="F63" s="205"/>
    </row>
    <row r="64" spans="2:6" x14ac:dyDescent="0.25">
      <c r="B64" s="234" t="s">
        <v>1039</v>
      </c>
      <c r="C64" s="251"/>
      <c r="D64" s="97" t="s">
        <v>1040</v>
      </c>
      <c r="E64" s="257" t="s">
        <v>1041</v>
      </c>
      <c r="F64" s="268"/>
    </row>
    <row r="65" spans="2:6" x14ac:dyDescent="0.25">
      <c r="B65" s="229"/>
      <c r="C65" s="252"/>
      <c r="D65" s="100" t="s">
        <v>137</v>
      </c>
      <c r="E65" s="100" t="s">
        <v>1042</v>
      </c>
      <c r="F65" s="12" t="s">
        <v>1043</v>
      </c>
    </row>
    <row r="66" spans="2:6" x14ac:dyDescent="0.25">
      <c r="B66" s="266" t="str">
        <f>_xlfn.CONCAT("Mínimo anual de ",TEXT(paramMinimoMDE,"00%")," das Receitas de Impostos na Manutenção e Desenvolvimento do Ensino")</f>
        <v>Mínimo anual de 25% das Receitas de Impostos na Manutenção e Desenvolvimento do Ensino</v>
      </c>
      <c r="C66" s="267"/>
      <c r="D66" s="31">
        <f>'RREO A8'!G150</f>
        <v>0</v>
      </c>
      <c r="E66" s="75">
        <f>paramMinimoMDE</f>
        <v>0.25</v>
      </c>
      <c r="F66" s="83" t="e">
        <f>'RREO A8'!H150</f>
        <v>#DIV/0!</v>
      </c>
    </row>
    <row r="67" spans="2:6" x14ac:dyDescent="0.25">
      <c r="B67" s="266" t="s">
        <v>1044</v>
      </c>
      <c r="C67" s="267"/>
      <c r="D67" s="31">
        <f>'RREO A8'!G101</f>
        <v>0</v>
      </c>
      <c r="E67" s="75">
        <v>0.7</v>
      </c>
      <c r="F67" s="83" t="e">
        <f>'RREO A8'!H101</f>
        <v>#DIV/0!</v>
      </c>
    </row>
    <row r="68" spans="2:6" x14ac:dyDescent="0.25">
      <c r="B68" s="266" t="s">
        <v>1045</v>
      </c>
      <c r="C68" s="267"/>
      <c r="D68" s="31">
        <f>'RREO A8'!G102</f>
        <v>0</v>
      </c>
      <c r="E68" s="75">
        <v>0.5</v>
      </c>
      <c r="F68" s="83">
        <f>'RREO A8'!H102</f>
        <v>0</v>
      </c>
    </row>
    <row r="69" spans="2:6" ht="15.75" customHeight="1" x14ac:dyDescent="0.25">
      <c r="B69" s="339" t="s">
        <v>1046</v>
      </c>
      <c r="C69" s="340"/>
      <c r="D69" s="22">
        <f>'RREO A8'!G103</f>
        <v>0</v>
      </c>
      <c r="E69" s="101">
        <v>0.15</v>
      </c>
      <c r="F69" s="102">
        <f>'RREO A8'!H103</f>
        <v>0</v>
      </c>
    </row>
    <row r="70" spans="2:6" ht="15.75" customHeight="1" x14ac:dyDescent="0.25">
      <c r="B70" s="132"/>
      <c r="C70" s="205"/>
      <c r="D70" s="205"/>
      <c r="E70" s="205"/>
      <c r="F70" s="205"/>
    </row>
    <row r="71" spans="2:6" x14ac:dyDescent="0.25">
      <c r="B71" s="399" t="s">
        <v>1076</v>
      </c>
      <c r="C71" s="399"/>
      <c r="D71" s="259"/>
      <c r="E71" s="201" t="s">
        <v>1077</v>
      </c>
      <c r="F71" s="202" t="s">
        <v>1078</v>
      </c>
    </row>
    <row r="72" spans="2:6" x14ac:dyDescent="0.25">
      <c r="B72" s="247" t="s">
        <v>1079</v>
      </c>
      <c r="C72" s="247"/>
      <c r="D72" s="266"/>
      <c r="E72" s="31" t="e">
        <f>'RREO A9'!D11</f>
        <v>#REF!</v>
      </c>
      <c r="F72" s="32" t="e">
        <f>'RREO A9'!E11</f>
        <v>#REF!</v>
      </c>
    </row>
    <row r="73" spans="2:6" ht="15.75" customHeight="1" x14ac:dyDescent="0.25">
      <c r="B73" s="400" t="s">
        <v>1080</v>
      </c>
      <c r="C73" s="400"/>
      <c r="D73" s="339"/>
      <c r="E73" s="22" t="e">
        <f>'RREO A9'!D21</f>
        <v>#REF!</v>
      </c>
      <c r="F73" s="23" t="e">
        <f>'RREO A9'!E21</f>
        <v>#REF!</v>
      </c>
    </row>
    <row r="74" spans="2:6" ht="15.75" customHeight="1" x14ac:dyDescent="0.25">
      <c r="B74" s="132"/>
      <c r="C74" s="205"/>
      <c r="D74" s="205"/>
      <c r="E74" s="205"/>
      <c r="F74" s="205"/>
    </row>
    <row r="75" spans="2:6" x14ac:dyDescent="0.25">
      <c r="B75" s="203" t="s">
        <v>1081</v>
      </c>
      <c r="C75" s="203" t="s">
        <v>1082</v>
      </c>
      <c r="D75" s="47" t="s">
        <v>1083</v>
      </c>
      <c r="E75" s="47" t="s">
        <v>1084</v>
      </c>
      <c r="F75" s="25" t="s">
        <v>1085</v>
      </c>
    </row>
    <row r="76" spans="2:6" x14ac:dyDescent="0.25">
      <c r="B76" s="57" t="s">
        <v>1054</v>
      </c>
      <c r="C76" s="31"/>
      <c r="D76" s="31"/>
      <c r="E76" s="31"/>
      <c r="F76" s="32"/>
    </row>
    <row r="77" spans="2:6" x14ac:dyDescent="0.25">
      <c r="B77" s="33" t="s">
        <v>1055</v>
      </c>
      <c r="C77" s="31">
        <f>'RREO A10'!C13</f>
        <v>4983726.3899999997</v>
      </c>
      <c r="D77" s="31">
        <f>'RREO A10'!C22</f>
        <v>5970297.6699999999</v>
      </c>
      <c r="E77" s="31">
        <f>'RREO A10'!C32</f>
        <v>6465660.6900000004</v>
      </c>
      <c r="F77" s="32">
        <f>'RREO A10'!C47</f>
        <v>3446354.93</v>
      </c>
    </row>
    <row r="78" spans="2:6" x14ac:dyDescent="0.25">
      <c r="B78" s="33" t="s">
        <v>1056</v>
      </c>
      <c r="C78" s="31">
        <f>'RREO A10'!D13</f>
        <v>2855735.93</v>
      </c>
      <c r="D78" s="31">
        <f>'RREO A10'!D22</f>
        <v>4473645.32</v>
      </c>
      <c r="E78" s="31">
        <f>'RREO A10'!D32</f>
        <v>6189800.2000000002</v>
      </c>
      <c r="F78" s="32">
        <f>'RREO A10'!D47</f>
        <v>6416972.8300000001</v>
      </c>
    </row>
    <row r="79" spans="2:6" x14ac:dyDescent="0.25">
      <c r="B79" s="33" t="s">
        <v>1057</v>
      </c>
      <c r="C79" s="31">
        <f>'RREO A10'!D13</f>
        <v>2855735.93</v>
      </c>
      <c r="D79" s="31">
        <f>'RREO A10'!D22</f>
        <v>4473645.32</v>
      </c>
      <c r="E79" s="31">
        <f>'RREO A10'!D32</f>
        <v>6189800.2000000002</v>
      </c>
      <c r="F79" s="32">
        <f>'RREO A10'!D47</f>
        <v>6416972.8300000001</v>
      </c>
    </row>
    <row r="80" spans="2:6" x14ac:dyDescent="0.25">
      <c r="B80" s="33" t="s">
        <v>1058</v>
      </c>
      <c r="C80" s="31">
        <f>'RREO A10'!D13</f>
        <v>2855735.93</v>
      </c>
      <c r="D80" s="31">
        <f>'RREO A10'!D22</f>
        <v>4473645.32</v>
      </c>
      <c r="E80" s="31">
        <f>'RREO A10'!D32</f>
        <v>6189800.2000000002</v>
      </c>
      <c r="F80" s="32">
        <f>'RREO A10'!D47</f>
        <v>6416972.8300000001</v>
      </c>
    </row>
    <row r="81" spans="2:6" x14ac:dyDescent="0.25">
      <c r="B81" s="33" t="s">
        <v>1059</v>
      </c>
      <c r="C81" s="31">
        <f>'RREO A10'!E13</f>
        <v>2127990.4599999995</v>
      </c>
      <c r="D81" s="31">
        <f>'RREO A10'!E22</f>
        <v>1496652.3499999996</v>
      </c>
      <c r="E81" s="31">
        <f>'RREO A10'!E32</f>
        <v>275860.49000000022</v>
      </c>
      <c r="F81" s="32">
        <f>'RREO A10'!E47</f>
        <v>-2970617.9</v>
      </c>
    </row>
    <row r="82" spans="2:6" x14ac:dyDescent="0.25">
      <c r="B82" s="57" t="s">
        <v>1060</v>
      </c>
      <c r="C82" s="31"/>
      <c r="D82" s="31"/>
      <c r="E82" s="31"/>
      <c r="F82" s="32"/>
    </row>
    <row r="83" spans="2:6" x14ac:dyDescent="0.25">
      <c r="B83" s="33" t="s">
        <v>1055</v>
      </c>
      <c r="C83" s="31"/>
      <c r="D83" s="31"/>
      <c r="E83" s="31"/>
      <c r="F83" s="32"/>
    </row>
    <row r="84" spans="2:6" x14ac:dyDescent="0.25">
      <c r="B84" s="33" t="s">
        <v>1056</v>
      </c>
      <c r="C84" s="31"/>
      <c r="D84" s="31"/>
      <c r="E84" s="31"/>
      <c r="F84" s="32"/>
    </row>
    <row r="85" spans="2:6" x14ac:dyDescent="0.25">
      <c r="B85" s="33" t="s">
        <v>1057</v>
      </c>
      <c r="C85" s="31"/>
      <c r="D85" s="31"/>
      <c r="E85" s="31"/>
      <c r="F85" s="32"/>
    </row>
    <row r="86" spans="2:6" x14ac:dyDescent="0.25">
      <c r="B86" s="33" t="s">
        <v>1058</v>
      </c>
      <c r="C86" s="31"/>
      <c r="D86" s="31"/>
      <c r="E86" s="31"/>
      <c r="F86" s="32"/>
    </row>
    <row r="87" spans="2:6" ht="15.75" customHeight="1" x14ac:dyDescent="0.25">
      <c r="B87" s="61" t="s">
        <v>1059</v>
      </c>
      <c r="C87" s="22"/>
      <c r="D87" s="22"/>
      <c r="E87" s="22"/>
      <c r="F87" s="23"/>
    </row>
    <row r="88" spans="2:6" ht="15.75" customHeight="1" x14ac:dyDescent="0.25">
      <c r="B88" s="132"/>
      <c r="C88" s="205"/>
      <c r="D88" s="205"/>
      <c r="E88" s="205"/>
      <c r="F88" s="205"/>
    </row>
    <row r="89" spans="2:6" x14ac:dyDescent="0.25">
      <c r="B89" s="399" t="s">
        <v>1086</v>
      </c>
      <c r="C89" s="399"/>
      <c r="D89" s="259"/>
      <c r="E89" s="201" t="s">
        <v>1077</v>
      </c>
      <c r="F89" s="202" t="s">
        <v>1087</v>
      </c>
    </row>
    <row r="90" spans="2:6" x14ac:dyDescent="0.25">
      <c r="B90" s="247" t="s">
        <v>1088</v>
      </c>
      <c r="C90" s="247"/>
      <c r="D90" s="266"/>
      <c r="E90" s="31" t="e">
        <f>'RREO A11'!H11</f>
        <v>#REF!</v>
      </c>
      <c r="F90" s="32" t="e">
        <f>'RREO A11'!I11</f>
        <v>#REF!</v>
      </c>
    </row>
    <row r="91" spans="2:6" ht="15.75" customHeight="1" x14ac:dyDescent="0.25">
      <c r="B91" s="400" t="s">
        <v>1089</v>
      </c>
      <c r="C91" s="400"/>
      <c r="D91" s="339"/>
      <c r="E91" s="22" t="e">
        <f>'RREO A11'!D21</f>
        <v>#REF!</v>
      </c>
      <c r="F91" s="23" t="e">
        <f>'RREO A11'!I21</f>
        <v>#REF!</v>
      </c>
    </row>
    <row r="92" spans="2:6" ht="15.75" customHeight="1" x14ac:dyDescent="0.25"/>
    <row r="93" spans="2:6" x14ac:dyDescent="0.25">
      <c r="B93" s="363" t="s">
        <v>1047</v>
      </c>
      <c r="C93" s="253"/>
      <c r="D93" s="97" t="s">
        <v>1040</v>
      </c>
      <c r="E93" s="257" t="s">
        <v>1041</v>
      </c>
      <c r="F93" s="268"/>
    </row>
    <row r="94" spans="2:6" x14ac:dyDescent="0.25">
      <c r="B94" s="344"/>
      <c r="C94" s="324"/>
      <c r="D94" s="100" t="s">
        <v>137</v>
      </c>
      <c r="E94" s="100" t="s">
        <v>1042</v>
      </c>
      <c r="F94" s="12" t="s">
        <v>1043</v>
      </c>
    </row>
    <row r="95" spans="2:6" ht="15.75" customHeight="1" x14ac:dyDescent="0.25">
      <c r="B95" s="339" t="s">
        <v>1048</v>
      </c>
      <c r="C95" s="340"/>
      <c r="D95" s="22">
        <f>IF(MONTH(paramDataBase)=12,'RREO A12'!J58,'RREO A12'!K58)</f>
        <v>0</v>
      </c>
      <c r="E95" s="101">
        <f>paramMinimoASPS</f>
        <v>0.15</v>
      </c>
      <c r="F95" s="102" t="e">
        <f>IF(MONTH(paramDataBase)=12,'RREO A12'!J63,'RREO A12'!K63)</f>
        <v>#DIV/0!</v>
      </c>
    </row>
    <row r="96" spans="2:6" ht="15.75" customHeight="1" x14ac:dyDescent="0.25">
      <c r="B96" s="46"/>
      <c r="C96" s="46"/>
      <c r="D96" s="133"/>
      <c r="E96" s="134"/>
      <c r="F96" s="134"/>
    </row>
    <row r="97" spans="2:6" x14ac:dyDescent="0.25">
      <c r="B97" s="396" t="s">
        <v>1090</v>
      </c>
      <c r="C97" s="396"/>
      <c r="D97" s="396"/>
      <c r="E97" s="234"/>
      <c r="F97" s="9" t="s">
        <v>1091</v>
      </c>
    </row>
    <row r="98" spans="2:6" ht="15.75" customHeight="1" x14ac:dyDescent="0.25">
      <c r="B98" s="397"/>
      <c r="C98" s="397"/>
      <c r="D98" s="397"/>
      <c r="E98" s="398"/>
      <c r="F98" s="206" t="s">
        <v>1092</v>
      </c>
    </row>
    <row r="99" spans="2:6" ht="15.75" customHeight="1" x14ac:dyDescent="0.25">
      <c r="B99" s="339" t="s">
        <v>1093</v>
      </c>
      <c r="C99" s="340"/>
      <c r="D99" s="340"/>
      <c r="E99" s="340"/>
      <c r="F99" s="23">
        <f>'RREO A13'!D30</f>
        <v>0</v>
      </c>
    </row>
    <row r="100" spans="2:6" x14ac:dyDescent="0.25">
      <c r="B100" s="249" t="str">
        <f ca="1">_xlfn.CONCAT("Fonte: ",paramFonte,". Emissão em ",TEXT(NOW(),"dd/mm/aaaa \à\s hh:mm:ss"))</f>
        <v>Fonte: Sistema MS Excel + SIAPC/PAD, Unidade Responsável: Secretaria da Fazenda / Setor de Contabilidade. Emissão em 09/05/2024 às 09:42:51</v>
      </c>
      <c r="C100" s="249"/>
      <c r="D100" s="249"/>
      <c r="E100" s="249"/>
      <c r="F100" s="249"/>
    </row>
    <row r="102" spans="2:6" x14ac:dyDescent="0.25">
      <c r="B102" t="s">
        <v>253</v>
      </c>
    </row>
    <row r="103" spans="2:6" x14ac:dyDescent="0.25">
      <c r="B103" s="247" t="str">
        <f>IFERROR(_xlfn.CONCAT(_xlfn._xlws.FILTER(tblNotasExplicativas[Nota Com Separador],tblNotasExplicativas[Demonstrativo]="RREO A14 Resumido")),"")</f>
        <v xml:space="preserve">Republicação em virtude de diversas inconsistências identificadas posteriormente à publicação inicial. </v>
      </c>
      <c r="C103" s="247"/>
      <c r="D103" s="247"/>
      <c r="E103" s="247"/>
      <c r="F103" s="247"/>
    </row>
    <row r="107" spans="2:6" x14ac:dyDescent="0.25">
      <c r="B107" t="str">
        <f>paramNomeContador</f>
        <v>EVERTON DA ROSA</v>
      </c>
      <c r="C107" s="247" t="str">
        <f>paramNomeSecretario</f>
        <v>ANA PAULA RODRIGUES SCHNEIDER SCHMIDT</v>
      </c>
      <c r="D107" s="247"/>
      <c r="F107" t="str">
        <f>paramNomePrefeito</f>
        <v>JOÃO EDÉCIO GRAEF</v>
      </c>
    </row>
    <row r="108" spans="2:6" x14ac:dyDescent="0.25">
      <c r="B108" t="str">
        <f>paramCargoContador</f>
        <v>Contador</v>
      </c>
      <c r="C108" s="247" t="str">
        <f>paramCargoSecretario</f>
        <v>Secretária da Fazenda</v>
      </c>
      <c r="D108" s="247"/>
      <c r="F108" t="str">
        <f>paramCargoPrefeito</f>
        <v>Prefeito Municipal</v>
      </c>
    </row>
    <row r="109" spans="2:6" x14ac:dyDescent="0.25">
      <c r="B109" t="str">
        <f>_xlfn.CONCAT("CRC ",paramCRCContador)</f>
        <v>CRC 076595/O-3</v>
      </c>
    </row>
  </sheetData>
  <mergeCells count="65">
    <mergeCell ref="B14:E14"/>
    <mergeCell ref="B2:F2"/>
    <mergeCell ref="B3:F3"/>
    <mergeCell ref="B4:F4"/>
    <mergeCell ref="B5:F5"/>
    <mergeCell ref="B6:F6"/>
    <mergeCell ref="B8:E8"/>
    <mergeCell ref="B9:E9"/>
    <mergeCell ref="B10:E10"/>
    <mergeCell ref="B11:E11"/>
    <mergeCell ref="B12:E12"/>
    <mergeCell ref="B13:E13"/>
    <mergeCell ref="E64:F64"/>
    <mergeCell ref="B34:E34"/>
    <mergeCell ref="B45:E45"/>
    <mergeCell ref="B15:E15"/>
    <mergeCell ref="B16:E16"/>
    <mergeCell ref="B17:E17"/>
    <mergeCell ref="B18:E18"/>
    <mergeCell ref="B19:E19"/>
    <mergeCell ref="B20:E20"/>
    <mergeCell ref="B21:E21"/>
    <mergeCell ref="B22:E22"/>
    <mergeCell ref="B24:E24"/>
    <mergeCell ref="B25:E25"/>
    <mergeCell ref="B26:E26"/>
    <mergeCell ref="B41:E41"/>
    <mergeCell ref="B42:E42"/>
    <mergeCell ref="B100:F100"/>
    <mergeCell ref="B103:F103"/>
    <mergeCell ref="C107:D107"/>
    <mergeCell ref="C108:D108"/>
    <mergeCell ref="B28:E28"/>
    <mergeCell ref="B29:E29"/>
    <mergeCell ref="B31:E31"/>
    <mergeCell ref="B30:E30"/>
    <mergeCell ref="B33:E33"/>
    <mergeCell ref="B66:C66"/>
    <mergeCell ref="B67:C67"/>
    <mergeCell ref="B68:C68"/>
    <mergeCell ref="B69:C69"/>
    <mergeCell ref="B93:C94"/>
    <mergeCell ref="E93:F93"/>
    <mergeCell ref="B64:C65"/>
    <mergeCell ref="B43:E43"/>
    <mergeCell ref="B44:E44"/>
    <mergeCell ref="B35:E35"/>
    <mergeCell ref="B36:E36"/>
    <mergeCell ref="B37:E37"/>
    <mergeCell ref="B38:E38"/>
    <mergeCell ref="B39:E39"/>
    <mergeCell ref="B40:E40"/>
    <mergeCell ref="B54:B55"/>
    <mergeCell ref="B71:D71"/>
    <mergeCell ref="B72:D72"/>
    <mergeCell ref="B73:D73"/>
    <mergeCell ref="B47:C50"/>
    <mergeCell ref="B51:C51"/>
    <mergeCell ref="B52:C52"/>
    <mergeCell ref="B99:E99"/>
    <mergeCell ref="B97:E98"/>
    <mergeCell ref="B89:D89"/>
    <mergeCell ref="B90:D90"/>
    <mergeCell ref="B91:D91"/>
    <mergeCell ref="B95:C95"/>
  </mergeCells>
  <pageMargins left="0.25" right="0.25" top="0.75" bottom="0.75" header="0.3" footer="0.3"/>
  <pageSetup paperSize="9" scale="63"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853C0C"/>
    <pageSetUpPr fitToPage="1"/>
  </sheetPr>
  <dimension ref="B2:P57"/>
  <sheetViews>
    <sheetView topLeftCell="A23" workbookViewId="0">
      <selection activeCell="K42" sqref="K42:N42"/>
    </sheetView>
  </sheetViews>
  <sheetFormatPr defaultRowHeight="15" x14ac:dyDescent="0.25"/>
  <cols>
    <col min="2" max="2" width="65.85546875" customWidth="1"/>
    <col min="3" max="13" width="13.28515625" customWidth="1"/>
    <col min="14" max="14" width="12.42578125" customWidth="1"/>
    <col min="15" max="15" width="18.42578125" customWidth="1"/>
    <col min="16" max="16" width="19.28515625" customWidth="1"/>
    <col min="17" max="17" width="11.2851562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633</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3"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SUM(C26:C32)</f>
        <v>0</v>
      </c>
      <c r="D25" s="149">
        <f t="shared" ref="D25:N25" si="4">SUM(D26:D32)</f>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ht="30" customHeight="1" x14ac:dyDescent="0.25">
      <c r="B26" s="148" t="s">
        <v>1111</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30" x14ac:dyDescent="0.25">
      <c r="B30" s="148" t="s">
        <v>1313</v>
      </c>
      <c r="C30" s="31"/>
      <c r="D30" s="31"/>
      <c r="E30" s="31"/>
      <c r="F30" s="31"/>
      <c r="G30" s="31"/>
      <c r="H30" s="31"/>
      <c r="I30" s="31"/>
      <c r="J30" s="31"/>
      <c r="K30" s="31"/>
      <c r="L30" s="31"/>
      <c r="M30" s="31"/>
      <c r="N30" s="31"/>
      <c r="O30" s="31">
        <f t="shared" ref="O30:O32" si="5">SUM(C30:N30)</f>
        <v>0</v>
      </c>
      <c r="P30" s="32"/>
    </row>
    <row r="31" spans="2:16" ht="30" x14ac:dyDescent="0.25">
      <c r="B31" s="148" t="s">
        <v>1314</v>
      </c>
      <c r="C31" s="31"/>
      <c r="D31" s="31"/>
      <c r="E31" s="31"/>
      <c r="F31" s="31"/>
      <c r="G31" s="31"/>
      <c r="H31" s="31"/>
      <c r="I31" s="31"/>
      <c r="J31" s="31"/>
      <c r="K31" s="31"/>
      <c r="L31" s="31"/>
      <c r="M31" s="31"/>
      <c r="N31" s="31"/>
      <c r="O31" s="31">
        <f t="shared" si="5"/>
        <v>0</v>
      </c>
      <c r="P31" s="32"/>
    </row>
    <row r="32" spans="2:16" x14ac:dyDescent="0.25">
      <c r="B32" s="33" t="s">
        <v>1315</v>
      </c>
      <c r="C32" s="31"/>
      <c r="D32" s="31"/>
      <c r="E32" s="31"/>
      <c r="F32" s="31"/>
      <c r="G32" s="31"/>
      <c r="H32" s="31"/>
      <c r="I32" s="31"/>
      <c r="J32" s="31"/>
      <c r="K32" s="31"/>
      <c r="L32" s="31"/>
      <c r="M32" s="31"/>
      <c r="N32" s="31"/>
      <c r="O32" s="31">
        <f t="shared" si="5"/>
        <v>0</v>
      </c>
      <c r="P32" s="32"/>
    </row>
    <row r="33" spans="2:16" ht="15.75" customHeight="1" x14ac:dyDescent="0.25">
      <c r="B33" s="151" t="s">
        <v>1115</v>
      </c>
      <c r="C33" s="152">
        <f t="shared" ref="C33:N33" si="6">C16-C25</f>
        <v>0</v>
      </c>
      <c r="D33" s="152">
        <f t="shared" si="6"/>
        <v>0</v>
      </c>
      <c r="E33" s="152">
        <f t="shared" si="6"/>
        <v>0</v>
      </c>
      <c r="F33" s="152">
        <f t="shared" si="6"/>
        <v>0</v>
      </c>
      <c r="G33" s="152">
        <f t="shared" si="6"/>
        <v>0</v>
      </c>
      <c r="H33" s="152">
        <f t="shared" si="6"/>
        <v>0</v>
      </c>
      <c r="I33" s="152">
        <f t="shared" si="6"/>
        <v>0</v>
      </c>
      <c r="J33" s="152">
        <f t="shared" si="6"/>
        <v>0</v>
      </c>
      <c r="K33" s="152">
        <f t="shared" si="6"/>
        <v>0</v>
      </c>
      <c r="L33" s="152">
        <f t="shared" si="6"/>
        <v>0</v>
      </c>
      <c r="M33" s="152">
        <f t="shared" si="6"/>
        <v>0</v>
      </c>
      <c r="N33" s="152">
        <f t="shared" si="6"/>
        <v>0</v>
      </c>
      <c r="O33" s="152">
        <f t="shared" si="1"/>
        <v>0</v>
      </c>
      <c r="P33" s="153">
        <f>P16-P25</f>
        <v>0</v>
      </c>
    </row>
    <row r="34" spans="2:16" ht="15.75" customHeight="1" x14ac:dyDescent="0.25"/>
    <row r="35" spans="2:16" x14ac:dyDescent="0.25">
      <c r="B35" s="276" t="s">
        <v>1116</v>
      </c>
      <c r="C35" s="277"/>
      <c r="D35" s="277"/>
      <c r="E35" s="277"/>
      <c r="F35" s="277"/>
      <c r="G35" s="277"/>
      <c r="H35" s="277"/>
      <c r="I35" s="277"/>
      <c r="J35" s="277"/>
      <c r="K35" s="257" t="s">
        <v>488</v>
      </c>
      <c r="L35" s="257"/>
      <c r="M35" s="257"/>
      <c r="N35" s="257"/>
      <c r="O35" s="257" t="s">
        <v>1117</v>
      </c>
      <c r="P35" s="268"/>
    </row>
    <row r="36" spans="2:16" x14ac:dyDescent="0.25">
      <c r="B36" s="290" t="s">
        <v>1118</v>
      </c>
      <c r="C36" s="291"/>
      <c r="D36" s="291"/>
      <c r="E36" s="291"/>
      <c r="F36" s="291"/>
      <c r="G36" s="291"/>
      <c r="H36" s="291"/>
      <c r="I36" s="291"/>
      <c r="J36" s="291"/>
      <c r="K36" s="413">
        <f>'RREO A3'!O40</f>
        <v>0</v>
      </c>
      <c r="L36" s="413"/>
      <c r="M36" s="413"/>
      <c r="N36" s="413"/>
      <c r="O36" s="414"/>
      <c r="P36" s="415"/>
    </row>
    <row r="37" spans="2:16" x14ac:dyDescent="0.25">
      <c r="B37" s="232" t="s">
        <v>1317</v>
      </c>
      <c r="C37" s="233"/>
      <c r="D37" s="233"/>
      <c r="E37" s="233"/>
      <c r="F37" s="233"/>
      <c r="G37" s="233"/>
      <c r="H37" s="233"/>
      <c r="I37" s="233"/>
      <c r="J37" s="233"/>
      <c r="K37" s="294">
        <f>'RREO A3'!O41</f>
        <v>0</v>
      </c>
      <c r="L37" s="294"/>
      <c r="M37" s="294"/>
      <c r="N37" s="294"/>
      <c r="O37" s="411"/>
      <c r="P37" s="412"/>
    </row>
    <row r="38" spans="2:16" x14ac:dyDescent="0.25">
      <c r="B38" s="232" t="s">
        <v>1310</v>
      </c>
      <c r="C38" s="233"/>
      <c r="D38" s="233"/>
      <c r="E38" s="233"/>
      <c r="F38" s="233"/>
      <c r="G38" s="233"/>
      <c r="H38" s="233"/>
      <c r="I38" s="233"/>
      <c r="J38" s="233"/>
      <c r="K38" s="294">
        <f>'RREO A3'!O43</f>
        <v>0</v>
      </c>
      <c r="L38" s="294"/>
      <c r="M38" s="294"/>
      <c r="N38" s="294"/>
      <c r="O38" s="411"/>
      <c r="P38" s="412"/>
    </row>
    <row r="39" spans="2:16" x14ac:dyDescent="0.25">
      <c r="B39" s="232" t="s">
        <v>1316</v>
      </c>
      <c r="C39" s="233"/>
      <c r="D39" s="233"/>
      <c r="E39" s="233"/>
      <c r="F39" s="233"/>
      <c r="G39" s="233"/>
      <c r="H39" s="233"/>
      <c r="I39" s="233"/>
      <c r="J39" s="233"/>
      <c r="K39" s="294">
        <f>'RREO A3'!O44</f>
        <v>0</v>
      </c>
      <c r="L39" s="294"/>
      <c r="M39" s="294"/>
      <c r="N39" s="294"/>
      <c r="O39" s="411"/>
      <c r="P39" s="412"/>
    </row>
    <row r="40" spans="2:16" x14ac:dyDescent="0.25">
      <c r="B40" s="232" t="s">
        <v>1318</v>
      </c>
      <c r="C40" s="233"/>
      <c r="D40" s="233"/>
      <c r="E40" s="233"/>
      <c r="F40" s="233"/>
      <c r="G40" s="233"/>
      <c r="H40" s="233"/>
      <c r="I40" s="233"/>
      <c r="J40" s="233"/>
      <c r="K40" s="294">
        <f>'RREO A3'!O45</f>
        <v>0</v>
      </c>
      <c r="L40" s="294"/>
      <c r="M40" s="294"/>
      <c r="N40" s="294"/>
      <c r="O40" s="411"/>
      <c r="P40" s="412"/>
    </row>
    <row r="41" spans="2:16" x14ac:dyDescent="0.25">
      <c r="B41" s="420" t="s">
        <v>1319</v>
      </c>
      <c r="C41" s="421"/>
      <c r="D41" s="421"/>
      <c r="E41" s="421"/>
      <c r="F41" s="421"/>
      <c r="G41" s="421"/>
      <c r="H41" s="421"/>
      <c r="I41" s="421"/>
      <c r="J41" s="421"/>
      <c r="K41" s="405">
        <f>K36-K37-K38-K39-K40</f>
        <v>0</v>
      </c>
      <c r="L41" s="405"/>
      <c r="M41" s="405"/>
      <c r="N41" s="405"/>
      <c r="O41" s="406"/>
      <c r="P41" s="407"/>
    </row>
    <row r="42" spans="2:16" x14ac:dyDescent="0.25">
      <c r="B42" s="416" t="s">
        <v>1320</v>
      </c>
      <c r="C42" s="417"/>
      <c r="D42" s="417"/>
      <c r="E42" s="417"/>
      <c r="F42" s="417"/>
      <c r="G42" s="417"/>
      <c r="H42" s="417"/>
      <c r="I42" s="417"/>
      <c r="J42" s="417"/>
      <c r="K42" s="408">
        <f>O33+P33</f>
        <v>0</v>
      </c>
      <c r="L42" s="408"/>
      <c r="M42" s="408"/>
      <c r="N42" s="408"/>
      <c r="O42" s="409" t="e">
        <f>ROUND(K42/K41,4)</f>
        <v>#DIV/0!</v>
      </c>
      <c r="P42" s="410"/>
    </row>
    <row r="43" spans="2:16" x14ac:dyDescent="0.25">
      <c r="B43" s="422" t="s">
        <v>1321</v>
      </c>
      <c r="C43" s="423"/>
      <c r="D43" s="423"/>
      <c r="E43" s="423"/>
      <c r="F43" s="423"/>
      <c r="G43" s="423"/>
      <c r="H43" s="423"/>
      <c r="I43" s="423"/>
      <c r="J43" s="423"/>
      <c r="K43" s="292">
        <f>$K$41*O43</f>
        <v>0</v>
      </c>
      <c r="L43" s="292"/>
      <c r="M43" s="292"/>
      <c r="N43" s="292"/>
      <c r="O43" s="418">
        <v>0.54</v>
      </c>
      <c r="P43" s="419"/>
    </row>
    <row r="44" spans="2:16" x14ac:dyDescent="0.25">
      <c r="B44" s="232" t="s">
        <v>1322</v>
      </c>
      <c r="C44" s="233"/>
      <c r="D44" s="233"/>
      <c r="E44" s="233"/>
      <c r="F44" s="233"/>
      <c r="G44" s="233"/>
      <c r="H44" s="233"/>
      <c r="I44" s="233"/>
      <c r="J44" s="233"/>
      <c r="K44" s="294">
        <f>$K$41*O44</f>
        <v>0</v>
      </c>
      <c r="L44" s="294"/>
      <c r="M44" s="294"/>
      <c r="N44" s="294"/>
      <c r="O44" s="411">
        <f>O43*0.95</f>
        <v>0.51300000000000001</v>
      </c>
      <c r="P44" s="412"/>
    </row>
    <row r="45" spans="2:16" ht="15.75" customHeight="1" x14ac:dyDescent="0.25">
      <c r="B45" s="424" t="s">
        <v>1323</v>
      </c>
      <c r="C45" s="425"/>
      <c r="D45" s="425"/>
      <c r="E45" s="425"/>
      <c r="F45" s="425"/>
      <c r="G45" s="425"/>
      <c r="H45" s="425"/>
      <c r="I45" s="425"/>
      <c r="J45" s="425"/>
      <c r="K45" s="306">
        <f>$K$41*O45</f>
        <v>0</v>
      </c>
      <c r="L45" s="306"/>
      <c r="M45" s="306"/>
      <c r="N45" s="306"/>
      <c r="O45" s="426">
        <f>O43*0.9</f>
        <v>0.48600000000000004</v>
      </c>
      <c r="P45" s="427"/>
    </row>
    <row r="46" spans="2:16" x14ac:dyDescent="0.25">
      <c r="B46" s="249" t="str">
        <f ca="1">_xlfn.CONCAT("Fonte: ",paramFonte,". Emissão em ",TEXT(NOW(),"dd/mm/aaaa \à\s hh:mm:ss"))</f>
        <v>Fonte: Sistema MS Excel + SIAPC/PAD, Unidade Responsável: Secretaria da Fazenda / Setor de Contabilidade. Emissão em 09/05/2024 às 09:42:51</v>
      </c>
      <c r="C46" s="249"/>
      <c r="D46" s="249"/>
      <c r="E46" s="249"/>
      <c r="F46" s="249"/>
      <c r="G46" s="249"/>
      <c r="H46" s="249"/>
      <c r="I46" s="249"/>
      <c r="J46" s="249"/>
      <c r="K46" s="249"/>
      <c r="L46" s="249"/>
      <c r="M46" s="249"/>
      <c r="N46" s="249"/>
      <c r="O46" s="249"/>
      <c r="P46" s="249"/>
    </row>
    <row r="47" spans="2:16" ht="30" customHeight="1" x14ac:dyDescent="0.25">
      <c r="B47" s="262" t="s">
        <v>1125</v>
      </c>
      <c r="C47" s="262"/>
      <c r="D47" s="262"/>
      <c r="E47" s="262"/>
      <c r="F47" s="262"/>
      <c r="G47" s="262"/>
      <c r="H47" s="262"/>
      <c r="I47" s="262"/>
      <c r="J47" s="262"/>
      <c r="K47" s="262"/>
      <c r="L47" s="262"/>
      <c r="M47" s="262"/>
      <c r="N47" s="262"/>
      <c r="O47" s="262"/>
      <c r="P47" s="262"/>
    </row>
    <row r="49" spans="2:16" x14ac:dyDescent="0.25">
      <c r="B49" t="s">
        <v>253</v>
      </c>
    </row>
    <row r="50" spans="2:16" x14ac:dyDescent="0.25">
      <c r="B50"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50" s="247"/>
      <c r="D50" s="247"/>
      <c r="E50" s="247"/>
      <c r="F50" s="247"/>
      <c r="G50" s="247"/>
      <c r="H50" s="247"/>
      <c r="I50" s="247"/>
      <c r="J50" s="247"/>
      <c r="K50" s="247"/>
      <c r="L50" s="247"/>
      <c r="M50" s="247"/>
      <c r="N50" s="247"/>
      <c r="O50" s="247"/>
      <c r="P50" s="247"/>
    </row>
    <row r="55" spans="2:16" x14ac:dyDescent="0.25">
      <c r="B55" t="str">
        <f>paramNomeContador</f>
        <v>EVERTON DA ROSA</v>
      </c>
      <c r="D55" s="247" t="str">
        <f>paramNomeSecretario</f>
        <v>ANA PAULA RODRIGUES SCHNEIDER SCHMIDT</v>
      </c>
      <c r="E55" s="247"/>
      <c r="F55" s="247"/>
      <c r="H55" s="247" t="str">
        <f>paramNomeControleInterno</f>
        <v>JEAN LENON CORO MONTEIRO</v>
      </c>
      <c r="I55" s="247"/>
      <c r="J55" s="247"/>
      <c r="M55" s="247" t="str">
        <f>paramNomePrefeito</f>
        <v>JOÃO EDÉCIO GRAEF</v>
      </c>
      <c r="N55" s="247"/>
      <c r="O55" s="247"/>
    </row>
    <row r="56" spans="2:16" x14ac:dyDescent="0.25">
      <c r="B56" t="str">
        <f>paramCargoContador</f>
        <v>Contador</v>
      </c>
      <c r="D56" s="247" t="str">
        <f>paramCargoSecretario</f>
        <v>Secretária da Fazenda</v>
      </c>
      <c r="E56" s="247"/>
      <c r="F56" s="247"/>
      <c r="H56" s="247" t="str">
        <f>paramCargoControleInterno</f>
        <v>Controlador Interno</v>
      </c>
      <c r="I56" s="247"/>
      <c r="J56" s="247"/>
      <c r="M56" s="247" t="str">
        <f>paramCargoPrefeito</f>
        <v>Prefeito Municipal</v>
      </c>
      <c r="N56" s="247"/>
      <c r="O56" s="247"/>
    </row>
    <row r="57" spans="2:16" x14ac:dyDescent="0.25">
      <c r="B57" t="str">
        <f>_xlfn.CONCAT("CRC ",paramCRCContador)</f>
        <v>CRC 076595/O-3</v>
      </c>
    </row>
  </sheetData>
  <mergeCells count="53">
    <mergeCell ref="M55:O55"/>
    <mergeCell ref="M56:O56"/>
    <mergeCell ref="B43:J43"/>
    <mergeCell ref="B44:J44"/>
    <mergeCell ref="B45:J45"/>
    <mergeCell ref="D55:F55"/>
    <mergeCell ref="D56:F56"/>
    <mergeCell ref="H55:J55"/>
    <mergeCell ref="H56:J56"/>
    <mergeCell ref="K45:N45"/>
    <mergeCell ref="O45:P45"/>
    <mergeCell ref="B47:P47"/>
    <mergeCell ref="B50:P50"/>
    <mergeCell ref="B35:J35"/>
    <mergeCell ref="B36:J36"/>
    <mergeCell ref="B37:J37"/>
    <mergeCell ref="B38:J38"/>
    <mergeCell ref="B41:J41"/>
    <mergeCell ref="B39:J39"/>
    <mergeCell ref="B40:J40"/>
    <mergeCell ref="O37:P37"/>
    <mergeCell ref="B42:J42"/>
    <mergeCell ref="K43:N43"/>
    <mergeCell ref="O43:P43"/>
    <mergeCell ref="K44:N44"/>
    <mergeCell ref="O44:P44"/>
    <mergeCell ref="K39:N39"/>
    <mergeCell ref="O39:P39"/>
    <mergeCell ref="K40:N40"/>
    <mergeCell ref="O40:P40"/>
    <mergeCell ref="B10:B15"/>
    <mergeCell ref="B46:P46"/>
    <mergeCell ref="K41:N41"/>
    <mergeCell ref="O41:P41"/>
    <mergeCell ref="K42:N42"/>
    <mergeCell ref="O42:P42"/>
    <mergeCell ref="K38:N38"/>
    <mergeCell ref="O38:P38"/>
    <mergeCell ref="C10:P10"/>
    <mergeCell ref="C11:P11"/>
    <mergeCell ref="C12:O12"/>
    <mergeCell ref="O35:P35"/>
    <mergeCell ref="K35:N35"/>
    <mergeCell ref="K36:N36"/>
    <mergeCell ref="O36:P36"/>
    <mergeCell ref="K37:N37"/>
    <mergeCell ref="B9:O9"/>
    <mergeCell ref="B3:P3"/>
    <mergeCell ref="B2:P2"/>
    <mergeCell ref="B4:P4"/>
    <mergeCell ref="B5:P5"/>
    <mergeCell ref="B6:P6"/>
    <mergeCell ref="B7:P7"/>
  </mergeCells>
  <pageMargins left="0.25" right="0.25" top="0.75" bottom="0.75" header="0.3" footer="0.3"/>
  <pageSetup paperSize="9"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548135"/>
  </sheetPr>
  <dimension ref="A1:M251"/>
  <sheetViews>
    <sheetView topLeftCell="A201" workbookViewId="0">
      <selection activeCell="A236" sqref="A236:H251"/>
    </sheetView>
  </sheetViews>
  <sheetFormatPr defaultRowHeight="15" x14ac:dyDescent="0.25"/>
  <cols>
    <col min="1" max="1" width="11.85546875" customWidth="1"/>
    <col min="2" max="2" width="12" customWidth="1"/>
    <col min="3" max="3" width="9.42578125" customWidth="1"/>
    <col min="4" max="4" width="12.42578125" customWidth="1"/>
    <col min="5" max="5" width="19.7109375" customWidth="1"/>
    <col min="6" max="6" width="13.7109375" customWidth="1"/>
    <col min="7" max="7" width="11.85546875" customWidth="1"/>
    <col min="8" max="8" width="10.5703125" customWidth="1"/>
    <col min="9" max="10" width="10.7109375" customWidth="1"/>
    <col min="11" max="11" width="9.5703125" customWidth="1"/>
  </cols>
  <sheetData>
    <row r="1" spans="1:13" x14ac:dyDescent="0.25">
      <c r="A1" t="s">
        <v>74</v>
      </c>
      <c r="B1" t="s">
        <v>16</v>
      </c>
      <c r="C1" t="s">
        <v>75</v>
      </c>
      <c r="D1" t="s">
        <v>76</v>
      </c>
      <c r="E1" t="s">
        <v>77</v>
      </c>
      <c r="F1" t="s">
        <v>78</v>
      </c>
      <c r="G1" t="s">
        <v>79</v>
      </c>
      <c r="H1" t="s">
        <v>80</v>
      </c>
      <c r="I1" t="s">
        <v>81</v>
      </c>
      <c r="J1" t="s">
        <v>2</v>
      </c>
      <c r="K1" t="s">
        <v>82</v>
      </c>
      <c r="L1" t="s">
        <v>83</v>
      </c>
      <c r="M1" t="s">
        <v>84</v>
      </c>
    </row>
    <row r="2" spans="1:13" x14ac:dyDescent="0.25">
      <c r="A2" t="s">
        <v>85</v>
      </c>
      <c r="B2" s="111">
        <v>44957</v>
      </c>
      <c r="C2">
        <v>4</v>
      </c>
      <c r="D2">
        <v>122</v>
      </c>
      <c r="E2" s="169">
        <v>319011010100</v>
      </c>
      <c r="F2" s="110">
        <v>921.93</v>
      </c>
      <c r="G2" s="110">
        <v>921.93</v>
      </c>
      <c r="H2" s="110">
        <v>921.93</v>
      </c>
      <c r="I2" t="str">
        <f>TEXT(ConsorcioDespesas[[#This Row],[NDO]],"000000000000")</f>
        <v>319011010100</v>
      </c>
      <c r="J2">
        <f>_xlfn.SWITCH(MONTH(ConsorcioDespesas[[#This Row],[Data-base]]),1,1,2,1,3,2,4,2,5,3,6,3,7,4,8,4,9,5,10,5,11,6,12,6)</f>
        <v>1</v>
      </c>
      <c r="K2">
        <f>YEAR(ConsorcioDespesas[[#This Row],[Data-base]])</f>
        <v>2023</v>
      </c>
      <c r="L2">
        <f>MONTH(ConsorcioDespesas[[#This Row],[Data-base]])</f>
        <v>1</v>
      </c>
      <c r="M2" t="str">
        <f>TEXT(ConsorcioDespesas[[#This Row],[NDO]],"000000000000")</f>
        <v>319011010100</v>
      </c>
    </row>
    <row r="3" spans="1:13" x14ac:dyDescent="0.25">
      <c r="A3" t="s">
        <v>85</v>
      </c>
      <c r="B3" s="111">
        <v>44957</v>
      </c>
      <c r="C3">
        <v>4</v>
      </c>
      <c r="D3">
        <v>122</v>
      </c>
      <c r="E3" s="169">
        <v>319013010100</v>
      </c>
      <c r="F3" s="110">
        <v>73.7</v>
      </c>
      <c r="G3" s="110">
        <v>73.7</v>
      </c>
      <c r="H3" s="110">
        <v>73.7</v>
      </c>
      <c r="I3" t="str">
        <f>TEXT(ConsorcioDespesas[[#This Row],[NDO]],"000000000000")</f>
        <v>319013010100</v>
      </c>
      <c r="J3">
        <f>_xlfn.SWITCH(MONTH(ConsorcioDespesas[[#This Row],[Data-base]]),1,1,2,1,3,2,4,2,5,3,6,3,7,4,8,4,9,5,10,5,11,6,12,6)</f>
        <v>1</v>
      </c>
      <c r="K3">
        <f>YEAR(ConsorcioDespesas[[#This Row],[Data-base]])</f>
        <v>2023</v>
      </c>
      <c r="L3">
        <f>MONTH(ConsorcioDespesas[[#This Row],[Data-base]])</f>
        <v>1</v>
      </c>
      <c r="M3" t="str">
        <f>TEXT(ConsorcioDespesas[[#This Row],[NDO]],"000000000000")</f>
        <v>319013010100</v>
      </c>
    </row>
    <row r="4" spans="1:13" x14ac:dyDescent="0.25">
      <c r="A4" t="s">
        <v>85</v>
      </c>
      <c r="B4" s="111">
        <v>44957</v>
      </c>
      <c r="C4">
        <v>4</v>
      </c>
      <c r="D4">
        <v>122</v>
      </c>
      <c r="E4" s="169">
        <v>319013020100</v>
      </c>
      <c r="F4" s="110">
        <v>193.45</v>
      </c>
      <c r="G4" s="110">
        <v>193.45</v>
      </c>
      <c r="H4" s="110">
        <v>193.45</v>
      </c>
      <c r="I4" t="str">
        <f>TEXT(ConsorcioDespesas[[#This Row],[NDO]],"000000000000")</f>
        <v>319013020100</v>
      </c>
      <c r="J4">
        <f>_xlfn.SWITCH(MONTH(ConsorcioDespesas[[#This Row],[Data-base]]),1,1,2,1,3,2,4,2,5,3,6,3,7,4,8,4,9,5,10,5,11,6,12,6)</f>
        <v>1</v>
      </c>
      <c r="K4">
        <f>YEAR(ConsorcioDespesas[[#This Row],[Data-base]])</f>
        <v>2023</v>
      </c>
      <c r="L4">
        <f>MONTH(ConsorcioDespesas[[#This Row],[Data-base]])</f>
        <v>1</v>
      </c>
      <c r="M4" t="str">
        <f>TEXT(ConsorcioDespesas[[#This Row],[NDO]],"000000000000")</f>
        <v>319013020100</v>
      </c>
    </row>
    <row r="5" spans="1:13" x14ac:dyDescent="0.25">
      <c r="A5" t="s">
        <v>85</v>
      </c>
      <c r="B5" s="111">
        <v>44957</v>
      </c>
      <c r="C5">
        <v>4</v>
      </c>
      <c r="D5">
        <v>122</v>
      </c>
      <c r="E5" s="169">
        <v>339014140000</v>
      </c>
      <c r="F5" s="110">
        <v>0</v>
      </c>
      <c r="G5" s="110">
        <v>0</v>
      </c>
      <c r="H5" s="110">
        <v>0</v>
      </c>
      <c r="I5" t="str">
        <f>TEXT(ConsorcioDespesas[[#This Row],[NDO]],"000000000000")</f>
        <v>339014140000</v>
      </c>
      <c r="J5">
        <f>_xlfn.SWITCH(MONTH(ConsorcioDespesas[[#This Row],[Data-base]]),1,1,2,1,3,2,4,2,5,3,6,3,7,4,8,4,9,5,10,5,11,6,12,6)</f>
        <v>1</v>
      </c>
      <c r="K5">
        <f>YEAR(ConsorcioDespesas[[#This Row],[Data-base]])</f>
        <v>2023</v>
      </c>
      <c r="L5">
        <f>MONTH(ConsorcioDespesas[[#This Row],[Data-base]])</f>
        <v>1</v>
      </c>
      <c r="M5" t="str">
        <f>TEXT(ConsorcioDespesas[[#This Row],[NDO]],"000000000000")</f>
        <v>339014140000</v>
      </c>
    </row>
    <row r="6" spans="1:13" x14ac:dyDescent="0.25">
      <c r="A6" t="s">
        <v>85</v>
      </c>
      <c r="B6" s="111">
        <v>44957</v>
      </c>
      <c r="C6">
        <v>4</v>
      </c>
      <c r="D6">
        <v>122</v>
      </c>
      <c r="E6" s="169">
        <v>339030000000</v>
      </c>
      <c r="F6" s="110">
        <v>14.49</v>
      </c>
      <c r="G6" s="110">
        <v>14.49</v>
      </c>
      <c r="H6" s="110">
        <v>14.49</v>
      </c>
      <c r="I6" t="str">
        <f>TEXT(ConsorcioDespesas[[#This Row],[NDO]],"000000000000")</f>
        <v>339030000000</v>
      </c>
      <c r="J6">
        <f>_xlfn.SWITCH(MONTH(ConsorcioDespesas[[#This Row],[Data-base]]),1,1,2,1,3,2,4,2,5,3,6,3,7,4,8,4,9,5,10,5,11,6,12,6)</f>
        <v>1</v>
      </c>
      <c r="K6">
        <f>YEAR(ConsorcioDespesas[[#This Row],[Data-base]])</f>
        <v>2023</v>
      </c>
      <c r="L6">
        <f>MONTH(ConsorcioDespesas[[#This Row],[Data-base]])</f>
        <v>1</v>
      </c>
      <c r="M6" t="str">
        <f>TEXT(ConsorcioDespesas[[#This Row],[NDO]],"000000000000")</f>
        <v>339030000000</v>
      </c>
    </row>
    <row r="7" spans="1:13" x14ac:dyDescent="0.25">
      <c r="A7" t="s">
        <v>85</v>
      </c>
      <c r="B7" s="111">
        <v>44957</v>
      </c>
      <c r="C7">
        <v>4</v>
      </c>
      <c r="D7">
        <v>122</v>
      </c>
      <c r="E7" s="169">
        <v>339033010000</v>
      </c>
      <c r="F7" s="110">
        <v>0</v>
      </c>
      <c r="G7" s="110">
        <v>0</v>
      </c>
      <c r="H7" s="110">
        <v>0</v>
      </c>
      <c r="I7" t="str">
        <f>TEXT(ConsorcioDespesas[[#This Row],[NDO]],"000000000000")</f>
        <v>339033010000</v>
      </c>
      <c r="J7">
        <f>_xlfn.SWITCH(MONTH(ConsorcioDespesas[[#This Row],[Data-base]]),1,1,2,1,3,2,4,2,5,3,6,3,7,4,8,4,9,5,10,5,11,6,12,6)</f>
        <v>1</v>
      </c>
      <c r="K7">
        <f>YEAR(ConsorcioDespesas[[#This Row],[Data-base]])</f>
        <v>2023</v>
      </c>
      <c r="L7">
        <f>MONTH(ConsorcioDespesas[[#This Row],[Data-base]])</f>
        <v>1</v>
      </c>
      <c r="M7" t="str">
        <f>TEXT(ConsorcioDespesas[[#This Row],[NDO]],"000000000000")</f>
        <v>339033010000</v>
      </c>
    </row>
    <row r="8" spans="1:13" x14ac:dyDescent="0.25">
      <c r="A8" t="s">
        <v>85</v>
      </c>
      <c r="B8" s="111">
        <v>44957</v>
      </c>
      <c r="C8">
        <v>4</v>
      </c>
      <c r="D8">
        <v>122</v>
      </c>
      <c r="E8" s="169">
        <v>339036000000</v>
      </c>
      <c r="F8" s="110">
        <v>0</v>
      </c>
      <c r="G8" s="110">
        <v>0</v>
      </c>
      <c r="H8" s="110">
        <v>0</v>
      </c>
      <c r="I8" t="str">
        <f>TEXT(ConsorcioDespesas[[#This Row],[NDO]],"000000000000")</f>
        <v>339036000000</v>
      </c>
      <c r="J8">
        <f>_xlfn.SWITCH(MONTH(ConsorcioDespesas[[#This Row],[Data-base]]),1,1,2,1,3,2,4,2,5,3,6,3,7,4,8,4,9,5,10,5,11,6,12,6)</f>
        <v>1</v>
      </c>
      <c r="K8">
        <f>YEAR(ConsorcioDespesas[[#This Row],[Data-base]])</f>
        <v>2023</v>
      </c>
      <c r="L8">
        <f>MONTH(ConsorcioDespesas[[#This Row],[Data-base]])</f>
        <v>1</v>
      </c>
      <c r="M8" t="str">
        <f>TEXT(ConsorcioDespesas[[#This Row],[NDO]],"000000000000")</f>
        <v>339036000000</v>
      </c>
    </row>
    <row r="9" spans="1:13" x14ac:dyDescent="0.25">
      <c r="A9" t="s">
        <v>85</v>
      </c>
      <c r="B9" s="111">
        <v>44957</v>
      </c>
      <c r="C9">
        <v>4</v>
      </c>
      <c r="D9">
        <v>122</v>
      </c>
      <c r="E9" s="169">
        <v>339039000000</v>
      </c>
      <c r="F9" s="110">
        <v>46.16</v>
      </c>
      <c r="G9" s="110">
        <v>46.16</v>
      </c>
      <c r="H9" s="110">
        <v>46.16</v>
      </c>
      <c r="I9" t="str">
        <f>TEXT(ConsorcioDespesas[[#This Row],[NDO]],"000000000000")</f>
        <v>339039000000</v>
      </c>
      <c r="J9">
        <f>_xlfn.SWITCH(MONTH(ConsorcioDespesas[[#This Row],[Data-base]]),1,1,2,1,3,2,4,2,5,3,6,3,7,4,8,4,9,5,10,5,11,6,12,6)</f>
        <v>1</v>
      </c>
      <c r="K9">
        <f>YEAR(ConsorcioDespesas[[#This Row],[Data-base]])</f>
        <v>2023</v>
      </c>
      <c r="L9">
        <f>MONTH(ConsorcioDespesas[[#This Row],[Data-base]])</f>
        <v>1</v>
      </c>
      <c r="M9" t="str">
        <f>TEXT(ConsorcioDespesas[[#This Row],[NDO]],"000000000000")</f>
        <v>339039000000</v>
      </c>
    </row>
    <row r="10" spans="1:13" x14ac:dyDescent="0.25">
      <c r="A10" t="s">
        <v>85</v>
      </c>
      <c r="B10" s="111">
        <v>44957</v>
      </c>
      <c r="C10">
        <v>4</v>
      </c>
      <c r="D10">
        <v>122</v>
      </c>
      <c r="E10" s="169">
        <v>339039570000</v>
      </c>
      <c r="F10" s="110">
        <v>105.9</v>
      </c>
      <c r="G10" s="110">
        <v>105.9</v>
      </c>
      <c r="H10" s="110">
        <v>105.9</v>
      </c>
      <c r="I10" t="str">
        <f>TEXT(ConsorcioDespesas[[#This Row],[NDO]],"000000000000")</f>
        <v>339039570000</v>
      </c>
      <c r="J10">
        <f>_xlfn.SWITCH(MONTH(ConsorcioDespesas[[#This Row],[Data-base]]),1,1,2,1,3,2,4,2,5,3,6,3,7,4,8,4,9,5,10,5,11,6,12,6)</f>
        <v>1</v>
      </c>
      <c r="K10">
        <f>YEAR(ConsorcioDespesas[[#This Row],[Data-base]])</f>
        <v>2023</v>
      </c>
      <c r="L10">
        <f>MONTH(ConsorcioDespesas[[#This Row],[Data-base]])</f>
        <v>1</v>
      </c>
      <c r="M10" t="str">
        <f>TEXT(ConsorcioDespesas[[#This Row],[NDO]],"000000000000")</f>
        <v>339039570000</v>
      </c>
    </row>
    <row r="11" spans="1:13" x14ac:dyDescent="0.25">
      <c r="A11" t="s">
        <v>85</v>
      </c>
      <c r="B11" s="111">
        <v>44957</v>
      </c>
      <c r="C11">
        <v>4</v>
      </c>
      <c r="D11">
        <v>122</v>
      </c>
      <c r="E11" s="169">
        <v>339039990100</v>
      </c>
      <c r="F11" s="110">
        <v>40.659999999999997</v>
      </c>
      <c r="G11" s="110">
        <v>40.659999999999997</v>
      </c>
      <c r="H11" s="110">
        <v>40.659999999999997</v>
      </c>
      <c r="I11" t="str">
        <f>TEXT(ConsorcioDespesas[[#This Row],[NDO]],"000000000000")</f>
        <v>339039990100</v>
      </c>
      <c r="J11">
        <f>_xlfn.SWITCH(MONTH(ConsorcioDespesas[[#This Row],[Data-base]]),1,1,2,1,3,2,4,2,5,3,6,3,7,4,8,4,9,5,10,5,11,6,12,6)</f>
        <v>1</v>
      </c>
      <c r="K11">
        <f>YEAR(ConsorcioDespesas[[#This Row],[Data-base]])</f>
        <v>2023</v>
      </c>
      <c r="L11">
        <f>MONTH(ConsorcioDespesas[[#This Row],[Data-base]])</f>
        <v>1</v>
      </c>
      <c r="M11" t="str">
        <f>TEXT(ConsorcioDespesas[[#This Row],[NDO]],"000000000000")</f>
        <v>339039990100</v>
      </c>
    </row>
    <row r="12" spans="1:13" x14ac:dyDescent="0.25">
      <c r="A12" t="s">
        <v>85</v>
      </c>
      <c r="B12" s="111">
        <v>44957</v>
      </c>
      <c r="C12">
        <v>4</v>
      </c>
      <c r="D12">
        <v>122</v>
      </c>
      <c r="E12" s="169">
        <v>339046010100</v>
      </c>
      <c r="F12" s="110">
        <v>53.48</v>
      </c>
      <c r="G12" s="110">
        <v>53.48</v>
      </c>
      <c r="H12" s="110">
        <v>53.48</v>
      </c>
      <c r="I12" t="str">
        <f>TEXT(ConsorcioDespesas[[#This Row],[NDO]],"000000000000")</f>
        <v>339046010100</v>
      </c>
      <c r="J12">
        <f>_xlfn.SWITCH(MONTH(ConsorcioDespesas[[#This Row],[Data-base]]),1,1,2,1,3,2,4,2,5,3,6,3,7,4,8,4,9,5,10,5,11,6,12,6)</f>
        <v>1</v>
      </c>
      <c r="K12">
        <f>YEAR(ConsorcioDespesas[[#This Row],[Data-base]])</f>
        <v>2023</v>
      </c>
      <c r="L12">
        <f>MONTH(ConsorcioDespesas[[#This Row],[Data-base]])</f>
        <v>1</v>
      </c>
      <c r="M12" t="str">
        <f>TEXT(ConsorcioDespesas[[#This Row],[NDO]],"000000000000")</f>
        <v>339046010100</v>
      </c>
    </row>
    <row r="13" spans="1:13" x14ac:dyDescent="0.25">
      <c r="A13" t="s">
        <v>85</v>
      </c>
      <c r="B13" s="111">
        <v>44957</v>
      </c>
      <c r="C13">
        <v>4</v>
      </c>
      <c r="D13">
        <v>122</v>
      </c>
      <c r="E13" s="169">
        <v>339049010000</v>
      </c>
      <c r="F13" s="110">
        <v>1.96</v>
      </c>
      <c r="G13" s="110">
        <v>1.96</v>
      </c>
      <c r="H13" s="110">
        <v>1.96</v>
      </c>
      <c r="I13" t="str">
        <f>TEXT(ConsorcioDespesas[[#This Row],[NDO]],"000000000000")</f>
        <v>339049010000</v>
      </c>
      <c r="J13">
        <f>_xlfn.SWITCH(MONTH(ConsorcioDespesas[[#This Row],[Data-base]]),1,1,2,1,3,2,4,2,5,3,6,3,7,4,8,4,9,5,10,5,11,6,12,6)</f>
        <v>1</v>
      </c>
      <c r="K13">
        <f>YEAR(ConsorcioDespesas[[#This Row],[Data-base]])</f>
        <v>2023</v>
      </c>
      <c r="L13">
        <f>MONTH(ConsorcioDespesas[[#This Row],[Data-base]])</f>
        <v>1</v>
      </c>
      <c r="M13" t="str">
        <f>TEXT(ConsorcioDespesas[[#This Row],[NDO]],"000000000000")</f>
        <v>339049010000</v>
      </c>
    </row>
    <row r="14" spans="1:13" x14ac:dyDescent="0.25">
      <c r="A14" t="s">
        <v>85</v>
      </c>
      <c r="B14" s="111">
        <v>44957</v>
      </c>
      <c r="C14">
        <v>4</v>
      </c>
      <c r="D14">
        <v>122</v>
      </c>
      <c r="E14" s="169">
        <v>339047000000</v>
      </c>
      <c r="F14" s="110">
        <v>0</v>
      </c>
      <c r="G14" s="110">
        <v>0</v>
      </c>
      <c r="H14" s="110">
        <v>0</v>
      </c>
      <c r="I14" t="str">
        <f>TEXT(ConsorcioDespesas[[#This Row],[NDO]],"000000000000")</f>
        <v>339047000000</v>
      </c>
      <c r="J14">
        <f>_xlfn.SWITCH(MONTH(ConsorcioDespesas[[#This Row],[Data-base]]),1,1,2,1,3,2,4,2,5,3,6,3,7,4,8,4,9,5,10,5,11,6,12,6)</f>
        <v>1</v>
      </c>
      <c r="K14">
        <f>YEAR(ConsorcioDespesas[[#This Row],[Data-base]])</f>
        <v>2023</v>
      </c>
      <c r="L14">
        <f>MONTH(ConsorcioDespesas[[#This Row],[Data-base]])</f>
        <v>1</v>
      </c>
      <c r="M14" t="str">
        <f>TEXT(ConsorcioDespesas[[#This Row],[NDO]],"000000000000")</f>
        <v>339047000000</v>
      </c>
    </row>
    <row r="15" spans="1:13" x14ac:dyDescent="0.25">
      <c r="A15" t="s">
        <v>85</v>
      </c>
      <c r="B15" s="111">
        <v>44957</v>
      </c>
      <c r="C15">
        <v>4</v>
      </c>
      <c r="D15">
        <v>122</v>
      </c>
      <c r="E15" s="169">
        <v>449052000000</v>
      </c>
      <c r="F15" s="110">
        <v>16.41</v>
      </c>
      <c r="G15" s="110">
        <v>16.41</v>
      </c>
      <c r="H15" s="110">
        <v>16.41</v>
      </c>
      <c r="I15" t="str">
        <f>TEXT(ConsorcioDespesas[[#This Row],[NDO]],"000000000000")</f>
        <v>449052000000</v>
      </c>
      <c r="J15">
        <f>_xlfn.SWITCH(MONTH(ConsorcioDespesas[[#This Row],[Data-base]]),1,1,2,1,3,2,4,2,5,3,6,3,7,4,8,4,9,5,10,5,11,6,12,6)</f>
        <v>1</v>
      </c>
      <c r="K15">
        <f>YEAR(ConsorcioDespesas[[#This Row],[Data-base]])</f>
        <v>2023</v>
      </c>
      <c r="L15">
        <f>MONTH(ConsorcioDespesas[[#This Row],[Data-base]])</f>
        <v>1</v>
      </c>
      <c r="M15" t="str">
        <f>TEXT(ConsorcioDespesas[[#This Row],[NDO]],"000000000000")</f>
        <v>449052000000</v>
      </c>
    </row>
    <row r="16" spans="1:13" x14ac:dyDescent="0.25">
      <c r="A16" t="s">
        <v>85</v>
      </c>
      <c r="B16" s="111">
        <v>44957</v>
      </c>
      <c r="C16">
        <v>10</v>
      </c>
      <c r="D16">
        <v>302</v>
      </c>
      <c r="E16" s="169">
        <v>334041390500</v>
      </c>
      <c r="F16" s="110">
        <v>8742.48</v>
      </c>
      <c r="G16" s="110">
        <v>8742.48</v>
      </c>
      <c r="H16" s="110">
        <v>0</v>
      </c>
      <c r="I16" t="str">
        <f>TEXT(ConsorcioDespesas[[#This Row],[NDO]],"000000000000")</f>
        <v>334041390500</v>
      </c>
      <c r="J16">
        <f>_xlfn.SWITCH(MONTH(ConsorcioDespesas[[#This Row],[Data-base]]),1,1,2,1,3,2,4,2,5,3,6,3,7,4,8,4,9,5,10,5,11,6,12,6)</f>
        <v>1</v>
      </c>
      <c r="K16">
        <f>YEAR(ConsorcioDespesas[[#This Row],[Data-base]])</f>
        <v>2023</v>
      </c>
      <c r="L16">
        <f>MONTH(ConsorcioDespesas[[#This Row],[Data-base]])</f>
        <v>1</v>
      </c>
      <c r="M16" t="str">
        <f>TEXT(ConsorcioDespesas[[#This Row],[NDO]],"000000000000")</f>
        <v>334041390500</v>
      </c>
    </row>
    <row r="17" spans="1:13" x14ac:dyDescent="0.25">
      <c r="A17" t="s">
        <v>85</v>
      </c>
      <c r="B17" s="111">
        <v>44985</v>
      </c>
      <c r="C17">
        <v>4</v>
      </c>
      <c r="D17">
        <v>122</v>
      </c>
      <c r="E17" s="169">
        <v>319011010100</v>
      </c>
      <c r="F17" s="110">
        <v>1012.99</v>
      </c>
      <c r="G17" s="110">
        <v>1012.99</v>
      </c>
      <c r="H17" s="110">
        <v>1012.99</v>
      </c>
      <c r="I17" t="str">
        <f>TEXT(ConsorcioDespesas[[#This Row],[NDO]],"000000000000")</f>
        <v>319011010100</v>
      </c>
      <c r="J17">
        <f>_xlfn.SWITCH(MONTH(ConsorcioDespesas[[#This Row],[Data-base]]),1,1,2,1,3,2,4,2,5,3,6,3,7,4,8,4,9,5,10,5,11,6,12,6)</f>
        <v>1</v>
      </c>
      <c r="K17">
        <f>YEAR(ConsorcioDespesas[[#This Row],[Data-base]])</f>
        <v>2023</v>
      </c>
      <c r="L17">
        <f>MONTH(ConsorcioDespesas[[#This Row],[Data-base]])</f>
        <v>2</v>
      </c>
      <c r="M17" t="str">
        <f>TEXT(ConsorcioDespesas[[#This Row],[NDO]],"000000000000")</f>
        <v>319011010100</v>
      </c>
    </row>
    <row r="18" spans="1:13" x14ac:dyDescent="0.25">
      <c r="A18" t="s">
        <v>85</v>
      </c>
      <c r="B18" s="111">
        <v>44985</v>
      </c>
      <c r="C18">
        <v>4</v>
      </c>
      <c r="D18">
        <v>122</v>
      </c>
      <c r="E18" s="169">
        <v>319013010100</v>
      </c>
      <c r="F18" s="110">
        <v>81.040000000000006</v>
      </c>
      <c r="G18" s="110">
        <v>81.040000000000006</v>
      </c>
      <c r="H18" s="110">
        <v>81.040000000000006</v>
      </c>
      <c r="I18" t="str">
        <f>TEXT(ConsorcioDespesas[[#This Row],[NDO]],"000000000000")</f>
        <v>319013010100</v>
      </c>
      <c r="J18">
        <f>_xlfn.SWITCH(MONTH(ConsorcioDespesas[[#This Row],[Data-base]]),1,1,2,1,3,2,4,2,5,3,6,3,7,4,8,4,9,5,10,5,11,6,12,6)</f>
        <v>1</v>
      </c>
      <c r="K18">
        <f>YEAR(ConsorcioDespesas[[#This Row],[Data-base]])</f>
        <v>2023</v>
      </c>
      <c r="L18">
        <f>MONTH(ConsorcioDespesas[[#This Row],[Data-base]])</f>
        <v>2</v>
      </c>
      <c r="M18" t="str">
        <f>TEXT(ConsorcioDespesas[[#This Row],[NDO]],"000000000000")</f>
        <v>319013010100</v>
      </c>
    </row>
    <row r="19" spans="1:13" x14ac:dyDescent="0.25">
      <c r="A19" t="s">
        <v>85</v>
      </c>
      <c r="B19" s="111">
        <v>44985</v>
      </c>
      <c r="C19">
        <v>4</v>
      </c>
      <c r="D19">
        <v>122</v>
      </c>
      <c r="E19" s="169">
        <v>319013020100</v>
      </c>
      <c r="F19" s="110">
        <v>212.73</v>
      </c>
      <c r="G19" s="110">
        <v>212.73</v>
      </c>
      <c r="H19" s="110">
        <v>212.73</v>
      </c>
      <c r="I19" t="str">
        <f>TEXT(ConsorcioDespesas[[#This Row],[NDO]],"000000000000")</f>
        <v>319013020100</v>
      </c>
      <c r="J19">
        <f>_xlfn.SWITCH(MONTH(ConsorcioDespesas[[#This Row],[Data-base]]),1,1,2,1,3,2,4,2,5,3,6,3,7,4,8,4,9,5,10,5,11,6,12,6)</f>
        <v>1</v>
      </c>
      <c r="K19">
        <f>YEAR(ConsorcioDespesas[[#This Row],[Data-base]])</f>
        <v>2023</v>
      </c>
      <c r="L19">
        <f>MONTH(ConsorcioDespesas[[#This Row],[Data-base]])</f>
        <v>2</v>
      </c>
      <c r="M19" t="str">
        <f>TEXT(ConsorcioDespesas[[#This Row],[NDO]],"000000000000")</f>
        <v>319013020100</v>
      </c>
    </row>
    <row r="20" spans="1:13" x14ac:dyDescent="0.25">
      <c r="A20" t="s">
        <v>85</v>
      </c>
      <c r="B20" s="111">
        <v>44985</v>
      </c>
      <c r="C20">
        <v>4</v>
      </c>
      <c r="D20">
        <v>122</v>
      </c>
      <c r="E20" s="169">
        <v>339014140000</v>
      </c>
      <c r="F20" s="110">
        <v>0</v>
      </c>
      <c r="G20" s="110">
        <v>0</v>
      </c>
      <c r="H20" s="110">
        <v>0</v>
      </c>
      <c r="I20" t="str">
        <f>TEXT(ConsorcioDespesas[[#This Row],[NDO]],"000000000000")</f>
        <v>339014140000</v>
      </c>
      <c r="J20">
        <f>_xlfn.SWITCH(MONTH(ConsorcioDespesas[[#This Row],[Data-base]]),1,1,2,1,3,2,4,2,5,3,6,3,7,4,8,4,9,5,10,5,11,6,12,6)</f>
        <v>1</v>
      </c>
      <c r="K20">
        <f>YEAR(ConsorcioDespesas[[#This Row],[Data-base]])</f>
        <v>2023</v>
      </c>
      <c r="L20">
        <f>MONTH(ConsorcioDespesas[[#This Row],[Data-base]])</f>
        <v>2</v>
      </c>
      <c r="M20" t="str">
        <f>TEXT(ConsorcioDespesas[[#This Row],[NDO]],"000000000000")</f>
        <v>339014140000</v>
      </c>
    </row>
    <row r="21" spans="1:13" x14ac:dyDescent="0.25">
      <c r="A21" t="s">
        <v>85</v>
      </c>
      <c r="B21" s="111">
        <v>44985</v>
      </c>
      <c r="C21">
        <v>4</v>
      </c>
      <c r="D21">
        <v>122</v>
      </c>
      <c r="E21" s="169">
        <v>339030000000</v>
      </c>
      <c r="F21" s="110">
        <v>0</v>
      </c>
      <c r="G21" s="110">
        <v>0</v>
      </c>
      <c r="H21" s="110">
        <v>0</v>
      </c>
      <c r="I21" t="str">
        <f>TEXT(ConsorcioDespesas[[#This Row],[NDO]],"000000000000")</f>
        <v>339030000000</v>
      </c>
      <c r="J21">
        <f>_xlfn.SWITCH(MONTH(ConsorcioDespesas[[#This Row],[Data-base]]),1,1,2,1,3,2,4,2,5,3,6,3,7,4,8,4,9,5,10,5,11,6,12,6)</f>
        <v>1</v>
      </c>
      <c r="K21">
        <f>YEAR(ConsorcioDespesas[[#This Row],[Data-base]])</f>
        <v>2023</v>
      </c>
      <c r="L21">
        <f>MONTH(ConsorcioDespesas[[#This Row],[Data-base]])</f>
        <v>2</v>
      </c>
      <c r="M21" t="str">
        <f>TEXT(ConsorcioDespesas[[#This Row],[NDO]],"000000000000")</f>
        <v>339030000000</v>
      </c>
    </row>
    <row r="22" spans="1:13" x14ac:dyDescent="0.25">
      <c r="A22" t="s">
        <v>85</v>
      </c>
      <c r="B22" s="111">
        <v>44985</v>
      </c>
      <c r="C22">
        <v>4</v>
      </c>
      <c r="D22">
        <v>122</v>
      </c>
      <c r="E22" s="169">
        <v>339033010000</v>
      </c>
      <c r="F22" s="110">
        <v>74.260000000000005</v>
      </c>
      <c r="G22" s="110">
        <v>74.260000000000005</v>
      </c>
      <c r="H22" s="110">
        <v>74.260000000000005</v>
      </c>
      <c r="I22" t="str">
        <f>TEXT(ConsorcioDespesas[[#This Row],[NDO]],"000000000000")</f>
        <v>339033010000</v>
      </c>
      <c r="J22">
        <f>_xlfn.SWITCH(MONTH(ConsorcioDespesas[[#This Row],[Data-base]]),1,1,2,1,3,2,4,2,5,3,6,3,7,4,8,4,9,5,10,5,11,6,12,6)</f>
        <v>1</v>
      </c>
      <c r="K22">
        <f>YEAR(ConsorcioDespesas[[#This Row],[Data-base]])</f>
        <v>2023</v>
      </c>
      <c r="L22">
        <f>MONTH(ConsorcioDespesas[[#This Row],[Data-base]])</f>
        <v>2</v>
      </c>
      <c r="M22" t="str">
        <f>TEXT(ConsorcioDespesas[[#This Row],[NDO]],"000000000000")</f>
        <v>339033010000</v>
      </c>
    </row>
    <row r="23" spans="1:13" x14ac:dyDescent="0.25">
      <c r="A23" t="s">
        <v>85</v>
      </c>
      <c r="B23" s="111">
        <v>44985</v>
      </c>
      <c r="C23">
        <v>4</v>
      </c>
      <c r="D23">
        <v>122</v>
      </c>
      <c r="E23" s="169">
        <v>339036000000</v>
      </c>
      <c r="F23" s="110">
        <v>0</v>
      </c>
      <c r="G23" s="110">
        <v>0</v>
      </c>
      <c r="H23" s="110">
        <v>0</v>
      </c>
      <c r="I23" t="str">
        <f>TEXT(ConsorcioDespesas[[#This Row],[NDO]],"000000000000")</f>
        <v>339036000000</v>
      </c>
      <c r="J23">
        <f>_xlfn.SWITCH(MONTH(ConsorcioDespesas[[#This Row],[Data-base]]),1,1,2,1,3,2,4,2,5,3,6,3,7,4,8,4,9,5,10,5,11,6,12,6)</f>
        <v>1</v>
      </c>
      <c r="K23">
        <f>YEAR(ConsorcioDespesas[[#This Row],[Data-base]])</f>
        <v>2023</v>
      </c>
      <c r="L23">
        <f>MONTH(ConsorcioDespesas[[#This Row],[Data-base]])</f>
        <v>2</v>
      </c>
      <c r="M23" t="str">
        <f>TEXT(ConsorcioDespesas[[#This Row],[NDO]],"000000000000")</f>
        <v>339036000000</v>
      </c>
    </row>
    <row r="24" spans="1:13" x14ac:dyDescent="0.25">
      <c r="A24" t="s">
        <v>85</v>
      </c>
      <c r="B24" s="111">
        <v>44985</v>
      </c>
      <c r="C24">
        <v>4</v>
      </c>
      <c r="D24">
        <v>122</v>
      </c>
      <c r="E24" s="169">
        <v>339039000000</v>
      </c>
      <c r="F24" s="110">
        <v>62.36</v>
      </c>
      <c r="G24" s="110">
        <v>62.36</v>
      </c>
      <c r="H24" s="110">
        <v>62.36</v>
      </c>
      <c r="I24" t="str">
        <f>TEXT(ConsorcioDespesas[[#This Row],[NDO]],"000000000000")</f>
        <v>339039000000</v>
      </c>
      <c r="J24">
        <f>_xlfn.SWITCH(MONTH(ConsorcioDespesas[[#This Row],[Data-base]]),1,1,2,1,3,2,4,2,5,3,6,3,7,4,8,4,9,5,10,5,11,6,12,6)</f>
        <v>1</v>
      </c>
      <c r="K24">
        <f>YEAR(ConsorcioDespesas[[#This Row],[Data-base]])</f>
        <v>2023</v>
      </c>
      <c r="L24">
        <f>MONTH(ConsorcioDespesas[[#This Row],[Data-base]])</f>
        <v>2</v>
      </c>
      <c r="M24" t="str">
        <f>TEXT(ConsorcioDespesas[[#This Row],[NDO]],"000000000000")</f>
        <v>339039000000</v>
      </c>
    </row>
    <row r="25" spans="1:13" x14ac:dyDescent="0.25">
      <c r="A25" t="s">
        <v>85</v>
      </c>
      <c r="B25" s="111">
        <v>44985</v>
      </c>
      <c r="C25">
        <v>4</v>
      </c>
      <c r="D25">
        <v>122</v>
      </c>
      <c r="E25" s="169">
        <v>339039570000</v>
      </c>
      <c r="F25" s="110">
        <v>158.68</v>
      </c>
      <c r="G25" s="110">
        <v>158.68</v>
      </c>
      <c r="H25" s="110">
        <v>158.68</v>
      </c>
      <c r="I25" t="str">
        <f>TEXT(ConsorcioDespesas[[#This Row],[NDO]],"000000000000")</f>
        <v>339039570000</v>
      </c>
      <c r="J25">
        <f>_xlfn.SWITCH(MONTH(ConsorcioDespesas[[#This Row],[Data-base]]),1,1,2,1,3,2,4,2,5,3,6,3,7,4,8,4,9,5,10,5,11,6,12,6)</f>
        <v>1</v>
      </c>
      <c r="K25">
        <f>YEAR(ConsorcioDespesas[[#This Row],[Data-base]])</f>
        <v>2023</v>
      </c>
      <c r="L25">
        <f>MONTH(ConsorcioDespesas[[#This Row],[Data-base]])</f>
        <v>2</v>
      </c>
      <c r="M25" t="str">
        <f>TEXT(ConsorcioDespesas[[#This Row],[NDO]],"000000000000")</f>
        <v>339039570000</v>
      </c>
    </row>
    <row r="26" spans="1:13" x14ac:dyDescent="0.25">
      <c r="A26" t="s">
        <v>85</v>
      </c>
      <c r="B26" s="111">
        <v>44985</v>
      </c>
      <c r="C26">
        <v>4</v>
      </c>
      <c r="D26">
        <v>122</v>
      </c>
      <c r="E26" s="169">
        <v>339039990100</v>
      </c>
      <c r="F26" s="110">
        <v>40.659999999999997</v>
      </c>
      <c r="G26" s="110">
        <v>40.659999999999997</v>
      </c>
      <c r="H26" s="110">
        <v>40.659999999999997</v>
      </c>
      <c r="I26" t="str">
        <f>TEXT(ConsorcioDespesas[[#This Row],[NDO]],"000000000000")</f>
        <v>339039990100</v>
      </c>
      <c r="J26">
        <f>_xlfn.SWITCH(MONTH(ConsorcioDespesas[[#This Row],[Data-base]]),1,1,2,1,3,2,4,2,5,3,6,3,7,4,8,4,9,5,10,5,11,6,12,6)</f>
        <v>1</v>
      </c>
      <c r="K26">
        <f>YEAR(ConsorcioDespesas[[#This Row],[Data-base]])</f>
        <v>2023</v>
      </c>
      <c r="L26">
        <f>MONTH(ConsorcioDespesas[[#This Row],[Data-base]])</f>
        <v>2</v>
      </c>
      <c r="M26" t="str">
        <f>TEXT(ConsorcioDespesas[[#This Row],[NDO]],"000000000000")</f>
        <v>339039990100</v>
      </c>
    </row>
    <row r="27" spans="1:13" x14ac:dyDescent="0.25">
      <c r="A27" t="s">
        <v>85</v>
      </c>
      <c r="B27" s="111">
        <v>44985</v>
      </c>
      <c r="C27">
        <v>4</v>
      </c>
      <c r="D27">
        <v>122</v>
      </c>
      <c r="E27" s="169">
        <v>339046010100</v>
      </c>
      <c r="F27" s="110">
        <v>53.48</v>
      </c>
      <c r="G27" s="110">
        <v>53.48</v>
      </c>
      <c r="H27" s="110">
        <v>53.48</v>
      </c>
      <c r="I27" t="str">
        <f>TEXT(ConsorcioDespesas[[#This Row],[NDO]],"000000000000")</f>
        <v>339046010100</v>
      </c>
      <c r="J27">
        <f>_xlfn.SWITCH(MONTH(ConsorcioDespesas[[#This Row],[Data-base]]),1,1,2,1,3,2,4,2,5,3,6,3,7,4,8,4,9,5,10,5,11,6,12,6)</f>
        <v>1</v>
      </c>
      <c r="K27">
        <f>YEAR(ConsorcioDespesas[[#This Row],[Data-base]])</f>
        <v>2023</v>
      </c>
      <c r="L27">
        <f>MONTH(ConsorcioDespesas[[#This Row],[Data-base]])</f>
        <v>2</v>
      </c>
      <c r="M27" t="str">
        <f>TEXT(ConsorcioDespesas[[#This Row],[NDO]],"000000000000")</f>
        <v>339046010100</v>
      </c>
    </row>
    <row r="28" spans="1:13" x14ac:dyDescent="0.25">
      <c r="A28" t="s">
        <v>85</v>
      </c>
      <c r="B28" s="111">
        <v>44985</v>
      </c>
      <c r="C28">
        <v>4</v>
      </c>
      <c r="D28">
        <v>122</v>
      </c>
      <c r="E28" s="169">
        <v>339049010000</v>
      </c>
      <c r="F28" s="110">
        <v>1.96</v>
      </c>
      <c r="G28" s="110">
        <v>1.96</v>
      </c>
      <c r="H28" s="110">
        <v>1.96</v>
      </c>
      <c r="I28" t="str">
        <f>TEXT(ConsorcioDespesas[[#This Row],[NDO]],"000000000000")</f>
        <v>339049010000</v>
      </c>
      <c r="J28">
        <f>_xlfn.SWITCH(MONTH(ConsorcioDespesas[[#This Row],[Data-base]]),1,1,2,1,3,2,4,2,5,3,6,3,7,4,8,4,9,5,10,5,11,6,12,6)</f>
        <v>1</v>
      </c>
      <c r="K28">
        <f>YEAR(ConsorcioDespesas[[#This Row],[Data-base]])</f>
        <v>2023</v>
      </c>
      <c r="L28">
        <f>MONTH(ConsorcioDespesas[[#This Row],[Data-base]])</f>
        <v>2</v>
      </c>
      <c r="M28" t="str">
        <f>TEXT(ConsorcioDespesas[[#This Row],[NDO]],"000000000000")</f>
        <v>339049010000</v>
      </c>
    </row>
    <row r="29" spans="1:13" x14ac:dyDescent="0.25">
      <c r="A29" t="s">
        <v>85</v>
      </c>
      <c r="B29" s="111">
        <v>44985</v>
      </c>
      <c r="C29">
        <v>4</v>
      </c>
      <c r="D29">
        <v>122</v>
      </c>
      <c r="E29" s="169">
        <v>339047000000</v>
      </c>
      <c r="F29" s="110">
        <v>0</v>
      </c>
      <c r="G29" s="110">
        <v>0</v>
      </c>
      <c r="H29" s="110">
        <v>0</v>
      </c>
      <c r="I29" t="str">
        <f>TEXT(ConsorcioDespesas[[#This Row],[NDO]],"000000000000")</f>
        <v>339047000000</v>
      </c>
      <c r="J29">
        <f>_xlfn.SWITCH(MONTH(ConsorcioDespesas[[#This Row],[Data-base]]),1,1,2,1,3,2,4,2,5,3,6,3,7,4,8,4,9,5,10,5,11,6,12,6)</f>
        <v>1</v>
      </c>
      <c r="K29">
        <f>YEAR(ConsorcioDespesas[[#This Row],[Data-base]])</f>
        <v>2023</v>
      </c>
      <c r="L29">
        <f>MONTH(ConsorcioDespesas[[#This Row],[Data-base]])</f>
        <v>2</v>
      </c>
      <c r="M29" t="str">
        <f>TEXT(ConsorcioDespesas[[#This Row],[NDO]],"000000000000")</f>
        <v>339047000000</v>
      </c>
    </row>
    <row r="30" spans="1:13" x14ac:dyDescent="0.25">
      <c r="A30" t="s">
        <v>85</v>
      </c>
      <c r="B30" s="111">
        <v>44985</v>
      </c>
      <c r="C30">
        <v>4</v>
      </c>
      <c r="D30">
        <v>122</v>
      </c>
      <c r="E30" s="169">
        <v>449052000000</v>
      </c>
      <c r="F30" s="110">
        <v>0</v>
      </c>
      <c r="G30" s="110">
        <v>0</v>
      </c>
      <c r="H30" s="110">
        <v>0</v>
      </c>
      <c r="I30" t="str">
        <f>TEXT(ConsorcioDespesas[[#This Row],[NDO]],"000000000000")</f>
        <v>449052000000</v>
      </c>
      <c r="J30">
        <f>_xlfn.SWITCH(MONTH(ConsorcioDespesas[[#This Row],[Data-base]]),1,1,2,1,3,2,4,2,5,3,6,3,7,4,8,4,9,5,10,5,11,6,12,6)</f>
        <v>1</v>
      </c>
      <c r="K30">
        <f>YEAR(ConsorcioDespesas[[#This Row],[Data-base]])</f>
        <v>2023</v>
      </c>
      <c r="L30">
        <f>MONTH(ConsorcioDespesas[[#This Row],[Data-base]])</f>
        <v>2</v>
      </c>
      <c r="M30" t="str">
        <f>TEXT(ConsorcioDespesas[[#This Row],[NDO]],"000000000000")</f>
        <v>449052000000</v>
      </c>
    </row>
    <row r="31" spans="1:13" x14ac:dyDescent="0.25">
      <c r="A31" t="s">
        <v>85</v>
      </c>
      <c r="B31" s="111">
        <v>44985</v>
      </c>
      <c r="C31">
        <v>10</v>
      </c>
      <c r="D31">
        <v>302</v>
      </c>
      <c r="E31" s="169">
        <v>334041390500</v>
      </c>
      <c r="F31" s="110">
        <v>8742.48</v>
      </c>
      <c r="G31" s="110">
        <v>8742.48</v>
      </c>
      <c r="H31" s="110">
        <v>8742.48</v>
      </c>
      <c r="I31" t="str">
        <f>TEXT(ConsorcioDespesas[[#This Row],[NDO]],"000000000000")</f>
        <v>334041390500</v>
      </c>
      <c r="J31">
        <f>_xlfn.SWITCH(MONTH(ConsorcioDespesas[[#This Row],[Data-base]]),1,1,2,1,3,2,4,2,5,3,6,3,7,4,8,4,9,5,10,5,11,6,12,6)</f>
        <v>1</v>
      </c>
      <c r="K31">
        <f>YEAR(ConsorcioDespesas[[#This Row],[Data-base]])</f>
        <v>2023</v>
      </c>
      <c r="L31">
        <f>MONTH(ConsorcioDespesas[[#This Row],[Data-base]])</f>
        <v>2</v>
      </c>
      <c r="M31" t="str">
        <f>TEXT(ConsorcioDespesas[[#This Row],[NDO]],"000000000000")</f>
        <v>334041390500</v>
      </c>
    </row>
    <row r="32" spans="1:13" x14ac:dyDescent="0.25">
      <c r="A32" t="s">
        <v>85</v>
      </c>
      <c r="B32" s="111">
        <v>44985</v>
      </c>
      <c r="C32">
        <v>10</v>
      </c>
      <c r="D32">
        <v>302</v>
      </c>
      <c r="E32" s="169">
        <v>334041391100</v>
      </c>
      <c r="F32" s="110">
        <v>626.91999999999996</v>
      </c>
      <c r="G32" s="110">
        <v>626.91999999999996</v>
      </c>
      <c r="H32" s="110">
        <v>626.91999999999996</v>
      </c>
      <c r="I32" t="str">
        <f>TEXT(ConsorcioDespesas[[#This Row],[NDO]],"000000000000")</f>
        <v>334041391100</v>
      </c>
      <c r="J32">
        <f>_xlfn.SWITCH(MONTH(ConsorcioDespesas[[#This Row],[Data-base]]),1,1,2,1,3,2,4,2,5,3,6,3,7,4,8,4,9,5,10,5,11,6,12,6)</f>
        <v>1</v>
      </c>
      <c r="K32">
        <f>YEAR(ConsorcioDespesas[[#This Row],[Data-base]])</f>
        <v>2023</v>
      </c>
      <c r="L32">
        <f>MONTH(ConsorcioDespesas[[#This Row],[Data-base]])</f>
        <v>2</v>
      </c>
      <c r="M32" t="str">
        <f>TEXT(ConsorcioDespesas[[#This Row],[NDO]],"000000000000")</f>
        <v>334041391100</v>
      </c>
    </row>
    <row r="33" spans="1:13" x14ac:dyDescent="0.25">
      <c r="A33" t="s">
        <v>85</v>
      </c>
      <c r="B33" s="111">
        <v>44985</v>
      </c>
      <c r="C33">
        <v>10</v>
      </c>
      <c r="D33">
        <v>302</v>
      </c>
      <c r="E33" s="169">
        <v>334041391000</v>
      </c>
      <c r="F33" s="110">
        <v>874.88</v>
      </c>
      <c r="G33" s="110">
        <v>874.88</v>
      </c>
      <c r="H33" s="110">
        <v>874.88</v>
      </c>
      <c r="I33" t="str">
        <f>TEXT(ConsorcioDespesas[[#This Row],[NDO]],"000000000000")</f>
        <v>334041391000</v>
      </c>
      <c r="J33">
        <f>_xlfn.SWITCH(MONTH(ConsorcioDespesas[[#This Row],[Data-base]]),1,1,2,1,3,2,4,2,5,3,6,3,7,4,8,4,9,5,10,5,11,6,12,6)</f>
        <v>1</v>
      </c>
      <c r="K33">
        <f>YEAR(ConsorcioDespesas[[#This Row],[Data-base]])</f>
        <v>2023</v>
      </c>
      <c r="L33">
        <f>MONTH(ConsorcioDespesas[[#This Row],[Data-base]])</f>
        <v>2</v>
      </c>
      <c r="M33" t="str">
        <f>TEXT(ConsorcioDespesas[[#This Row],[NDO]],"000000000000")</f>
        <v>334041391000</v>
      </c>
    </row>
    <row r="34" spans="1:13" x14ac:dyDescent="0.25">
      <c r="A34" t="s">
        <v>85</v>
      </c>
      <c r="B34" s="111">
        <v>45016</v>
      </c>
      <c r="C34">
        <v>4</v>
      </c>
      <c r="D34">
        <v>122</v>
      </c>
      <c r="E34" s="169">
        <v>319011010100</v>
      </c>
      <c r="F34" s="110">
        <v>1104.78</v>
      </c>
      <c r="G34" s="110">
        <v>1104.78</v>
      </c>
      <c r="H34" s="110">
        <v>1104.78</v>
      </c>
      <c r="I34" t="str">
        <f>TEXT(ConsorcioDespesas[[#This Row],[NDO]],"000000000000")</f>
        <v>319011010100</v>
      </c>
      <c r="J34">
        <f>_xlfn.SWITCH(MONTH(ConsorcioDespesas[[#This Row],[Data-base]]),1,1,2,1,3,2,4,2,5,3,6,3,7,4,8,4,9,5,10,5,11,6,12,6)</f>
        <v>2</v>
      </c>
      <c r="K34">
        <f>YEAR(ConsorcioDespesas[[#This Row],[Data-base]])</f>
        <v>2023</v>
      </c>
      <c r="L34">
        <f>MONTH(ConsorcioDespesas[[#This Row],[Data-base]])</f>
        <v>3</v>
      </c>
      <c r="M34" t="str">
        <f>TEXT(ConsorcioDespesas[[#This Row],[NDO]],"000000000000")</f>
        <v>319011010100</v>
      </c>
    </row>
    <row r="35" spans="1:13" x14ac:dyDescent="0.25">
      <c r="A35" t="s">
        <v>85</v>
      </c>
      <c r="B35" s="111">
        <v>45016</v>
      </c>
      <c r="C35">
        <v>4</v>
      </c>
      <c r="D35">
        <v>122</v>
      </c>
      <c r="E35" s="169">
        <v>319013010100</v>
      </c>
      <c r="F35" s="110">
        <v>0</v>
      </c>
      <c r="G35" s="110">
        <v>0</v>
      </c>
      <c r="H35" s="110">
        <v>0</v>
      </c>
      <c r="I35" t="str">
        <f>TEXT(ConsorcioDespesas[[#This Row],[NDO]],"000000000000")</f>
        <v>319013010100</v>
      </c>
      <c r="J35">
        <f>_xlfn.SWITCH(MONTH(ConsorcioDespesas[[#This Row],[Data-base]]),1,1,2,1,3,2,4,2,5,3,6,3,7,4,8,4,9,5,10,5,11,6,12,6)</f>
        <v>2</v>
      </c>
      <c r="K35">
        <f>YEAR(ConsorcioDespesas[[#This Row],[Data-base]])</f>
        <v>2023</v>
      </c>
      <c r="L35">
        <f>MONTH(ConsorcioDespesas[[#This Row],[Data-base]])</f>
        <v>3</v>
      </c>
      <c r="M35" t="str">
        <f>TEXT(ConsorcioDespesas[[#This Row],[NDO]],"000000000000")</f>
        <v>319013010100</v>
      </c>
    </row>
    <row r="36" spans="1:13" x14ac:dyDescent="0.25">
      <c r="A36" t="s">
        <v>85</v>
      </c>
      <c r="B36" s="111">
        <v>45016</v>
      </c>
      <c r="C36">
        <v>4</v>
      </c>
      <c r="D36">
        <v>122</v>
      </c>
      <c r="E36" s="169">
        <v>319013020100</v>
      </c>
      <c r="F36" s="110">
        <v>232</v>
      </c>
      <c r="G36" s="110">
        <v>232</v>
      </c>
      <c r="H36" s="110">
        <v>232</v>
      </c>
      <c r="I36" t="str">
        <f>TEXT(ConsorcioDespesas[[#This Row],[NDO]],"000000000000")</f>
        <v>319013020100</v>
      </c>
      <c r="J36">
        <f>_xlfn.SWITCH(MONTH(ConsorcioDespesas[[#This Row],[Data-base]]),1,1,2,1,3,2,4,2,5,3,6,3,7,4,8,4,9,5,10,5,11,6,12,6)</f>
        <v>2</v>
      </c>
      <c r="K36">
        <f>YEAR(ConsorcioDespesas[[#This Row],[Data-base]])</f>
        <v>2023</v>
      </c>
      <c r="L36">
        <f>MONTH(ConsorcioDespesas[[#This Row],[Data-base]])</f>
        <v>3</v>
      </c>
      <c r="M36" t="str">
        <f>TEXT(ConsorcioDespesas[[#This Row],[NDO]],"000000000000")</f>
        <v>319013020100</v>
      </c>
    </row>
    <row r="37" spans="1:13" x14ac:dyDescent="0.25">
      <c r="A37" t="s">
        <v>85</v>
      </c>
      <c r="B37" s="111">
        <v>45016</v>
      </c>
      <c r="C37">
        <v>4</v>
      </c>
      <c r="D37">
        <v>122</v>
      </c>
      <c r="E37" s="169">
        <v>339014140000</v>
      </c>
      <c r="F37" s="110">
        <v>116.04</v>
      </c>
      <c r="G37" s="110">
        <v>116.04</v>
      </c>
      <c r="H37" s="110">
        <v>116.04</v>
      </c>
      <c r="I37" t="str">
        <f>TEXT(ConsorcioDespesas[[#This Row],[NDO]],"000000000000")</f>
        <v>339014140000</v>
      </c>
      <c r="J37">
        <f>_xlfn.SWITCH(MONTH(ConsorcioDespesas[[#This Row],[Data-base]]),1,1,2,1,3,2,4,2,5,3,6,3,7,4,8,4,9,5,10,5,11,6,12,6)</f>
        <v>2</v>
      </c>
      <c r="K37">
        <f>YEAR(ConsorcioDespesas[[#This Row],[Data-base]])</f>
        <v>2023</v>
      </c>
      <c r="L37">
        <f>MONTH(ConsorcioDespesas[[#This Row],[Data-base]])</f>
        <v>3</v>
      </c>
      <c r="M37" t="str">
        <f>TEXT(ConsorcioDespesas[[#This Row],[NDO]],"000000000000")</f>
        <v>339014140000</v>
      </c>
    </row>
    <row r="38" spans="1:13" x14ac:dyDescent="0.25">
      <c r="A38" t="s">
        <v>85</v>
      </c>
      <c r="B38" s="111">
        <v>45016</v>
      </c>
      <c r="C38">
        <v>4</v>
      </c>
      <c r="D38">
        <v>122</v>
      </c>
      <c r="E38" s="169">
        <v>339030000000</v>
      </c>
      <c r="F38" s="110">
        <v>29.63</v>
      </c>
      <c r="G38" s="110">
        <v>29.63</v>
      </c>
      <c r="H38" s="110">
        <v>29.63</v>
      </c>
      <c r="I38" t="str">
        <f>TEXT(ConsorcioDespesas[[#This Row],[NDO]],"000000000000")</f>
        <v>339030000000</v>
      </c>
      <c r="J38">
        <f>_xlfn.SWITCH(MONTH(ConsorcioDespesas[[#This Row],[Data-base]]),1,1,2,1,3,2,4,2,5,3,6,3,7,4,8,4,9,5,10,5,11,6,12,6)</f>
        <v>2</v>
      </c>
      <c r="K38">
        <f>YEAR(ConsorcioDespesas[[#This Row],[Data-base]])</f>
        <v>2023</v>
      </c>
      <c r="L38">
        <f>MONTH(ConsorcioDespesas[[#This Row],[Data-base]])</f>
        <v>3</v>
      </c>
      <c r="M38" t="str">
        <f>TEXT(ConsorcioDespesas[[#This Row],[NDO]],"000000000000")</f>
        <v>339030000000</v>
      </c>
    </row>
    <row r="39" spans="1:13" x14ac:dyDescent="0.25">
      <c r="A39" t="s">
        <v>85</v>
      </c>
      <c r="B39" s="111">
        <v>45016</v>
      </c>
      <c r="C39">
        <v>4</v>
      </c>
      <c r="D39">
        <v>122</v>
      </c>
      <c r="E39" s="169">
        <v>339033010000</v>
      </c>
      <c r="F39" s="110">
        <v>0</v>
      </c>
      <c r="G39" s="110">
        <v>0</v>
      </c>
      <c r="H39" s="110">
        <v>0</v>
      </c>
      <c r="I39" t="str">
        <f>TEXT(ConsorcioDespesas[[#This Row],[NDO]],"000000000000")</f>
        <v>339033010000</v>
      </c>
      <c r="J39">
        <f>_xlfn.SWITCH(MONTH(ConsorcioDespesas[[#This Row],[Data-base]]),1,1,2,1,3,2,4,2,5,3,6,3,7,4,8,4,9,5,10,5,11,6,12,6)</f>
        <v>2</v>
      </c>
      <c r="K39">
        <f>YEAR(ConsorcioDespesas[[#This Row],[Data-base]])</f>
        <v>2023</v>
      </c>
      <c r="L39">
        <f>MONTH(ConsorcioDespesas[[#This Row],[Data-base]])</f>
        <v>3</v>
      </c>
      <c r="M39" t="str">
        <f>TEXT(ConsorcioDespesas[[#This Row],[NDO]],"000000000000")</f>
        <v>339033010000</v>
      </c>
    </row>
    <row r="40" spans="1:13" x14ac:dyDescent="0.25">
      <c r="A40" t="s">
        <v>85</v>
      </c>
      <c r="B40" s="111">
        <v>45016</v>
      </c>
      <c r="C40">
        <v>4</v>
      </c>
      <c r="D40">
        <v>122</v>
      </c>
      <c r="E40" s="169">
        <v>339036000000</v>
      </c>
      <c r="F40" s="110">
        <v>0</v>
      </c>
      <c r="G40" s="110">
        <v>0</v>
      </c>
      <c r="H40" s="110">
        <v>0</v>
      </c>
      <c r="I40" t="str">
        <f>TEXT(ConsorcioDespesas[[#This Row],[NDO]],"000000000000")</f>
        <v>339036000000</v>
      </c>
      <c r="J40">
        <f>_xlfn.SWITCH(MONTH(ConsorcioDespesas[[#This Row],[Data-base]]),1,1,2,1,3,2,4,2,5,3,6,3,7,4,8,4,9,5,10,5,11,6,12,6)</f>
        <v>2</v>
      </c>
      <c r="K40">
        <f>YEAR(ConsorcioDespesas[[#This Row],[Data-base]])</f>
        <v>2023</v>
      </c>
      <c r="L40">
        <f>MONTH(ConsorcioDespesas[[#This Row],[Data-base]])</f>
        <v>3</v>
      </c>
      <c r="M40" t="str">
        <f>TEXT(ConsorcioDespesas[[#This Row],[NDO]],"000000000000")</f>
        <v>339036000000</v>
      </c>
    </row>
    <row r="41" spans="1:13" x14ac:dyDescent="0.25">
      <c r="A41" t="s">
        <v>85</v>
      </c>
      <c r="B41" s="111">
        <v>45016</v>
      </c>
      <c r="C41">
        <v>4</v>
      </c>
      <c r="D41">
        <v>122</v>
      </c>
      <c r="E41" s="169">
        <v>339039000000</v>
      </c>
      <c r="F41" s="110">
        <v>73.19</v>
      </c>
      <c r="G41" s="110">
        <v>73.19</v>
      </c>
      <c r="H41" s="110">
        <v>73.19</v>
      </c>
      <c r="I41" t="str">
        <f>TEXT(ConsorcioDespesas[[#This Row],[NDO]],"000000000000")</f>
        <v>339039000000</v>
      </c>
      <c r="J41">
        <f>_xlfn.SWITCH(MONTH(ConsorcioDespesas[[#This Row],[Data-base]]),1,1,2,1,3,2,4,2,5,3,6,3,7,4,8,4,9,5,10,5,11,6,12,6)</f>
        <v>2</v>
      </c>
      <c r="K41">
        <f>YEAR(ConsorcioDespesas[[#This Row],[Data-base]])</f>
        <v>2023</v>
      </c>
      <c r="L41">
        <f>MONTH(ConsorcioDespesas[[#This Row],[Data-base]])</f>
        <v>3</v>
      </c>
      <c r="M41" t="str">
        <f>TEXT(ConsorcioDespesas[[#This Row],[NDO]],"000000000000")</f>
        <v>339039000000</v>
      </c>
    </row>
    <row r="42" spans="1:13" x14ac:dyDescent="0.25">
      <c r="A42" t="s">
        <v>85</v>
      </c>
      <c r="B42" s="111">
        <v>45016</v>
      </c>
      <c r="C42">
        <v>4</v>
      </c>
      <c r="D42">
        <v>122</v>
      </c>
      <c r="E42" s="169">
        <v>339039570000</v>
      </c>
      <c r="F42" s="110">
        <v>109.17</v>
      </c>
      <c r="G42" s="110">
        <v>109.17</v>
      </c>
      <c r="H42" s="110">
        <v>109.17</v>
      </c>
      <c r="I42" t="str">
        <f>TEXT(ConsorcioDespesas[[#This Row],[NDO]],"000000000000")</f>
        <v>339039570000</v>
      </c>
      <c r="J42">
        <f>_xlfn.SWITCH(MONTH(ConsorcioDespesas[[#This Row],[Data-base]]),1,1,2,1,3,2,4,2,5,3,6,3,7,4,8,4,9,5,10,5,11,6,12,6)</f>
        <v>2</v>
      </c>
      <c r="K42">
        <f>YEAR(ConsorcioDespesas[[#This Row],[Data-base]])</f>
        <v>2023</v>
      </c>
      <c r="L42">
        <f>MONTH(ConsorcioDespesas[[#This Row],[Data-base]])</f>
        <v>3</v>
      </c>
      <c r="M42" t="str">
        <f>TEXT(ConsorcioDespesas[[#This Row],[NDO]],"000000000000")</f>
        <v>339039570000</v>
      </c>
    </row>
    <row r="43" spans="1:13" x14ac:dyDescent="0.25">
      <c r="A43" t="s">
        <v>85</v>
      </c>
      <c r="B43" s="111">
        <v>45016</v>
      </c>
      <c r="C43">
        <v>4</v>
      </c>
      <c r="D43">
        <v>122</v>
      </c>
      <c r="E43" s="169">
        <v>339039990100</v>
      </c>
      <c r="F43" s="110">
        <v>40.659999999999997</v>
      </c>
      <c r="G43" s="110">
        <v>40.659999999999997</v>
      </c>
      <c r="H43" s="110">
        <v>40.659999999999997</v>
      </c>
      <c r="I43" t="str">
        <f>TEXT(ConsorcioDespesas[[#This Row],[NDO]],"000000000000")</f>
        <v>339039990100</v>
      </c>
      <c r="J43">
        <f>_xlfn.SWITCH(MONTH(ConsorcioDespesas[[#This Row],[Data-base]]),1,1,2,1,3,2,4,2,5,3,6,3,7,4,8,4,9,5,10,5,11,6,12,6)</f>
        <v>2</v>
      </c>
      <c r="K43">
        <f>YEAR(ConsorcioDespesas[[#This Row],[Data-base]])</f>
        <v>2023</v>
      </c>
      <c r="L43">
        <f>MONTH(ConsorcioDespesas[[#This Row],[Data-base]])</f>
        <v>3</v>
      </c>
      <c r="M43" t="str">
        <f>TEXT(ConsorcioDespesas[[#This Row],[NDO]],"000000000000")</f>
        <v>339039990100</v>
      </c>
    </row>
    <row r="44" spans="1:13" x14ac:dyDescent="0.25">
      <c r="A44" t="s">
        <v>85</v>
      </c>
      <c r="B44" s="111">
        <v>45016</v>
      </c>
      <c r="C44">
        <v>4</v>
      </c>
      <c r="D44">
        <v>122</v>
      </c>
      <c r="E44" s="169">
        <v>339046010100</v>
      </c>
      <c r="F44" s="110">
        <v>53.48</v>
      </c>
      <c r="G44" s="110">
        <v>53.48</v>
      </c>
      <c r="H44" s="110">
        <v>53.48</v>
      </c>
      <c r="I44" t="str">
        <f>TEXT(ConsorcioDespesas[[#This Row],[NDO]],"000000000000")</f>
        <v>339046010100</v>
      </c>
      <c r="J44">
        <f>_xlfn.SWITCH(MONTH(ConsorcioDespesas[[#This Row],[Data-base]]),1,1,2,1,3,2,4,2,5,3,6,3,7,4,8,4,9,5,10,5,11,6,12,6)</f>
        <v>2</v>
      </c>
      <c r="K44">
        <f>YEAR(ConsorcioDespesas[[#This Row],[Data-base]])</f>
        <v>2023</v>
      </c>
      <c r="L44">
        <f>MONTH(ConsorcioDespesas[[#This Row],[Data-base]])</f>
        <v>3</v>
      </c>
      <c r="M44" t="str">
        <f>TEXT(ConsorcioDespesas[[#This Row],[NDO]],"000000000000")</f>
        <v>339046010100</v>
      </c>
    </row>
    <row r="45" spans="1:13" x14ac:dyDescent="0.25">
      <c r="A45" t="s">
        <v>85</v>
      </c>
      <c r="B45" s="111">
        <v>45016</v>
      </c>
      <c r="C45">
        <v>4</v>
      </c>
      <c r="D45">
        <v>122</v>
      </c>
      <c r="E45" s="169">
        <v>339049010000</v>
      </c>
      <c r="F45" s="110">
        <v>1.96</v>
      </c>
      <c r="G45" s="110">
        <v>1.96</v>
      </c>
      <c r="H45" s="110">
        <v>1.96</v>
      </c>
      <c r="I45" t="str">
        <f>TEXT(ConsorcioDespesas[[#This Row],[NDO]],"000000000000")</f>
        <v>339049010000</v>
      </c>
      <c r="J45">
        <f>_xlfn.SWITCH(MONTH(ConsorcioDespesas[[#This Row],[Data-base]]),1,1,2,1,3,2,4,2,5,3,6,3,7,4,8,4,9,5,10,5,11,6,12,6)</f>
        <v>2</v>
      </c>
      <c r="K45">
        <f>YEAR(ConsorcioDespesas[[#This Row],[Data-base]])</f>
        <v>2023</v>
      </c>
      <c r="L45">
        <f>MONTH(ConsorcioDespesas[[#This Row],[Data-base]])</f>
        <v>3</v>
      </c>
      <c r="M45" t="str">
        <f>TEXT(ConsorcioDespesas[[#This Row],[NDO]],"000000000000")</f>
        <v>339049010000</v>
      </c>
    </row>
    <row r="46" spans="1:13" x14ac:dyDescent="0.25">
      <c r="A46" t="s">
        <v>85</v>
      </c>
      <c r="B46" s="111">
        <v>45016</v>
      </c>
      <c r="C46">
        <v>4</v>
      </c>
      <c r="D46">
        <v>122</v>
      </c>
      <c r="E46" s="169">
        <v>339047000000</v>
      </c>
      <c r="F46" s="110">
        <v>0</v>
      </c>
      <c r="G46" s="110">
        <v>0</v>
      </c>
      <c r="H46" s="110">
        <v>0</v>
      </c>
      <c r="I46" t="str">
        <f>TEXT(ConsorcioDespesas[[#This Row],[NDO]],"000000000000")</f>
        <v>339047000000</v>
      </c>
      <c r="J46">
        <f>_xlfn.SWITCH(MONTH(ConsorcioDespesas[[#This Row],[Data-base]]),1,1,2,1,3,2,4,2,5,3,6,3,7,4,8,4,9,5,10,5,11,6,12,6)</f>
        <v>2</v>
      </c>
      <c r="K46">
        <f>YEAR(ConsorcioDespesas[[#This Row],[Data-base]])</f>
        <v>2023</v>
      </c>
      <c r="L46">
        <f>MONTH(ConsorcioDespesas[[#This Row],[Data-base]])</f>
        <v>3</v>
      </c>
      <c r="M46" t="str">
        <f>TEXT(ConsorcioDespesas[[#This Row],[NDO]],"000000000000")</f>
        <v>339047000000</v>
      </c>
    </row>
    <row r="47" spans="1:13" x14ac:dyDescent="0.25">
      <c r="A47" t="s">
        <v>85</v>
      </c>
      <c r="B47" s="111">
        <v>45016</v>
      </c>
      <c r="C47">
        <v>4</v>
      </c>
      <c r="D47">
        <v>122</v>
      </c>
      <c r="E47" s="169">
        <v>449052000000</v>
      </c>
      <c r="F47" s="110">
        <v>0</v>
      </c>
      <c r="G47" s="110">
        <v>0</v>
      </c>
      <c r="H47" s="110">
        <v>0</v>
      </c>
      <c r="I47" t="str">
        <f>TEXT(ConsorcioDespesas[[#This Row],[NDO]],"000000000000")</f>
        <v>449052000000</v>
      </c>
      <c r="J47">
        <f>_xlfn.SWITCH(MONTH(ConsorcioDespesas[[#This Row],[Data-base]]),1,1,2,1,3,2,4,2,5,3,6,3,7,4,8,4,9,5,10,5,11,6,12,6)</f>
        <v>2</v>
      </c>
      <c r="K47">
        <f>YEAR(ConsorcioDespesas[[#This Row],[Data-base]])</f>
        <v>2023</v>
      </c>
      <c r="L47">
        <f>MONTH(ConsorcioDespesas[[#This Row],[Data-base]])</f>
        <v>3</v>
      </c>
      <c r="M47" t="str">
        <f>TEXT(ConsorcioDespesas[[#This Row],[NDO]],"000000000000")</f>
        <v>449052000000</v>
      </c>
    </row>
    <row r="48" spans="1:13" x14ac:dyDescent="0.25">
      <c r="A48" t="s">
        <v>85</v>
      </c>
      <c r="B48" s="111">
        <v>45016</v>
      </c>
      <c r="C48">
        <v>10</v>
      </c>
      <c r="D48">
        <v>302</v>
      </c>
      <c r="E48" s="169">
        <v>334041390500</v>
      </c>
      <c r="F48" s="110">
        <v>8742.48</v>
      </c>
      <c r="G48" s="110">
        <v>8742.48</v>
      </c>
      <c r="H48" s="110">
        <v>8742.48</v>
      </c>
      <c r="I48" t="str">
        <f>TEXT(ConsorcioDespesas[[#This Row],[NDO]],"000000000000")</f>
        <v>334041390500</v>
      </c>
      <c r="J48">
        <f>_xlfn.SWITCH(MONTH(ConsorcioDespesas[[#This Row],[Data-base]]),1,1,2,1,3,2,4,2,5,3,6,3,7,4,8,4,9,5,10,5,11,6,12,6)</f>
        <v>2</v>
      </c>
      <c r="K48">
        <f>YEAR(ConsorcioDespesas[[#This Row],[Data-base]])</f>
        <v>2023</v>
      </c>
      <c r="L48">
        <f>MONTH(ConsorcioDespesas[[#This Row],[Data-base]])</f>
        <v>3</v>
      </c>
      <c r="M48" t="str">
        <f>TEXT(ConsorcioDespesas[[#This Row],[NDO]],"000000000000")</f>
        <v>334041390500</v>
      </c>
    </row>
    <row r="49" spans="1:13" x14ac:dyDescent="0.25">
      <c r="A49" t="s">
        <v>85</v>
      </c>
      <c r="B49" s="111">
        <v>45016</v>
      </c>
      <c r="C49">
        <v>10</v>
      </c>
      <c r="D49">
        <v>302</v>
      </c>
      <c r="E49" s="169">
        <v>334041391100</v>
      </c>
      <c r="F49" s="110">
        <v>626.91999999999996</v>
      </c>
      <c r="G49" s="110">
        <v>626.91999999999996</v>
      </c>
      <c r="H49" s="110">
        <v>626.91999999999996</v>
      </c>
      <c r="I49" t="str">
        <f>TEXT(ConsorcioDespesas[[#This Row],[NDO]],"000000000000")</f>
        <v>334041391100</v>
      </c>
      <c r="J49">
        <f>_xlfn.SWITCH(MONTH(ConsorcioDespesas[[#This Row],[Data-base]]),1,1,2,1,3,2,4,2,5,3,6,3,7,4,8,4,9,5,10,5,11,6,12,6)</f>
        <v>2</v>
      </c>
      <c r="K49">
        <f>YEAR(ConsorcioDespesas[[#This Row],[Data-base]])</f>
        <v>2023</v>
      </c>
      <c r="L49">
        <f>MONTH(ConsorcioDespesas[[#This Row],[Data-base]])</f>
        <v>3</v>
      </c>
      <c r="M49" t="str">
        <f>TEXT(ConsorcioDespesas[[#This Row],[NDO]],"000000000000")</f>
        <v>334041391100</v>
      </c>
    </row>
    <row r="50" spans="1:13" x14ac:dyDescent="0.25">
      <c r="A50" t="s">
        <v>85</v>
      </c>
      <c r="B50" s="111">
        <v>45016</v>
      </c>
      <c r="C50">
        <v>10</v>
      </c>
      <c r="D50">
        <v>302</v>
      </c>
      <c r="E50" s="169">
        <v>334041391000</v>
      </c>
      <c r="F50" s="110">
        <v>874.88</v>
      </c>
      <c r="G50" s="110">
        <v>874.88</v>
      </c>
      <c r="H50" s="110">
        <v>874.88</v>
      </c>
      <c r="I50" t="str">
        <f>TEXT(ConsorcioDespesas[[#This Row],[NDO]],"000000000000")</f>
        <v>334041391000</v>
      </c>
      <c r="J50">
        <f>_xlfn.SWITCH(MONTH(ConsorcioDespesas[[#This Row],[Data-base]]),1,1,2,1,3,2,4,2,5,3,6,3,7,4,8,4,9,5,10,5,11,6,12,6)</f>
        <v>2</v>
      </c>
      <c r="K50">
        <f>YEAR(ConsorcioDespesas[[#This Row],[Data-base]])</f>
        <v>2023</v>
      </c>
      <c r="L50">
        <f>MONTH(ConsorcioDespesas[[#This Row],[Data-base]])</f>
        <v>3</v>
      </c>
      <c r="M50" t="str">
        <f>TEXT(ConsorcioDespesas[[#This Row],[NDO]],"000000000000")</f>
        <v>334041391000</v>
      </c>
    </row>
    <row r="51" spans="1:13" x14ac:dyDescent="0.25">
      <c r="A51" t="s">
        <v>85</v>
      </c>
      <c r="B51" s="111">
        <v>45046</v>
      </c>
      <c r="C51">
        <v>4</v>
      </c>
      <c r="D51">
        <v>122</v>
      </c>
      <c r="E51" s="169">
        <v>319011010100</v>
      </c>
      <c r="F51" s="110">
        <v>1293.42</v>
      </c>
      <c r="G51" s="110">
        <v>1293.42</v>
      </c>
      <c r="H51" s="110">
        <v>1293.42</v>
      </c>
      <c r="I51" t="str">
        <f>TEXT(ConsorcioDespesas[[#This Row],[NDO]],"000000000000")</f>
        <v>319011010100</v>
      </c>
      <c r="J51">
        <f>_xlfn.SWITCH(MONTH(ConsorcioDespesas[[#This Row],[Data-base]]),1,1,2,1,3,2,4,2,5,3,6,3,7,4,8,4,9,5,10,5,11,6,12,6)</f>
        <v>2</v>
      </c>
      <c r="K51">
        <f>YEAR(ConsorcioDespesas[[#This Row],[Data-base]])</f>
        <v>2023</v>
      </c>
      <c r="L51">
        <f>MONTH(ConsorcioDespesas[[#This Row],[Data-base]])</f>
        <v>4</v>
      </c>
      <c r="M51" t="str">
        <f>TEXT(ConsorcioDespesas[[#This Row],[NDO]],"000000000000")</f>
        <v>319011010100</v>
      </c>
    </row>
    <row r="52" spans="1:13" x14ac:dyDescent="0.25">
      <c r="A52" t="s">
        <v>85</v>
      </c>
      <c r="B52" s="111">
        <v>45046</v>
      </c>
      <c r="C52">
        <v>4</v>
      </c>
      <c r="D52">
        <v>122</v>
      </c>
      <c r="E52" s="169">
        <v>319013010100</v>
      </c>
      <c r="F52" s="110">
        <v>191.85</v>
      </c>
      <c r="G52" s="110">
        <v>191.85</v>
      </c>
      <c r="H52" s="110">
        <v>191.85</v>
      </c>
      <c r="I52" t="str">
        <f>TEXT(ConsorcioDespesas[[#This Row],[NDO]],"000000000000")</f>
        <v>319013010100</v>
      </c>
      <c r="J52">
        <f>_xlfn.SWITCH(MONTH(ConsorcioDespesas[[#This Row],[Data-base]]),1,1,2,1,3,2,4,2,5,3,6,3,7,4,8,4,9,5,10,5,11,6,12,6)</f>
        <v>2</v>
      </c>
      <c r="K52">
        <f>YEAR(ConsorcioDespesas[[#This Row],[Data-base]])</f>
        <v>2023</v>
      </c>
      <c r="L52">
        <f>MONTH(ConsorcioDespesas[[#This Row],[Data-base]])</f>
        <v>4</v>
      </c>
      <c r="M52" t="str">
        <f>TEXT(ConsorcioDespesas[[#This Row],[NDO]],"000000000000")</f>
        <v>319013010100</v>
      </c>
    </row>
    <row r="53" spans="1:13" x14ac:dyDescent="0.25">
      <c r="A53" t="s">
        <v>85</v>
      </c>
      <c r="B53" s="111">
        <v>45046</v>
      </c>
      <c r="C53">
        <v>4</v>
      </c>
      <c r="D53">
        <v>122</v>
      </c>
      <c r="E53" s="169">
        <v>319013020100</v>
      </c>
      <c r="F53" s="110">
        <v>271.62</v>
      </c>
      <c r="G53" s="110">
        <v>271.62</v>
      </c>
      <c r="H53" s="110">
        <v>271.62</v>
      </c>
      <c r="I53" t="str">
        <f>TEXT(ConsorcioDespesas[[#This Row],[NDO]],"000000000000")</f>
        <v>319013020100</v>
      </c>
      <c r="J53">
        <f>_xlfn.SWITCH(MONTH(ConsorcioDespesas[[#This Row],[Data-base]]),1,1,2,1,3,2,4,2,5,3,6,3,7,4,8,4,9,5,10,5,11,6,12,6)</f>
        <v>2</v>
      </c>
      <c r="K53">
        <f>YEAR(ConsorcioDespesas[[#This Row],[Data-base]])</f>
        <v>2023</v>
      </c>
      <c r="L53">
        <f>MONTH(ConsorcioDespesas[[#This Row],[Data-base]])</f>
        <v>4</v>
      </c>
      <c r="M53" t="str">
        <f>TEXT(ConsorcioDespesas[[#This Row],[NDO]],"000000000000")</f>
        <v>319013020100</v>
      </c>
    </row>
    <row r="54" spans="1:13" x14ac:dyDescent="0.25">
      <c r="A54" t="s">
        <v>85</v>
      </c>
      <c r="B54" s="111">
        <v>45046</v>
      </c>
      <c r="C54">
        <v>4</v>
      </c>
      <c r="D54">
        <v>122</v>
      </c>
      <c r="E54" s="169">
        <v>339014140000</v>
      </c>
      <c r="F54" s="110">
        <v>0</v>
      </c>
      <c r="G54" s="110">
        <v>0</v>
      </c>
      <c r="H54" s="110">
        <v>0</v>
      </c>
      <c r="I54" t="str">
        <f>TEXT(ConsorcioDespesas[[#This Row],[NDO]],"000000000000")</f>
        <v>339014140000</v>
      </c>
      <c r="J54">
        <f>_xlfn.SWITCH(MONTH(ConsorcioDespesas[[#This Row],[Data-base]]),1,1,2,1,3,2,4,2,5,3,6,3,7,4,8,4,9,5,10,5,11,6,12,6)</f>
        <v>2</v>
      </c>
      <c r="K54">
        <f>YEAR(ConsorcioDespesas[[#This Row],[Data-base]])</f>
        <v>2023</v>
      </c>
      <c r="L54">
        <f>MONTH(ConsorcioDespesas[[#This Row],[Data-base]])</f>
        <v>4</v>
      </c>
      <c r="M54" t="str">
        <f>TEXT(ConsorcioDespesas[[#This Row],[NDO]],"000000000000")</f>
        <v>339014140000</v>
      </c>
    </row>
    <row r="55" spans="1:13" x14ac:dyDescent="0.25">
      <c r="A55" t="s">
        <v>85</v>
      </c>
      <c r="B55" s="111">
        <v>45046</v>
      </c>
      <c r="C55">
        <v>4</v>
      </c>
      <c r="D55">
        <v>122</v>
      </c>
      <c r="E55" s="169">
        <v>339030000000</v>
      </c>
      <c r="F55" s="110">
        <v>115.17</v>
      </c>
      <c r="G55" s="110">
        <v>115.17</v>
      </c>
      <c r="H55" s="110">
        <v>115.17</v>
      </c>
      <c r="I55" t="str">
        <f>TEXT(ConsorcioDespesas[[#This Row],[NDO]],"000000000000")</f>
        <v>339030000000</v>
      </c>
      <c r="J55">
        <f>_xlfn.SWITCH(MONTH(ConsorcioDespesas[[#This Row],[Data-base]]),1,1,2,1,3,2,4,2,5,3,6,3,7,4,8,4,9,5,10,5,11,6,12,6)</f>
        <v>2</v>
      </c>
      <c r="K55">
        <f>YEAR(ConsorcioDespesas[[#This Row],[Data-base]])</f>
        <v>2023</v>
      </c>
      <c r="L55">
        <f>MONTH(ConsorcioDespesas[[#This Row],[Data-base]])</f>
        <v>4</v>
      </c>
      <c r="M55" t="str">
        <f>TEXT(ConsorcioDespesas[[#This Row],[NDO]],"000000000000")</f>
        <v>339030000000</v>
      </c>
    </row>
    <row r="56" spans="1:13" x14ac:dyDescent="0.25">
      <c r="A56" t="s">
        <v>85</v>
      </c>
      <c r="B56" s="111">
        <v>45046</v>
      </c>
      <c r="C56">
        <v>4</v>
      </c>
      <c r="D56">
        <v>122</v>
      </c>
      <c r="E56" s="169">
        <v>339033010000</v>
      </c>
      <c r="F56" s="110">
        <v>0</v>
      </c>
      <c r="G56" s="110">
        <v>0</v>
      </c>
      <c r="H56" s="110">
        <v>0</v>
      </c>
      <c r="I56" t="str">
        <f>TEXT(ConsorcioDespesas[[#This Row],[NDO]],"000000000000")</f>
        <v>339033010000</v>
      </c>
      <c r="J56">
        <f>_xlfn.SWITCH(MONTH(ConsorcioDespesas[[#This Row],[Data-base]]),1,1,2,1,3,2,4,2,5,3,6,3,7,4,8,4,9,5,10,5,11,6,12,6)</f>
        <v>2</v>
      </c>
      <c r="K56">
        <f>YEAR(ConsorcioDespesas[[#This Row],[Data-base]])</f>
        <v>2023</v>
      </c>
      <c r="L56">
        <f>MONTH(ConsorcioDespesas[[#This Row],[Data-base]])</f>
        <v>4</v>
      </c>
      <c r="M56" t="str">
        <f>TEXT(ConsorcioDespesas[[#This Row],[NDO]],"000000000000")</f>
        <v>339033010000</v>
      </c>
    </row>
    <row r="57" spans="1:13" x14ac:dyDescent="0.25">
      <c r="A57" t="s">
        <v>85</v>
      </c>
      <c r="B57" s="111">
        <v>45046</v>
      </c>
      <c r="C57">
        <v>4</v>
      </c>
      <c r="D57">
        <v>122</v>
      </c>
      <c r="E57" s="169">
        <v>339036000000</v>
      </c>
      <c r="F57" s="110">
        <v>0</v>
      </c>
      <c r="G57" s="110">
        <v>0</v>
      </c>
      <c r="H57" s="110">
        <v>0</v>
      </c>
      <c r="I57" t="str">
        <f>TEXT(ConsorcioDespesas[[#This Row],[NDO]],"000000000000")</f>
        <v>339036000000</v>
      </c>
      <c r="J57">
        <f>_xlfn.SWITCH(MONTH(ConsorcioDespesas[[#This Row],[Data-base]]),1,1,2,1,3,2,4,2,5,3,6,3,7,4,8,4,9,5,10,5,11,6,12,6)</f>
        <v>2</v>
      </c>
      <c r="K57">
        <f>YEAR(ConsorcioDespesas[[#This Row],[Data-base]])</f>
        <v>2023</v>
      </c>
      <c r="L57">
        <f>MONTH(ConsorcioDespesas[[#This Row],[Data-base]])</f>
        <v>4</v>
      </c>
      <c r="M57" t="str">
        <f>TEXT(ConsorcioDespesas[[#This Row],[NDO]],"000000000000")</f>
        <v>339036000000</v>
      </c>
    </row>
    <row r="58" spans="1:13" x14ac:dyDescent="0.25">
      <c r="A58" t="s">
        <v>85</v>
      </c>
      <c r="B58" s="111">
        <v>45046</v>
      </c>
      <c r="C58">
        <v>4</v>
      </c>
      <c r="D58">
        <v>122</v>
      </c>
      <c r="E58" s="169">
        <v>339039000000</v>
      </c>
      <c r="F58" s="110">
        <v>69.91</v>
      </c>
      <c r="G58" s="110">
        <v>69.91</v>
      </c>
      <c r="H58" s="110">
        <v>69.91</v>
      </c>
      <c r="I58" t="str">
        <f>TEXT(ConsorcioDespesas[[#This Row],[NDO]],"000000000000")</f>
        <v>339039000000</v>
      </c>
      <c r="J58">
        <f>_xlfn.SWITCH(MONTH(ConsorcioDespesas[[#This Row],[Data-base]]),1,1,2,1,3,2,4,2,5,3,6,3,7,4,8,4,9,5,10,5,11,6,12,6)</f>
        <v>2</v>
      </c>
      <c r="K58">
        <f>YEAR(ConsorcioDespesas[[#This Row],[Data-base]])</f>
        <v>2023</v>
      </c>
      <c r="L58">
        <f>MONTH(ConsorcioDespesas[[#This Row],[Data-base]])</f>
        <v>4</v>
      </c>
      <c r="M58" t="str">
        <f>TEXT(ConsorcioDespesas[[#This Row],[NDO]],"000000000000")</f>
        <v>339039000000</v>
      </c>
    </row>
    <row r="59" spans="1:13" x14ac:dyDescent="0.25">
      <c r="A59" t="s">
        <v>85</v>
      </c>
      <c r="B59" s="111">
        <v>45046</v>
      </c>
      <c r="C59">
        <v>4</v>
      </c>
      <c r="D59">
        <v>122</v>
      </c>
      <c r="E59" s="169">
        <v>339039570000</v>
      </c>
      <c r="F59" s="110">
        <v>109.17</v>
      </c>
      <c r="G59" s="110">
        <v>109.17</v>
      </c>
      <c r="H59" s="110">
        <v>109.17</v>
      </c>
      <c r="I59" t="str">
        <f>TEXT(ConsorcioDespesas[[#This Row],[NDO]],"000000000000")</f>
        <v>339039570000</v>
      </c>
      <c r="J59">
        <f>_xlfn.SWITCH(MONTH(ConsorcioDespesas[[#This Row],[Data-base]]),1,1,2,1,3,2,4,2,5,3,6,3,7,4,8,4,9,5,10,5,11,6,12,6)</f>
        <v>2</v>
      </c>
      <c r="K59">
        <f>YEAR(ConsorcioDespesas[[#This Row],[Data-base]])</f>
        <v>2023</v>
      </c>
      <c r="L59">
        <f>MONTH(ConsorcioDespesas[[#This Row],[Data-base]])</f>
        <v>4</v>
      </c>
      <c r="M59" t="str">
        <f>TEXT(ConsorcioDespesas[[#This Row],[NDO]],"000000000000")</f>
        <v>339039570000</v>
      </c>
    </row>
    <row r="60" spans="1:13" x14ac:dyDescent="0.25">
      <c r="A60" t="s">
        <v>85</v>
      </c>
      <c r="B60" s="111">
        <v>45046</v>
      </c>
      <c r="C60">
        <v>4</v>
      </c>
      <c r="D60">
        <v>122</v>
      </c>
      <c r="E60" s="169">
        <v>339039990100</v>
      </c>
      <c r="F60" s="110">
        <v>54.49</v>
      </c>
      <c r="G60" s="110">
        <v>54.49</v>
      </c>
      <c r="H60" s="110">
        <v>54.49</v>
      </c>
      <c r="I60" t="str">
        <f>TEXT(ConsorcioDespesas[[#This Row],[NDO]],"000000000000")</f>
        <v>339039990100</v>
      </c>
      <c r="J60">
        <f>_xlfn.SWITCH(MONTH(ConsorcioDespesas[[#This Row],[Data-base]]),1,1,2,1,3,2,4,2,5,3,6,3,7,4,8,4,9,5,10,5,11,6,12,6)</f>
        <v>2</v>
      </c>
      <c r="K60">
        <f>YEAR(ConsorcioDespesas[[#This Row],[Data-base]])</f>
        <v>2023</v>
      </c>
      <c r="L60">
        <f>MONTH(ConsorcioDespesas[[#This Row],[Data-base]])</f>
        <v>4</v>
      </c>
      <c r="M60" t="str">
        <f>TEXT(ConsorcioDespesas[[#This Row],[NDO]],"000000000000")</f>
        <v>339039990100</v>
      </c>
    </row>
    <row r="61" spans="1:13" x14ac:dyDescent="0.25">
      <c r="A61" t="s">
        <v>85</v>
      </c>
      <c r="B61" s="111">
        <v>45046</v>
      </c>
      <c r="C61">
        <v>4</v>
      </c>
      <c r="D61">
        <v>122</v>
      </c>
      <c r="E61" s="169">
        <v>339046010100</v>
      </c>
      <c r="F61" s="110">
        <v>53.48</v>
      </c>
      <c r="G61" s="110">
        <v>53.48</v>
      </c>
      <c r="H61" s="110">
        <v>53.48</v>
      </c>
      <c r="I61" t="str">
        <f>TEXT(ConsorcioDespesas[[#This Row],[NDO]],"000000000000")</f>
        <v>339046010100</v>
      </c>
      <c r="J61">
        <f>_xlfn.SWITCH(MONTH(ConsorcioDespesas[[#This Row],[Data-base]]),1,1,2,1,3,2,4,2,5,3,6,3,7,4,8,4,9,5,10,5,11,6,12,6)</f>
        <v>2</v>
      </c>
      <c r="K61">
        <f>YEAR(ConsorcioDespesas[[#This Row],[Data-base]])</f>
        <v>2023</v>
      </c>
      <c r="L61">
        <f>MONTH(ConsorcioDespesas[[#This Row],[Data-base]])</f>
        <v>4</v>
      </c>
      <c r="M61" t="str">
        <f>TEXT(ConsorcioDespesas[[#This Row],[NDO]],"000000000000")</f>
        <v>339046010100</v>
      </c>
    </row>
    <row r="62" spans="1:13" x14ac:dyDescent="0.25">
      <c r="A62" t="s">
        <v>85</v>
      </c>
      <c r="B62" s="111">
        <v>45046</v>
      </c>
      <c r="C62">
        <v>4</v>
      </c>
      <c r="D62">
        <v>122</v>
      </c>
      <c r="E62" s="169">
        <v>339049010000</v>
      </c>
      <c r="F62" s="110">
        <v>1.96</v>
      </c>
      <c r="G62" s="110">
        <v>1.96</v>
      </c>
      <c r="H62" s="110">
        <v>1.96</v>
      </c>
      <c r="I62" t="str">
        <f>TEXT(ConsorcioDespesas[[#This Row],[NDO]],"000000000000")</f>
        <v>339049010000</v>
      </c>
      <c r="J62">
        <f>_xlfn.SWITCH(MONTH(ConsorcioDespesas[[#This Row],[Data-base]]),1,1,2,1,3,2,4,2,5,3,6,3,7,4,8,4,9,5,10,5,11,6,12,6)</f>
        <v>2</v>
      </c>
      <c r="K62">
        <f>YEAR(ConsorcioDespesas[[#This Row],[Data-base]])</f>
        <v>2023</v>
      </c>
      <c r="L62">
        <f>MONTH(ConsorcioDespesas[[#This Row],[Data-base]])</f>
        <v>4</v>
      </c>
      <c r="M62" t="str">
        <f>TEXT(ConsorcioDespesas[[#This Row],[NDO]],"000000000000")</f>
        <v>339049010000</v>
      </c>
    </row>
    <row r="63" spans="1:13" x14ac:dyDescent="0.25">
      <c r="A63" t="s">
        <v>85</v>
      </c>
      <c r="B63" s="111">
        <v>45046</v>
      </c>
      <c r="C63">
        <v>4</v>
      </c>
      <c r="D63">
        <v>122</v>
      </c>
      <c r="E63" s="169">
        <v>339047000000</v>
      </c>
      <c r="F63" s="110">
        <v>0</v>
      </c>
      <c r="G63" s="110">
        <v>0</v>
      </c>
      <c r="H63" s="110">
        <v>0</v>
      </c>
      <c r="I63" t="str">
        <f>TEXT(ConsorcioDespesas[[#This Row],[NDO]],"000000000000")</f>
        <v>339047000000</v>
      </c>
      <c r="J63">
        <f>_xlfn.SWITCH(MONTH(ConsorcioDespesas[[#This Row],[Data-base]]),1,1,2,1,3,2,4,2,5,3,6,3,7,4,8,4,9,5,10,5,11,6,12,6)</f>
        <v>2</v>
      </c>
      <c r="K63">
        <f>YEAR(ConsorcioDespesas[[#This Row],[Data-base]])</f>
        <v>2023</v>
      </c>
      <c r="L63">
        <f>MONTH(ConsorcioDespesas[[#This Row],[Data-base]])</f>
        <v>4</v>
      </c>
      <c r="M63" t="str">
        <f>TEXT(ConsorcioDespesas[[#This Row],[NDO]],"000000000000")</f>
        <v>339047000000</v>
      </c>
    </row>
    <row r="64" spans="1:13" x14ac:dyDescent="0.25">
      <c r="A64" t="s">
        <v>85</v>
      </c>
      <c r="B64" s="111">
        <v>45046</v>
      </c>
      <c r="C64">
        <v>4</v>
      </c>
      <c r="D64">
        <v>122</v>
      </c>
      <c r="E64" s="169">
        <v>449052000000</v>
      </c>
      <c r="F64" s="110">
        <v>0</v>
      </c>
      <c r="G64" s="110">
        <v>0</v>
      </c>
      <c r="H64" s="110">
        <v>0</v>
      </c>
      <c r="I64" t="str">
        <f>TEXT(ConsorcioDespesas[[#This Row],[NDO]],"000000000000")</f>
        <v>449052000000</v>
      </c>
      <c r="J64">
        <f>_xlfn.SWITCH(MONTH(ConsorcioDespesas[[#This Row],[Data-base]]),1,1,2,1,3,2,4,2,5,3,6,3,7,4,8,4,9,5,10,5,11,6,12,6)</f>
        <v>2</v>
      </c>
      <c r="K64">
        <f>YEAR(ConsorcioDespesas[[#This Row],[Data-base]])</f>
        <v>2023</v>
      </c>
      <c r="L64">
        <f>MONTH(ConsorcioDespesas[[#This Row],[Data-base]])</f>
        <v>4</v>
      </c>
      <c r="M64" t="str">
        <f>TEXT(ConsorcioDespesas[[#This Row],[NDO]],"000000000000")</f>
        <v>449052000000</v>
      </c>
    </row>
    <row r="65" spans="1:13" x14ac:dyDescent="0.25">
      <c r="A65" t="s">
        <v>85</v>
      </c>
      <c r="B65" s="111">
        <v>45046</v>
      </c>
      <c r="C65">
        <v>10</v>
      </c>
      <c r="D65">
        <v>302</v>
      </c>
      <c r="E65" s="169">
        <v>334041390500</v>
      </c>
      <c r="F65" s="110">
        <v>8742.48</v>
      </c>
      <c r="G65" s="110">
        <v>8742.48</v>
      </c>
      <c r="H65" s="110">
        <v>8742.48</v>
      </c>
      <c r="I65" t="str">
        <f>TEXT(ConsorcioDespesas[[#This Row],[NDO]],"000000000000")</f>
        <v>334041390500</v>
      </c>
      <c r="J65">
        <f>_xlfn.SWITCH(MONTH(ConsorcioDespesas[[#This Row],[Data-base]]),1,1,2,1,3,2,4,2,5,3,6,3,7,4,8,4,9,5,10,5,11,6,12,6)</f>
        <v>2</v>
      </c>
      <c r="K65">
        <f>YEAR(ConsorcioDespesas[[#This Row],[Data-base]])</f>
        <v>2023</v>
      </c>
      <c r="L65">
        <f>MONTH(ConsorcioDespesas[[#This Row],[Data-base]])</f>
        <v>4</v>
      </c>
      <c r="M65" t="str">
        <f>TEXT(ConsorcioDespesas[[#This Row],[NDO]],"000000000000")</f>
        <v>334041390500</v>
      </c>
    </row>
    <row r="66" spans="1:13" x14ac:dyDescent="0.25">
      <c r="A66" t="s">
        <v>85</v>
      </c>
      <c r="B66" s="111">
        <v>45046</v>
      </c>
      <c r="C66">
        <v>10</v>
      </c>
      <c r="D66">
        <v>302</v>
      </c>
      <c r="E66" s="169">
        <v>334041391100</v>
      </c>
      <c r="F66" s="110">
        <v>626.91999999999996</v>
      </c>
      <c r="G66" s="110">
        <v>626.91999999999996</v>
      </c>
      <c r="H66" s="110">
        <v>626.91999999999996</v>
      </c>
      <c r="I66" t="str">
        <f>TEXT(ConsorcioDespesas[[#This Row],[NDO]],"000000000000")</f>
        <v>334041391100</v>
      </c>
      <c r="J66">
        <f>_xlfn.SWITCH(MONTH(ConsorcioDespesas[[#This Row],[Data-base]]),1,1,2,1,3,2,4,2,5,3,6,3,7,4,8,4,9,5,10,5,11,6,12,6)</f>
        <v>2</v>
      </c>
      <c r="K66">
        <f>YEAR(ConsorcioDespesas[[#This Row],[Data-base]])</f>
        <v>2023</v>
      </c>
      <c r="L66">
        <f>MONTH(ConsorcioDespesas[[#This Row],[Data-base]])</f>
        <v>4</v>
      </c>
      <c r="M66" t="str">
        <f>TEXT(ConsorcioDespesas[[#This Row],[NDO]],"000000000000")</f>
        <v>334041391100</v>
      </c>
    </row>
    <row r="67" spans="1:13" x14ac:dyDescent="0.25">
      <c r="A67" t="s">
        <v>85</v>
      </c>
      <c r="B67" s="111">
        <v>45046</v>
      </c>
      <c r="C67">
        <v>10</v>
      </c>
      <c r="D67">
        <v>302</v>
      </c>
      <c r="E67" s="169">
        <v>334041391000</v>
      </c>
      <c r="F67" s="110">
        <v>874.88</v>
      </c>
      <c r="G67" s="110">
        <v>874.88</v>
      </c>
      <c r="H67" s="110">
        <v>874.88</v>
      </c>
      <c r="I67" t="str">
        <f>TEXT(ConsorcioDespesas[[#This Row],[NDO]],"000000000000")</f>
        <v>334041391000</v>
      </c>
      <c r="J67">
        <f>_xlfn.SWITCH(MONTH(ConsorcioDespesas[[#This Row],[Data-base]]),1,1,2,1,3,2,4,2,5,3,6,3,7,4,8,4,9,5,10,5,11,6,12,6)</f>
        <v>2</v>
      </c>
      <c r="K67">
        <f>YEAR(ConsorcioDespesas[[#This Row],[Data-base]])</f>
        <v>2023</v>
      </c>
      <c r="L67">
        <f>MONTH(ConsorcioDespesas[[#This Row],[Data-base]])</f>
        <v>4</v>
      </c>
      <c r="M67" t="str">
        <f>TEXT(ConsorcioDespesas[[#This Row],[NDO]],"000000000000")</f>
        <v>334041391000</v>
      </c>
    </row>
    <row r="68" spans="1:13" x14ac:dyDescent="0.25">
      <c r="A68" t="s">
        <v>85</v>
      </c>
      <c r="B68" s="111">
        <v>45077</v>
      </c>
      <c r="C68">
        <v>4</v>
      </c>
      <c r="D68">
        <v>122</v>
      </c>
      <c r="E68" s="169">
        <v>319011010100</v>
      </c>
      <c r="F68" s="110">
        <v>927.14</v>
      </c>
      <c r="G68" s="110">
        <v>927.14</v>
      </c>
      <c r="H68" s="110">
        <v>927.14</v>
      </c>
      <c r="I68" t="str">
        <f>TEXT(ConsorcioDespesas[[#This Row],[NDO]],"000000000000")</f>
        <v>319011010100</v>
      </c>
      <c r="J68">
        <f>_xlfn.SWITCH(MONTH(ConsorcioDespesas[[#This Row],[Data-base]]),1,1,2,1,3,2,4,2,5,3,6,3,7,4,8,4,9,5,10,5,11,6,12,6)</f>
        <v>3</v>
      </c>
      <c r="K68">
        <f>YEAR(ConsorcioDespesas[[#This Row],[Data-base]])</f>
        <v>2023</v>
      </c>
      <c r="L68">
        <f>MONTH(ConsorcioDespesas[[#This Row],[Data-base]])</f>
        <v>5</v>
      </c>
      <c r="M68" t="str">
        <f>TEXT(ConsorcioDespesas[[#This Row],[NDO]],"000000000000")</f>
        <v>319011010100</v>
      </c>
    </row>
    <row r="69" spans="1:13" x14ac:dyDescent="0.25">
      <c r="A69" t="s">
        <v>85</v>
      </c>
      <c r="B69" s="111">
        <v>45077</v>
      </c>
      <c r="C69">
        <v>4</v>
      </c>
      <c r="D69">
        <v>122</v>
      </c>
      <c r="E69" s="169">
        <v>319013010100</v>
      </c>
      <c r="F69" s="110">
        <v>74.17</v>
      </c>
      <c r="G69" s="110">
        <v>74.17</v>
      </c>
      <c r="H69" s="110">
        <v>74.17</v>
      </c>
      <c r="I69" t="str">
        <f>TEXT(ConsorcioDespesas[[#This Row],[NDO]],"000000000000")</f>
        <v>319013010100</v>
      </c>
      <c r="J69">
        <f>_xlfn.SWITCH(MONTH(ConsorcioDespesas[[#This Row],[Data-base]]),1,1,2,1,3,2,4,2,5,3,6,3,7,4,8,4,9,5,10,5,11,6,12,6)</f>
        <v>3</v>
      </c>
      <c r="K69">
        <f>YEAR(ConsorcioDespesas[[#This Row],[Data-base]])</f>
        <v>2023</v>
      </c>
      <c r="L69">
        <f>MONTH(ConsorcioDespesas[[#This Row],[Data-base]])</f>
        <v>5</v>
      </c>
      <c r="M69" t="str">
        <f>TEXT(ConsorcioDespesas[[#This Row],[NDO]],"000000000000")</f>
        <v>319013010100</v>
      </c>
    </row>
    <row r="70" spans="1:13" x14ac:dyDescent="0.25">
      <c r="A70" t="s">
        <v>85</v>
      </c>
      <c r="B70" s="111">
        <v>45077</v>
      </c>
      <c r="C70">
        <v>4</v>
      </c>
      <c r="D70">
        <v>122</v>
      </c>
      <c r="E70" s="169">
        <v>319013020100</v>
      </c>
      <c r="F70" s="110">
        <v>194.7</v>
      </c>
      <c r="G70" s="110">
        <v>194.7</v>
      </c>
      <c r="H70" s="110">
        <v>194.7</v>
      </c>
      <c r="I70" t="str">
        <f>TEXT(ConsorcioDespesas[[#This Row],[NDO]],"000000000000")</f>
        <v>319013020100</v>
      </c>
      <c r="J70">
        <f>_xlfn.SWITCH(MONTH(ConsorcioDespesas[[#This Row],[Data-base]]),1,1,2,1,3,2,4,2,5,3,6,3,7,4,8,4,9,5,10,5,11,6,12,6)</f>
        <v>3</v>
      </c>
      <c r="K70">
        <f>YEAR(ConsorcioDespesas[[#This Row],[Data-base]])</f>
        <v>2023</v>
      </c>
      <c r="L70">
        <f>MONTH(ConsorcioDespesas[[#This Row],[Data-base]])</f>
        <v>5</v>
      </c>
      <c r="M70" t="str">
        <f>TEXT(ConsorcioDespesas[[#This Row],[NDO]],"000000000000")</f>
        <v>319013020100</v>
      </c>
    </row>
    <row r="71" spans="1:13" x14ac:dyDescent="0.25">
      <c r="A71" t="s">
        <v>85</v>
      </c>
      <c r="B71" s="111">
        <v>45077</v>
      </c>
      <c r="C71">
        <v>4</v>
      </c>
      <c r="D71">
        <v>122</v>
      </c>
      <c r="E71" s="169">
        <v>339014140000</v>
      </c>
      <c r="F71" s="110">
        <v>0</v>
      </c>
      <c r="G71" s="110">
        <v>0</v>
      </c>
      <c r="H71" s="110">
        <v>0</v>
      </c>
      <c r="I71" t="str">
        <f>TEXT(ConsorcioDespesas[[#This Row],[NDO]],"000000000000")</f>
        <v>339014140000</v>
      </c>
      <c r="J71">
        <f>_xlfn.SWITCH(MONTH(ConsorcioDespesas[[#This Row],[Data-base]]),1,1,2,1,3,2,4,2,5,3,6,3,7,4,8,4,9,5,10,5,11,6,12,6)</f>
        <v>3</v>
      </c>
      <c r="K71">
        <f>YEAR(ConsorcioDespesas[[#This Row],[Data-base]])</f>
        <v>2023</v>
      </c>
      <c r="L71">
        <f>MONTH(ConsorcioDespesas[[#This Row],[Data-base]])</f>
        <v>5</v>
      </c>
      <c r="M71" t="str">
        <f>TEXT(ConsorcioDespesas[[#This Row],[NDO]],"000000000000")</f>
        <v>339014140000</v>
      </c>
    </row>
    <row r="72" spans="1:13" x14ac:dyDescent="0.25">
      <c r="A72" t="s">
        <v>85</v>
      </c>
      <c r="B72" s="111">
        <v>45077</v>
      </c>
      <c r="C72">
        <v>4</v>
      </c>
      <c r="D72">
        <v>122</v>
      </c>
      <c r="E72" s="169">
        <v>339030000000</v>
      </c>
      <c r="F72" s="110">
        <v>11.79</v>
      </c>
      <c r="G72" s="110">
        <v>11.79</v>
      </c>
      <c r="H72" s="110">
        <v>11.79</v>
      </c>
      <c r="I72" t="str">
        <f>TEXT(ConsorcioDespesas[[#This Row],[NDO]],"000000000000")</f>
        <v>339030000000</v>
      </c>
      <c r="J72">
        <f>_xlfn.SWITCH(MONTH(ConsorcioDespesas[[#This Row],[Data-base]]),1,1,2,1,3,2,4,2,5,3,6,3,7,4,8,4,9,5,10,5,11,6,12,6)</f>
        <v>3</v>
      </c>
      <c r="K72">
        <f>YEAR(ConsorcioDespesas[[#This Row],[Data-base]])</f>
        <v>2023</v>
      </c>
      <c r="L72">
        <f>MONTH(ConsorcioDespesas[[#This Row],[Data-base]])</f>
        <v>5</v>
      </c>
      <c r="M72" t="str">
        <f>TEXT(ConsorcioDespesas[[#This Row],[NDO]],"000000000000")</f>
        <v>339030000000</v>
      </c>
    </row>
    <row r="73" spans="1:13" x14ac:dyDescent="0.25">
      <c r="A73" t="s">
        <v>85</v>
      </c>
      <c r="B73" s="111">
        <v>45077</v>
      </c>
      <c r="C73">
        <v>4</v>
      </c>
      <c r="D73">
        <v>122</v>
      </c>
      <c r="E73" s="169">
        <v>339033010000</v>
      </c>
      <c r="F73" s="110">
        <v>0</v>
      </c>
      <c r="G73" s="110">
        <v>0</v>
      </c>
      <c r="H73" s="110">
        <v>0</v>
      </c>
      <c r="I73" t="str">
        <f>TEXT(ConsorcioDespesas[[#This Row],[NDO]],"000000000000")</f>
        <v>339033010000</v>
      </c>
      <c r="J73">
        <f>_xlfn.SWITCH(MONTH(ConsorcioDespesas[[#This Row],[Data-base]]),1,1,2,1,3,2,4,2,5,3,6,3,7,4,8,4,9,5,10,5,11,6,12,6)</f>
        <v>3</v>
      </c>
      <c r="K73">
        <f>YEAR(ConsorcioDespesas[[#This Row],[Data-base]])</f>
        <v>2023</v>
      </c>
      <c r="L73">
        <f>MONTH(ConsorcioDespesas[[#This Row],[Data-base]])</f>
        <v>5</v>
      </c>
      <c r="M73" t="str">
        <f>TEXT(ConsorcioDespesas[[#This Row],[NDO]],"000000000000")</f>
        <v>339033010000</v>
      </c>
    </row>
    <row r="74" spans="1:13" x14ac:dyDescent="0.25">
      <c r="A74" t="s">
        <v>85</v>
      </c>
      <c r="B74" s="111">
        <v>45077</v>
      </c>
      <c r="C74">
        <v>4</v>
      </c>
      <c r="D74">
        <v>122</v>
      </c>
      <c r="E74" s="169">
        <v>339036000000</v>
      </c>
      <c r="F74" s="110">
        <v>0</v>
      </c>
      <c r="G74" s="110">
        <v>0</v>
      </c>
      <c r="H74" s="110">
        <v>0</v>
      </c>
      <c r="I74" t="str">
        <f>TEXT(ConsorcioDespesas[[#This Row],[NDO]],"000000000000")</f>
        <v>339036000000</v>
      </c>
      <c r="J74">
        <f>_xlfn.SWITCH(MONTH(ConsorcioDespesas[[#This Row],[Data-base]]),1,1,2,1,3,2,4,2,5,3,6,3,7,4,8,4,9,5,10,5,11,6,12,6)</f>
        <v>3</v>
      </c>
      <c r="K74">
        <f>YEAR(ConsorcioDespesas[[#This Row],[Data-base]])</f>
        <v>2023</v>
      </c>
      <c r="L74">
        <f>MONTH(ConsorcioDespesas[[#This Row],[Data-base]])</f>
        <v>5</v>
      </c>
      <c r="M74" t="str">
        <f>TEXT(ConsorcioDespesas[[#This Row],[NDO]],"000000000000")</f>
        <v>339036000000</v>
      </c>
    </row>
    <row r="75" spans="1:13" x14ac:dyDescent="0.25">
      <c r="A75" t="s">
        <v>85</v>
      </c>
      <c r="B75" s="111">
        <v>45077</v>
      </c>
      <c r="C75">
        <v>4</v>
      </c>
      <c r="D75">
        <v>122</v>
      </c>
      <c r="E75" s="169">
        <v>339039000000</v>
      </c>
      <c r="F75" s="110">
        <v>46.37</v>
      </c>
      <c r="G75" s="110">
        <v>46.37</v>
      </c>
      <c r="H75" s="110">
        <v>46.37</v>
      </c>
      <c r="I75" t="str">
        <f>TEXT(ConsorcioDespesas[[#This Row],[NDO]],"000000000000")</f>
        <v>339039000000</v>
      </c>
      <c r="J75">
        <f>_xlfn.SWITCH(MONTH(ConsorcioDespesas[[#This Row],[Data-base]]),1,1,2,1,3,2,4,2,5,3,6,3,7,4,8,4,9,5,10,5,11,6,12,6)</f>
        <v>3</v>
      </c>
      <c r="K75">
        <f>YEAR(ConsorcioDespesas[[#This Row],[Data-base]])</f>
        <v>2023</v>
      </c>
      <c r="L75">
        <f>MONTH(ConsorcioDespesas[[#This Row],[Data-base]])</f>
        <v>5</v>
      </c>
      <c r="M75" t="str">
        <f>TEXT(ConsorcioDespesas[[#This Row],[NDO]],"000000000000")</f>
        <v>339039000000</v>
      </c>
    </row>
    <row r="76" spans="1:13" x14ac:dyDescent="0.25">
      <c r="A76" t="s">
        <v>85</v>
      </c>
      <c r="B76" s="111">
        <v>45077</v>
      </c>
      <c r="C76">
        <v>4</v>
      </c>
      <c r="D76">
        <v>122</v>
      </c>
      <c r="E76" s="169">
        <v>339039570000</v>
      </c>
      <c r="F76" s="110">
        <v>109.17</v>
      </c>
      <c r="G76" s="110">
        <v>109.17</v>
      </c>
      <c r="H76" s="110">
        <v>109.17</v>
      </c>
      <c r="I76" t="str">
        <f>TEXT(ConsorcioDespesas[[#This Row],[NDO]],"000000000000")</f>
        <v>339039570000</v>
      </c>
      <c r="J76">
        <f>_xlfn.SWITCH(MONTH(ConsorcioDespesas[[#This Row],[Data-base]]),1,1,2,1,3,2,4,2,5,3,6,3,7,4,8,4,9,5,10,5,11,6,12,6)</f>
        <v>3</v>
      </c>
      <c r="K76">
        <f>YEAR(ConsorcioDespesas[[#This Row],[Data-base]])</f>
        <v>2023</v>
      </c>
      <c r="L76">
        <f>MONTH(ConsorcioDespesas[[#This Row],[Data-base]])</f>
        <v>5</v>
      </c>
      <c r="M76" t="str">
        <f>TEXT(ConsorcioDespesas[[#This Row],[NDO]],"000000000000")</f>
        <v>339039570000</v>
      </c>
    </row>
    <row r="77" spans="1:13" x14ac:dyDescent="0.25">
      <c r="A77" t="s">
        <v>85</v>
      </c>
      <c r="B77" s="111">
        <v>45077</v>
      </c>
      <c r="C77">
        <v>4</v>
      </c>
      <c r="D77">
        <v>122</v>
      </c>
      <c r="E77" s="169">
        <v>339039990100</v>
      </c>
      <c r="F77" s="110">
        <v>54.49</v>
      </c>
      <c r="G77" s="110">
        <v>54.49</v>
      </c>
      <c r="H77" s="110">
        <v>54.49</v>
      </c>
      <c r="I77" t="str">
        <f>TEXT(ConsorcioDespesas[[#This Row],[NDO]],"000000000000")</f>
        <v>339039990100</v>
      </c>
      <c r="J77">
        <f>_xlfn.SWITCH(MONTH(ConsorcioDespesas[[#This Row],[Data-base]]),1,1,2,1,3,2,4,2,5,3,6,3,7,4,8,4,9,5,10,5,11,6,12,6)</f>
        <v>3</v>
      </c>
      <c r="K77">
        <f>YEAR(ConsorcioDespesas[[#This Row],[Data-base]])</f>
        <v>2023</v>
      </c>
      <c r="L77">
        <f>MONTH(ConsorcioDespesas[[#This Row],[Data-base]])</f>
        <v>5</v>
      </c>
      <c r="M77" t="str">
        <f>TEXT(ConsorcioDespesas[[#This Row],[NDO]],"000000000000")</f>
        <v>339039990100</v>
      </c>
    </row>
    <row r="78" spans="1:13" x14ac:dyDescent="0.25">
      <c r="A78" t="s">
        <v>85</v>
      </c>
      <c r="B78" s="111">
        <v>45077</v>
      </c>
      <c r="C78">
        <v>4</v>
      </c>
      <c r="D78">
        <v>122</v>
      </c>
      <c r="E78" s="169">
        <v>339046010100</v>
      </c>
      <c r="F78" s="110">
        <v>53.48</v>
      </c>
      <c r="G78" s="110">
        <v>53.48</v>
      </c>
      <c r="H78" s="110">
        <v>53.48</v>
      </c>
      <c r="I78" t="str">
        <f>TEXT(ConsorcioDespesas[[#This Row],[NDO]],"000000000000")</f>
        <v>339046010100</v>
      </c>
      <c r="J78">
        <f>_xlfn.SWITCH(MONTH(ConsorcioDespesas[[#This Row],[Data-base]]),1,1,2,1,3,2,4,2,5,3,6,3,7,4,8,4,9,5,10,5,11,6,12,6)</f>
        <v>3</v>
      </c>
      <c r="K78">
        <f>YEAR(ConsorcioDespesas[[#This Row],[Data-base]])</f>
        <v>2023</v>
      </c>
      <c r="L78">
        <f>MONTH(ConsorcioDespesas[[#This Row],[Data-base]])</f>
        <v>5</v>
      </c>
      <c r="M78" t="str">
        <f>TEXT(ConsorcioDespesas[[#This Row],[NDO]],"000000000000")</f>
        <v>339046010100</v>
      </c>
    </row>
    <row r="79" spans="1:13" x14ac:dyDescent="0.25">
      <c r="A79" t="s">
        <v>85</v>
      </c>
      <c r="B79" s="111">
        <v>45077</v>
      </c>
      <c r="C79">
        <v>4</v>
      </c>
      <c r="D79">
        <v>122</v>
      </c>
      <c r="E79" s="169">
        <v>339049010000</v>
      </c>
      <c r="F79" s="110">
        <v>1.96</v>
      </c>
      <c r="G79" s="110">
        <v>1.96</v>
      </c>
      <c r="H79" s="110">
        <v>1.96</v>
      </c>
      <c r="I79" t="str">
        <f>TEXT(ConsorcioDespesas[[#This Row],[NDO]],"000000000000")</f>
        <v>339049010000</v>
      </c>
      <c r="J79">
        <f>_xlfn.SWITCH(MONTH(ConsorcioDespesas[[#This Row],[Data-base]]),1,1,2,1,3,2,4,2,5,3,6,3,7,4,8,4,9,5,10,5,11,6,12,6)</f>
        <v>3</v>
      </c>
      <c r="K79">
        <f>YEAR(ConsorcioDespesas[[#This Row],[Data-base]])</f>
        <v>2023</v>
      </c>
      <c r="L79">
        <f>MONTH(ConsorcioDespesas[[#This Row],[Data-base]])</f>
        <v>5</v>
      </c>
      <c r="M79" t="str">
        <f>TEXT(ConsorcioDespesas[[#This Row],[NDO]],"000000000000")</f>
        <v>339049010000</v>
      </c>
    </row>
    <row r="80" spans="1:13" x14ac:dyDescent="0.25">
      <c r="A80" t="s">
        <v>85</v>
      </c>
      <c r="B80" s="111">
        <v>45077</v>
      </c>
      <c r="C80">
        <v>4</v>
      </c>
      <c r="D80">
        <v>122</v>
      </c>
      <c r="E80" s="169">
        <v>339047000000</v>
      </c>
      <c r="F80" s="110">
        <v>0</v>
      </c>
      <c r="G80" s="110">
        <v>0</v>
      </c>
      <c r="H80" s="110">
        <v>0</v>
      </c>
      <c r="I80" t="str">
        <f>TEXT(ConsorcioDespesas[[#This Row],[NDO]],"000000000000")</f>
        <v>339047000000</v>
      </c>
      <c r="J80">
        <f>_xlfn.SWITCH(MONTH(ConsorcioDespesas[[#This Row],[Data-base]]),1,1,2,1,3,2,4,2,5,3,6,3,7,4,8,4,9,5,10,5,11,6,12,6)</f>
        <v>3</v>
      </c>
      <c r="K80">
        <f>YEAR(ConsorcioDespesas[[#This Row],[Data-base]])</f>
        <v>2023</v>
      </c>
      <c r="L80">
        <f>MONTH(ConsorcioDespesas[[#This Row],[Data-base]])</f>
        <v>5</v>
      </c>
      <c r="M80" t="str">
        <f>TEXT(ConsorcioDespesas[[#This Row],[NDO]],"000000000000")</f>
        <v>339047000000</v>
      </c>
    </row>
    <row r="81" spans="1:13" x14ac:dyDescent="0.25">
      <c r="A81" t="s">
        <v>85</v>
      </c>
      <c r="B81" s="111">
        <v>45077</v>
      </c>
      <c r="C81">
        <v>4</v>
      </c>
      <c r="D81">
        <v>122</v>
      </c>
      <c r="E81" s="169">
        <v>449052000000</v>
      </c>
      <c r="F81" s="110">
        <v>7.63</v>
      </c>
      <c r="G81" s="110">
        <v>7.63</v>
      </c>
      <c r="H81" s="110">
        <v>7.63</v>
      </c>
      <c r="I81" t="str">
        <f>TEXT(ConsorcioDespesas[[#This Row],[NDO]],"000000000000")</f>
        <v>449052000000</v>
      </c>
      <c r="J81">
        <f>_xlfn.SWITCH(MONTH(ConsorcioDespesas[[#This Row],[Data-base]]),1,1,2,1,3,2,4,2,5,3,6,3,7,4,8,4,9,5,10,5,11,6,12,6)</f>
        <v>3</v>
      </c>
      <c r="K81">
        <f>YEAR(ConsorcioDespesas[[#This Row],[Data-base]])</f>
        <v>2023</v>
      </c>
      <c r="L81">
        <f>MONTH(ConsorcioDespesas[[#This Row],[Data-base]])</f>
        <v>5</v>
      </c>
      <c r="M81" t="str">
        <f>TEXT(ConsorcioDespesas[[#This Row],[NDO]],"000000000000")</f>
        <v>449052000000</v>
      </c>
    </row>
    <row r="82" spans="1:13" x14ac:dyDescent="0.25">
      <c r="A82" t="s">
        <v>85</v>
      </c>
      <c r="B82" s="111">
        <v>45077</v>
      </c>
      <c r="C82">
        <v>10</v>
      </c>
      <c r="D82">
        <v>302</v>
      </c>
      <c r="E82" s="169">
        <v>334041390500</v>
      </c>
      <c r="F82" s="110">
        <v>8742.48</v>
      </c>
      <c r="G82" s="110">
        <v>8742.48</v>
      </c>
      <c r="H82" s="110">
        <v>8742.48</v>
      </c>
      <c r="I82" t="str">
        <f>TEXT(ConsorcioDespesas[[#This Row],[NDO]],"000000000000")</f>
        <v>334041390500</v>
      </c>
      <c r="J82">
        <f>_xlfn.SWITCH(MONTH(ConsorcioDespesas[[#This Row],[Data-base]]),1,1,2,1,3,2,4,2,5,3,6,3,7,4,8,4,9,5,10,5,11,6,12,6)</f>
        <v>3</v>
      </c>
      <c r="K82">
        <f>YEAR(ConsorcioDespesas[[#This Row],[Data-base]])</f>
        <v>2023</v>
      </c>
      <c r="L82">
        <f>MONTH(ConsorcioDespesas[[#This Row],[Data-base]])</f>
        <v>5</v>
      </c>
      <c r="M82" t="str">
        <f>TEXT(ConsorcioDespesas[[#This Row],[NDO]],"000000000000")</f>
        <v>334041390500</v>
      </c>
    </row>
    <row r="83" spans="1:13" x14ac:dyDescent="0.25">
      <c r="A83" t="s">
        <v>85</v>
      </c>
      <c r="B83" s="111">
        <v>45077</v>
      </c>
      <c r="C83">
        <v>10</v>
      </c>
      <c r="D83">
        <v>122</v>
      </c>
      <c r="E83" s="169">
        <v>334041391100</v>
      </c>
      <c r="F83" s="110">
        <v>626.91999999999996</v>
      </c>
      <c r="G83" s="110">
        <v>626.91999999999996</v>
      </c>
      <c r="H83" s="110">
        <v>626.91999999999996</v>
      </c>
      <c r="I83" t="str">
        <f>TEXT(ConsorcioDespesas[[#This Row],[NDO]],"000000000000")</f>
        <v>334041391100</v>
      </c>
      <c r="J83">
        <f>_xlfn.SWITCH(MONTH(ConsorcioDespesas[[#This Row],[Data-base]]),1,1,2,1,3,2,4,2,5,3,6,3,7,4,8,4,9,5,10,5,11,6,12,6)</f>
        <v>3</v>
      </c>
      <c r="K83">
        <f>YEAR(ConsorcioDespesas[[#This Row],[Data-base]])</f>
        <v>2023</v>
      </c>
      <c r="L83">
        <f>MONTH(ConsorcioDespesas[[#This Row],[Data-base]])</f>
        <v>5</v>
      </c>
      <c r="M83" t="str">
        <f>TEXT(ConsorcioDespesas[[#This Row],[NDO]],"000000000000")</f>
        <v>334041391100</v>
      </c>
    </row>
    <row r="84" spans="1:13" x14ac:dyDescent="0.25">
      <c r="A84" t="s">
        <v>85</v>
      </c>
      <c r="B84" s="111">
        <v>45077</v>
      </c>
      <c r="C84">
        <v>10</v>
      </c>
      <c r="D84">
        <v>122</v>
      </c>
      <c r="E84" s="169">
        <v>334041391000</v>
      </c>
      <c r="F84" s="110">
        <v>874.88</v>
      </c>
      <c r="G84" s="110">
        <v>874.88</v>
      </c>
      <c r="H84" s="110">
        <v>874.88</v>
      </c>
      <c r="I84" t="str">
        <f>TEXT(ConsorcioDespesas[[#This Row],[NDO]],"000000000000")</f>
        <v>334041391000</v>
      </c>
      <c r="J84">
        <f>_xlfn.SWITCH(MONTH(ConsorcioDespesas[[#This Row],[Data-base]]),1,1,2,1,3,2,4,2,5,3,6,3,7,4,8,4,9,5,10,5,11,6,12,6)</f>
        <v>3</v>
      </c>
      <c r="K84">
        <f>YEAR(ConsorcioDespesas[[#This Row],[Data-base]])</f>
        <v>2023</v>
      </c>
      <c r="L84">
        <f>MONTH(ConsorcioDespesas[[#This Row],[Data-base]])</f>
        <v>5</v>
      </c>
      <c r="M84" t="str">
        <f>TEXT(ConsorcioDespesas[[#This Row],[NDO]],"000000000000")</f>
        <v>334041391000</v>
      </c>
    </row>
    <row r="85" spans="1:13" x14ac:dyDescent="0.25">
      <c r="A85" t="s">
        <v>85</v>
      </c>
      <c r="B85" s="111">
        <v>45107</v>
      </c>
      <c r="C85">
        <v>4</v>
      </c>
      <c r="D85">
        <v>122</v>
      </c>
      <c r="E85" s="169">
        <v>319011010100</v>
      </c>
      <c r="F85" s="110">
        <v>1394.67</v>
      </c>
      <c r="G85" s="110">
        <v>1394.67</v>
      </c>
      <c r="H85" s="110">
        <v>1394.67</v>
      </c>
      <c r="I85" t="str">
        <f>TEXT(ConsorcioDespesas[[#This Row],[NDO]],"000000000000")</f>
        <v>319011010100</v>
      </c>
      <c r="J85">
        <f>_xlfn.SWITCH(MONTH(ConsorcioDespesas[[#This Row],[Data-base]]),1,1,2,1,3,2,4,2,5,3,6,3,7,4,8,4,9,5,10,5,11,6,12,6)</f>
        <v>3</v>
      </c>
      <c r="K85">
        <f>YEAR(ConsorcioDespesas[[#This Row],[Data-base]])</f>
        <v>2023</v>
      </c>
      <c r="L85">
        <f>MONTH(ConsorcioDespesas[[#This Row],[Data-base]])</f>
        <v>6</v>
      </c>
      <c r="M85" t="str">
        <f>TEXT(ConsorcioDespesas[[#This Row],[NDO]],"000000000000")</f>
        <v>319011010100</v>
      </c>
    </row>
    <row r="86" spans="1:13" x14ac:dyDescent="0.25">
      <c r="A86" t="s">
        <v>85</v>
      </c>
      <c r="B86" s="111">
        <v>45107</v>
      </c>
      <c r="C86">
        <v>4</v>
      </c>
      <c r="D86">
        <v>122</v>
      </c>
      <c r="E86" s="169">
        <v>319013010100</v>
      </c>
      <c r="F86" s="110">
        <v>111.57</v>
      </c>
      <c r="G86" s="110">
        <v>111.57</v>
      </c>
      <c r="H86" s="110">
        <v>111.57</v>
      </c>
      <c r="I86" t="str">
        <f>TEXT(ConsorcioDespesas[[#This Row],[NDO]],"000000000000")</f>
        <v>319013010100</v>
      </c>
      <c r="J86">
        <f>_xlfn.SWITCH(MONTH(ConsorcioDespesas[[#This Row],[Data-base]]),1,1,2,1,3,2,4,2,5,3,6,3,7,4,8,4,9,5,10,5,11,6,12,6)</f>
        <v>3</v>
      </c>
      <c r="K86">
        <f>YEAR(ConsorcioDespesas[[#This Row],[Data-base]])</f>
        <v>2023</v>
      </c>
      <c r="L86">
        <f>MONTH(ConsorcioDespesas[[#This Row],[Data-base]])</f>
        <v>6</v>
      </c>
      <c r="M86" t="str">
        <f>TEXT(ConsorcioDespesas[[#This Row],[NDO]],"000000000000")</f>
        <v>319013010100</v>
      </c>
    </row>
    <row r="87" spans="1:13" x14ac:dyDescent="0.25">
      <c r="A87" t="s">
        <v>85</v>
      </c>
      <c r="B87" s="111">
        <v>45107</v>
      </c>
      <c r="C87">
        <v>4</v>
      </c>
      <c r="D87">
        <v>122</v>
      </c>
      <c r="E87" s="169">
        <v>319013020100</v>
      </c>
      <c r="F87" s="110">
        <v>195.53</v>
      </c>
      <c r="G87" s="110">
        <v>195.53</v>
      </c>
      <c r="H87" s="110">
        <v>195.53</v>
      </c>
      <c r="I87" t="str">
        <f>TEXT(ConsorcioDespesas[[#This Row],[NDO]],"000000000000")</f>
        <v>319013020100</v>
      </c>
      <c r="J87">
        <f>_xlfn.SWITCH(MONTH(ConsorcioDespesas[[#This Row],[Data-base]]),1,1,2,1,3,2,4,2,5,3,6,3,7,4,8,4,9,5,10,5,11,6,12,6)</f>
        <v>3</v>
      </c>
      <c r="K87">
        <f>YEAR(ConsorcioDespesas[[#This Row],[Data-base]])</f>
        <v>2023</v>
      </c>
      <c r="L87">
        <f>MONTH(ConsorcioDespesas[[#This Row],[Data-base]])</f>
        <v>6</v>
      </c>
      <c r="M87" t="str">
        <f>TEXT(ConsorcioDespesas[[#This Row],[NDO]],"000000000000")</f>
        <v>319013020100</v>
      </c>
    </row>
    <row r="88" spans="1:13" x14ac:dyDescent="0.25">
      <c r="A88" t="s">
        <v>85</v>
      </c>
      <c r="B88" s="111">
        <v>45107</v>
      </c>
      <c r="C88">
        <v>4</v>
      </c>
      <c r="D88">
        <v>122</v>
      </c>
      <c r="E88" s="169">
        <v>339014140000</v>
      </c>
      <c r="F88" s="110">
        <v>0</v>
      </c>
      <c r="G88" s="110">
        <v>0</v>
      </c>
      <c r="H88" s="110">
        <v>0</v>
      </c>
      <c r="I88" t="str">
        <f>TEXT(ConsorcioDespesas[[#This Row],[NDO]],"000000000000")</f>
        <v>339014140000</v>
      </c>
      <c r="J88">
        <f>_xlfn.SWITCH(MONTH(ConsorcioDespesas[[#This Row],[Data-base]]),1,1,2,1,3,2,4,2,5,3,6,3,7,4,8,4,9,5,10,5,11,6,12,6)</f>
        <v>3</v>
      </c>
      <c r="K88">
        <f>YEAR(ConsorcioDespesas[[#This Row],[Data-base]])</f>
        <v>2023</v>
      </c>
      <c r="L88">
        <f>MONTH(ConsorcioDespesas[[#This Row],[Data-base]])</f>
        <v>6</v>
      </c>
      <c r="M88" t="str">
        <f>TEXT(ConsorcioDespesas[[#This Row],[NDO]],"000000000000")</f>
        <v>339014140000</v>
      </c>
    </row>
    <row r="89" spans="1:13" x14ac:dyDescent="0.25">
      <c r="A89" t="s">
        <v>85</v>
      </c>
      <c r="B89" s="111">
        <v>45107</v>
      </c>
      <c r="C89">
        <v>4</v>
      </c>
      <c r="D89">
        <v>122</v>
      </c>
      <c r="E89" s="169">
        <v>339030000000</v>
      </c>
      <c r="F89" s="110">
        <v>42.13</v>
      </c>
      <c r="G89" s="110">
        <v>42.13</v>
      </c>
      <c r="H89" s="110">
        <v>42.13</v>
      </c>
      <c r="I89" t="str">
        <f>TEXT(ConsorcioDespesas[[#This Row],[NDO]],"000000000000")</f>
        <v>339030000000</v>
      </c>
      <c r="J89">
        <f>_xlfn.SWITCH(MONTH(ConsorcioDespesas[[#This Row],[Data-base]]),1,1,2,1,3,2,4,2,5,3,6,3,7,4,8,4,9,5,10,5,11,6,12,6)</f>
        <v>3</v>
      </c>
      <c r="K89">
        <f>YEAR(ConsorcioDespesas[[#This Row],[Data-base]])</f>
        <v>2023</v>
      </c>
      <c r="L89">
        <f>MONTH(ConsorcioDespesas[[#This Row],[Data-base]])</f>
        <v>6</v>
      </c>
      <c r="M89" t="str">
        <f>TEXT(ConsorcioDespesas[[#This Row],[NDO]],"000000000000")</f>
        <v>339030000000</v>
      </c>
    </row>
    <row r="90" spans="1:13" x14ac:dyDescent="0.25">
      <c r="A90" t="s">
        <v>85</v>
      </c>
      <c r="B90" s="111">
        <v>45107</v>
      </c>
      <c r="C90">
        <v>4</v>
      </c>
      <c r="D90">
        <v>122</v>
      </c>
      <c r="E90" s="169">
        <v>339033010000</v>
      </c>
      <c r="F90" s="110">
        <v>0</v>
      </c>
      <c r="G90" s="110">
        <v>0</v>
      </c>
      <c r="H90" s="110">
        <v>0</v>
      </c>
      <c r="I90" t="str">
        <f>TEXT(ConsorcioDespesas[[#This Row],[NDO]],"000000000000")</f>
        <v>339033010000</v>
      </c>
      <c r="J90">
        <f>_xlfn.SWITCH(MONTH(ConsorcioDespesas[[#This Row],[Data-base]]),1,1,2,1,3,2,4,2,5,3,6,3,7,4,8,4,9,5,10,5,11,6,12,6)</f>
        <v>3</v>
      </c>
      <c r="K90">
        <f>YEAR(ConsorcioDespesas[[#This Row],[Data-base]])</f>
        <v>2023</v>
      </c>
      <c r="L90">
        <f>MONTH(ConsorcioDespesas[[#This Row],[Data-base]])</f>
        <v>6</v>
      </c>
      <c r="M90" t="str">
        <f>TEXT(ConsorcioDespesas[[#This Row],[NDO]],"000000000000")</f>
        <v>339033010000</v>
      </c>
    </row>
    <row r="91" spans="1:13" x14ac:dyDescent="0.25">
      <c r="A91" t="s">
        <v>85</v>
      </c>
      <c r="B91" s="111">
        <v>45107</v>
      </c>
      <c r="C91">
        <v>4</v>
      </c>
      <c r="D91">
        <v>122</v>
      </c>
      <c r="E91" s="169">
        <v>339036000000</v>
      </c>
      <c r="F91" s="110">
        <v>0</v>
      </c>
      <c r="G91" s="110">
        <v>0</v>
      </c>
      <c r="H91" s="110">
        <v>0</v>
      </c>
      <c r="I91" t="str">
        <f>TEXT(ConsorcioDespesas[[#This Row],[NDO]],"000000000000")</f>
        <v>339036000000</v>
      </c>
      <c r="J91">
        <f>_xlfn.SWITCH(MONTH(ConsorcioDespesas[[#This Row],[Data-base]]),1,1,2,1,3,2,4,2,5,3,6,3,7,4,8,4,9,5,10,5,11,6,12,6)</f>
        <v>3</v>
      </c>
      <c r="K91">
        <f>YEAR(ConsorcioDespesas[[#This Row],[Data-base]])</f>
        <v>2023</v>
      </c>
      <c r="L91">
        <f>MONTH(ConsorcioDespesas[[#This Row],[Data-base]])</f>
        <v>6</v>
      </c>
      <c r="M91" t="str">
        <f>TEXT(ConsorcioDespesas[[#This Row],[NDO]],"000000000000")</f>
        <v>339036000000</v>
      </c>
    </row>
    <row r="92" spans="1:13" x14ac:dyDescent="0.25">
      <c r="A92" t="s">
        <v>85</v>
      </c>
      <c r="B92" s="111">
        <v>45107</v>
      </c>
      <c r="C92">
        <v>4</v>
      </c>
      <c r="D92">
        <v>122</v>
      </c>
      <c r="E92" s="169">
        <v>339039000000</v>
      </c>
      <c r="F92" s="110">
        <v>110.73</v>
      </c>
      <c r="G92" s="110">
        <v>110.73</v>
      </c>
      <c r="H92" s="110">
        <v>110.73</v>
      </c>
      <c r="I92" t="str">
        <f>TEXT(ConsorcioDespesas[[#This Row],[NDO]],"000000000000")</f>
        <v>339039000000</v>
      </c>
      <c r="J92">
        <f>_xlfn.SWITCH(MONTH(ConsorcioDespesas[[#This Row],[Data-base]]),1,1,2,1,3,2,4,2,5,3,6,3,7,4,8,4,9,5,10,5,11,6,12,6)</f>
        <v>3</v>
      </c>
      <c r="K92">
        <f>YEAR(ConsorcioDespesas[[#This Row],[Data-base]])</f>
        <v>2023</v>
      </c>
      <c r="L92">
        <f>MONTH(ConsorcioDespesas[[#This Row],[Data-base]])</f>
        <v>6</v>
      </c>
      <c r="M92" t="str">
        <f>TEXT(ConsorcioDespesas[[#This Row],[NDO]],"000000000000")</f>
        <v>339039000000</v>
      </c>
    </row>
    <row r="93" spans="1:13" x14ac:dyDescent="0.25">
      <c r="A93" t="s">
        <v>85</v>
      </c>
      <c r="B93" s="111">
        <v>45107</v>
      </c>
      <c r="C93">
        <v>4</v>
      </c>
      <c r="D93">
        <v>122</v>
      </c>
      <c r="E93" s="169">
        <v>339039570000</v>
      </c>
      <c r="F93" s="110">
        <v>120.53</v>
      </c>
      <c r="G93" s="110">
        <v>120.53</v>
      </c>
      <c r="H93" s="110">
        <v>120.53</v>
      </c>
      <c r="I93" t="str">
        <f>TEXT(ConsorcioDespesas[[#This Row],[NDO]],"000000000000")</f>
        <v>339039570000</v>
      </c>
      <c r="J93">
        <f>_xlfn.SWITCH(MONTH(ConsorcioDespesas[[#This Row],[Data-base]]),1,1,2,1,3,2,4,2,5,3,6,3,7,4,8,4,9,5,10,5,11,6,12,6)</f>
        <v>3</v>
      </c>
      <c r="K93">
        <f>YEAR(ConsorcioDespesas[[#This Row],[Data-base]])</f>
        <v>2023</v>
      </c>
      <c r="L93">
        <f>MONTH(ConsorcioDespesas[[#This Row],[Data-base]])</f>
        <v>6</v>
      </c>
      <c r="M93" t="str">
        <f>TEXT(ConsorcioDespesas[[#This Row],[NDO]],"000000000000")</f>
        <v>339039570000</v>
      </c>
    </row>
    <row r="94" spans="1:13" x14ac:dyDescent="0.25">
      <c r="A94" t="s">
        <v>85</v>
      </c>
      <c r="B94" s="111">
        <v>45107</v>
      </c>
      <c r="C94">
        <v>4</v>
      </c>
      <c r="D94">
        <v>122</v>
      </c>
      <c r="E94" s="169">
        <v>339039990100</v>
      </c>
      <c r="F94" s="110">
        <v>83.55</v>
      </c>
      <c r="G94" s="110">
        <v>83.55</v>
      </c>
      <c r="H94" s="110">
        <v>83.55</v>
      </c>
      <c r="I94" t="str">
        <f>TEXT(ConsorcioDespesas[[#This Row],[NDO]],"000000000000")</f>
        <v>339039990100</v>
      </c>
      <c r="J94">
        <f>_xlfn.SWITCH(MONTH(ConsorcioDespesas[[#This Row],[Data-base]]),1,1,2,1,3,2,4,2,5,3,6,3,7,4,8,4,9,5,10,5,11,6,12,6)</f>
        <v>3</v>
      </c>
      <c r="K94">
        <f>YEAR(ConsorcioDespesas[[#This Row],[Data-base]])</f>
        <v>2023</v>
      </c>
      <c r="L94">
        <f>MONTH(ConsorcioDespesas[[#This Row],[Data-base]])</f>
        <v>6</v>
      </c>
      <c r="M94" t="str">
        <f>TEXT(ConsorcioDespesas[[#This Row],[NDO]],"000000000000")</f>
        <v>339039990100</v>
      </c>
    </row>
    <row r="95" spans="1:13" x14ac:dyDescent="0.25">
      <c r="A95" t="s">
        <v>85</v>
      </c>
      <c r="B95" s="111">
        <v>45107</v>
      </c>
      <c r="C95">
        <v>4</v>
      </c>
      <c r="D95">
        <v>122</v>
      </c>
      <c r="E95" s="169">
        <v>339046010100</v>
      </c>
      <c r="F95" s="110">
        <v>53.48</v>
      </c>
      <c r="G95" s="110">
        <v>53.48</v>
      </c>
      <c r="H95" s="110">
        <v>53.48</v>
      </c>
      <c r="I95" t="str">
        <f>TEXT(ConsorcioDespesas[[#This Row],[NDO]],"000000000000")</f>
        <v>339046010100</v>
      </c>
      <c r="J95">
        <f>_xlfn.SWITCH(MONTH(ConsorcioDespesas[[#This Row],[Data-base]]),1,1,2,1,3,2,4,2,5,3,6,3,7,4,8,4,9,5,10,5,11,6,12,6)</f>
        <v>3</v>
      </c>
      <c r="K95">
        <f>YEAR(ConsorcioDespesas[[#This Row],[Data-base]])</f>
        <v>2023</v>
      </c>
      <c r="L95">
        <f>MONTH(ConsorcioDespesas[[#This Row],[Data-base]])</f>
        <v>6</v>
      </c>
      <c r="M95" t="str">
        <f>TEXT(ConsorcioDespesas[[#This Row],[NDO]],"000000000000")</f>
        <v>339046010100</v>
      </c>
    </row>
    <row r="96" spans="1:13" x14ac:dyDescent="0.25">
      <c r="A96" t="s">
        <v>85</v>
      </c>
      <c r="B96" s="111">
        <v>45107</v>
      </c>
      <c r="C96">
        <v>4</v>
      </c>
      <c r="D96">
        <v>122</v>
      </c>
      <c r="E96" s="169">
        <v>339049010000</v>
      </c>
      <c r="F96" s="110">
        <v>3</v>
      </c>
      <c r="G96" s="110">
        <v>3</v>
      </c>
      <c r="H96" s="110">
        <v>3</v>
      </c>
      <c r="I96" t="str">
        <f>TEXT(ConsorcioDespesas[[#This Row],[NDO]],"000000000000")</f>
        <v>339049010000</v>
      </c>
      <c r="J96">
        <f>_xlfn.SWITCH(MONTH(ConsorcioDespesas[[#This Row],[Data-base]]),1,1,2,1,3,2,4,2,5,3,6,3,7,4,8,4,9,5,10,5,11,6,12,6)</f>
        <v>3</v>
      </c>
      <c r="K96">
        <f>YEAR(ConsorcioDespesas[[#This Row],[Data-base]])</f>
        <v>2023</v>
      </c>
      <c r="L96">
        <f>MONTH(ConsorcioDespesas[[#This Row],[Data-base]])</f>
        <v>6</v>
      </c>
      <c r="M96" t="str">
        <f>TEXT(ConsorcioDespesas[[#This Row],[NDO]],"000000000000")</f>
        <v>339049010000</v>
      </c>
    </row>
    <row r="97" spans="1:13" x14ac:dyDescent="0.25">
      <c r="A97" t="s">
        <v>85</v>
      </c>
      <c r="B97" s="111">
        <v>45107</v>
      </c>
      <c r="C97">
        <v>4</v>
      </c>
      <c r="D97">
        <v>122</v>
      </c>
      <c r="E97" s="169">
        <v>339047000000</v>
      </c>
      <c r="F97" s="110">
        <v>0</v>
      </c>
      <c r="G97" s="110">
        <v>0</v>
      </c>
      <c r="H97" s="110">
        <v>0</v>
      </c>
      <c r="I97" t="str">
        <f>TEXT(ConsorcioDespesas[[#This Row],[NDO]],"000000000000")</f>
        <v>339047000000</v>
      </c>
      <c r="J97">
        <f>_xlfn.SWITCH(MONTH(ConsorcioDespesas[[#This Row],[Data-base]]),1,1,2,1,3,2,4,2,5,3,6,3,7,4,8,4,9,5,10,5,11,6,12,6)</f>
        <v>3</v>
      </c>
      <c r="K97">
        <f>YEAR(ConsorcioDespesas[[#This Row],[Data-base]])</f>
        <v>2023</v>
      </c>
      <c r="L97">
        <f>MONTH(ConsorcioDespesas[[#This Row],[Data-base]])</f>
        <v>6</v>
      </c>
      <c r="M97" t="str">
        <f>TEXT(ConsorcioDespesas[[#This Row],[NDO]],"000000000000")</f>
        <v>339047000000</v>
      </c>
    </row>
    <row r="98" spans="1:13" x14ac:dyDescent="0.25">
      <c r="A98" t="s">
        <v>85</v>
      </c>
      <c r="B98" s="111">
        <v>45107</v>
      </c>
      <c r="C98">
        <v>4</v>
      </c>
      <c r="D98">
        <v>122</v>
      </c>
      <c r="E98" s="169">
        <v>449052000000</v>
      </c>
      <c r="F98" s="110">
        <v>8.6300000000000008</v>
      </c>
      <c r="G98" s="110">
        <v>8.6300000000000008</v>
      </c>
      <c r="H98" s="110">
        <v>8.6300000000000008</v>
      </c>
      <c r="I98" t="str">
        <f>TEXT(ConsorcioDespesas[[#This Row],[NDO]],"000000000000")</f>
        <v>449052000000</v>
      </c>
      <c r="J98">
        <f>_xlfn.SWITCH(MONTH(ConsorcioDespesas[[#This Row],[Data-base]]),1,1,2,1,3,2,4,2,5,3,6,3,7,4,8,4,9,5,10,5,11,6,12,6)</f>
        <v>3</v>
      </c>
      <c r="K98">
        <f>YEAR(ConsorcioDespesas[[#This Row],[Data-base]])</f>
        <v>2023</v>
      </c>
      <c r="L98">
        <f>MONTH(ConsorcioDespesas[[#This Row],[Data-base]])</f>
        <v>6</v>
      </c>
      <c r="M98" t="str">
        <f>TEXT(ConsorcioDespesas[[#This Row],[NDO]],"000000000000")</f>
        <v>449052000000</v>
      </c>
    </row>
    <row r="99" spans="1:13" x14ac:dyDescent="0.25">
      <c r="A99" t="s">
        <v>85</v>
      </c>
      <c r="B99" s="111">
        <v>45107</v>
      </c>
      <c r="C99">
        <v>10</v>
      </c>
      <c r="D99">
        <v>302</v>
      </c>
      <c r="E99" s="169">
        <v>334041390500</v>
      </c>
      <c r="F99" s="110">
        <v>8742.48</v>
      </c>
      <c r="G99" s="110">
        <v>8742.48</v>
      </c>
      <c r="H99" s="110">
        <v>8742.48</v>
      </c>
      <c r="I99" t="str">
        <f>TEXT(ConsorcioDespesas[[#This Row],[NDO]],"000000000000")</f>
        <v>334041390500</v>
      </c>
      <c r="J99">
        <f>_xlfn.SWITCH(MONTH(ConsorcioDespesas[[#This Row],[Data-base]]),1,1,2,1,3,2,4,2,5,3,6,3,7,4,8,4,9,5,10,5,11,6,12,6)</f>
        <v>3</v>
      </c>
      <c r="K99">
        <f>YEAR(ConsorcioDespesas[[#This Row],[Data-base]])</f>
        <v>2023</v>
      </c>
      <c r="L99">
        <f>MONTH(ConsorcioDespesas[[#This Row],[Data-base]])</f>
        <v>6</v>
      </c>
      <c r="M99" t="str">
        <f>TEXT(ConsorcioDespesas[[#This Row],[NDO]],"000000000000")</f>
        <v>334041390500</v>
      </c>
    </row>
    <row r="100" spans="1:13" x14ac:dyDescent="0.25">
      <c r="A100" t="s">
        <v>85</v>
      </c>
      <c r="B100" s="111">
        <v>45107</v>
      </c>
      <c r="C100">
        <v>10</v>
      </c>
      <c r="D100">
        <v>122</v>
      </c>
      <c r="E100" s="169">
        <v>334041391100</v>
      </c>
      <c r="F100" s="110">
        <v>626.91999999999996</v>
      </c>
      <c r="G100" s="110">
        <v>626.91999999999996</v>
      </c>
      <c r="H100" s="110">
        <v>626.91999999999996</v>
      </c>
      <c r="I100" t="str">
        <f>TEXT(ConsorcioDespesas[[#This Row],[NDO]],"000000000000")</f>
        <v>334041391100</v>
      </c>
      <c r="J100">
        <f>_xlfn.SWITCH(MONTH(ConsorcioDespesas[[#This Row],[Data-base]]),1,1,2,1,3,2,4,2,5,3,6,3,7,4,8,4,9,5,10,5,11,6,12,6)</f>
        <v>3</v>
      </c>
      <c r="K100">
        <f>YEAR(ConsorcioDespesas[[#This Row],[Data-base]])</f>
        <v>2023</v>
      </c>
      <c r="L100">
        <f>MONTH(ConsorcioDespesas[[#This Row],[Data-base]])</f>
        <v>6</v>
      </c>
      <c r="M100" t="str">
        <f>TEXT(ConsorcioDespesas[[#This Row],[NDO]],"000000000000")</f>
        <v>334041391100</v>
      </c>
    </row>
    <row r="101" spans="1:13" x14ac:dyDescent="0.25">
      <c r="A101" t="s">
        <v>85</v>
      </c>
      <c r="B101" s="111">
        <v>45107</v>
      </c>
      <c r="C101">
        <v>10</v>
      </c>
      <c r="D101">
        <v>122</v>
      </c>
      <c r="E101" s="169">
        <v>334041391000</v>
      </c>
      <c r="F101" s="110">
        <v>874.88</v>
      </c>
      <c r="G101" s="110">
        <v>874.88</v>
      </c>
      <c r="H101" s="110">
        <v>874.88</v>
      </c>
      <c r="I101" t="str">
        <f>TEXT(ConsorcioDespesas[[#This Row],[NDO]],"000000000000")</f>
        <v>334041391000</v>
      </c>
      <c r="J101">
        <f>_xlfn.SWITCH(MONTH(ConsorcioDespesas[[#This Row],[Data-base]]),1,1,2,1,3,2,4,2,5,3,6,3,7,4,8,4,9,5,10,5,11,6,12,6)</f>
        <v>3</v>
      </c>
      <c r="K101">
        <f>YEAR(ConsorcioDespesas[[#This Row],[Data-base]])</f>
        <v>2023</v>
      </c>
      <c r="L101">
        <f>MONTH(ConsorcioDespesas[[#This Row],[Data-base]])</f>
        <v>6</v>
      </c>
      <c r="M101" t="str">
        <f>TEXT(ConsorcioDespesas[[#This Row],[NDO]],"000000000000")</f>
        <v>334041391000</v>
      </c>
    </row>
    <row r="102" spans="1:13" x14ac:dyDescent="0.25">
      <c r="A102" t="s">
        <v>85</v>
      </c>
      <c r="B102" s="111">
        <v>45138</v>
      </c>
      <c r="C102">
        <v>4</v>
      </c>
      <c r="D102">
        <v>122</v>
      </c>
      <c r="E102" s="169">
        <v>319011010100</v>
      </c>
      <c r="F102" s="110">
        <v>1084.3</v>
      </c>
      <c r="G102" s="110">
        <v>1084.3</v>
      </c>
      <c r="H102" s="110">
        <v>1084.3</v>
      </c>
      <c r="I102" t="str">
        <f>TEXT(ConsorcioDespesas[[#This Row],[NDO]],"000000000000")</f>
        <v>319011010100</v>
      </c>
      <c r="J102">
        <f>_xlfn.SWITCH(MONTH(ConsorcioDespesas[[#This Row],[Data-base]]),1,1,2,1,3,2,4,2,5,3,6,3,7,4,8,4,9,5,10,5,11,6,12,6)</f>
        <v>4</v>
      </c>
      <c r="K102">
        <f>YEAR(ConsorcioDespesas[[#This Row],[Data-base]])</f>
        <v>2023</v>
      </c>
      <c r="L102">
        <f>MONTH(ConsorcioDespesas[[#This Row],[Data-base]])</f>
        <v>7</v>
      </c>
      <c r="M102" t="str">
        <f>TEXT(ConsorcioDespesas[[#This Row],[NDO]],"000000000000")</f>
        <v>319011010100</v>
      </c>
    </row>
    <row r="103" spans="1:13" x14ac:dyDescent="0.25">
      <c r="A103" t="s">
        <v>85</v>
      </c>
      <c r="B103" s="111">
        <v>45138</v>
      </c>
      <c r="C103">
        <v>4</v>
      </c>
      <c r="D103">
        <v>122</v>
      </c>
      <c r="E103" s="169">
        <v>319013010100</v>
      </c>
      <c r="F103" s="110">
        <v>0</v>
      </c>
      <c r="G103" s="110">
        <v>0</v>
      </c>
      <c r="H103" s="110">
        <v>0</v>
      </c>
      <c r="I103" t="str">
        <f>TEXT(ConsorcioDespesas[[#This Row],[NDO]],"000000000000")</f>
        <v>319013010100</v>
      </c>
      <c r="J103">
        <f>_xlfn.SWITCH(MONTH(ConsorcioDespesas[[#This Row],[Data-base]]),1,1,2,1,3,2,4,2,5,3,6,3,7,4,8,4,9,5,10,5,11,6,12,6)</f>
        <v>4</v>
      </c>
      <c r="K103">
        <f>YEAR(ConsorcioDespesas[[#This Row],[Data-base]])</f>
        <v>2023</v>
      </c>
      <c r="L103">
        <f>MONTH(ConsorcioDespesas[[#This Row],[Data-base]])</f>
        <v>7</v>
      </c>
      <c r="M103" t="str">
        <f>TEXT(ConsorcioDespesas[[#This Row],[NDO]],"000000000000")</f>
        <v>319013010100</v>
      </c>
    </row>
    <row r="104" spans="1:13" x14ac:dyDescent="0.25">
      <c r="A104" t="s">
        <v>85</v>
      </c>
      <c r="B104" s="111">
        <v>45138</v>
      </c>
      <c r="C104">
        <v>4</v>
      </c>
      <c r="D104">
        <v>122</v>
      </c>
      <c r="E104" s="169">
        <v>319013020100</v>
      </c>
      <c r="F104" s="110">
        <v>0</v>
      </c>
      <c r="G104" s="110">
        <v>0</v>
      </c>
      <c r="H104" s="110">
        <v>0</v>
      </c>
      <c r="I104" t="str">
        <f>TEXT(ConsorcioDespesas[[#This Row],[NDO]],"000000000000")</f>
        <v>319013020100</v>
      </c>
      <c r="J104">
        <f>_xlfn.SWITCH(MONTH(ConsorcioDespesas[[#This Row],[Data-base]]),1,1,2,1,3,2,4,2,5,3,6,3,7,4,8,4,9,5,10,5,11,6,12,6)</f>
        <v>4</v>
      </c>
      <c r="K104">
        <f>YEAR(ConsorcioDespesas[[#This Row],[Data-base]])</f>
        <v>2023</v>
      </c>
      <c r="L104">
        <f>MONTH(ConsorcioDespesas[[#This Row],[Data-base]])</f>
        <v>7</v>
      </c>
      <c r="M104" t="str">
        <f>TEXT(ConsorcioDespesas[[#This Row],[NDO]],"000000000000")</f>
        <v>319013020100</v>
      </c>
    </row>
    <row r="105" spans="1:13" x14ac:dyDescent="0.25">
      <c r="A105" t="s">
        <v>85</v>
      </c>
      <c r="B105" s="111">
        <v>45138</v>
      </c>
      <c r="C105">
        <v>4</v>
      </c>
      <c r="D105">
        <v>122</v>
      </c>
      <c r="E105" s="169">
        <v>339014140000</v>
      </c>
      <c r="F105" s="110">
        <v>0</v>
      </c>
      <c r="G105" s="110">
        <v>0</v>
      </c>
      <c r="H105" s="110">
        <v>0</v>
      </c>
      <c r="I105" t="str">
        <f>TEXT(ConsorcioDespesas[[#This Row],[NDO]],"000000000000")</f>
        <v>339014140000</v>
      </c>
      <c r="J105">
        <f>_xlfn.SWITCH(MONTH(ConsorcioDespesas[[#This Row],[Data-base]]),1,1,2,1,3,2,4,2,5,3,6,3,7,4,8,4,9,5,10,5,11,6,12,6)</f>
        <v>4</v>
      </c>
      <c r="K105">
        <f>YEAR(ConsorcioDespesas[[#This Row],[Data-base]])</f>
        <v>2023</v>
      </c>
      <c r="L105">
        <f>MONTH(ConsorcioDespesas[[#This Row],[Data-base]])</f>
        <v>7</v>
      </c>
      <c r="M105" t="str">
        <f>TEXT(ConsorcioDespesas[[#This Row],[NDO]],"000000000000")</f>
        <v>339014140000</v>
      </c>
    </row>
    <row r="106" spans="1:13" x14ac:dyDescent="0.25">
      <c r="A106" t="s">
        <v>85</v>
      </c>
      <c r="B106" s="111">
        <v>45138</v>
      </c>
      <c r="C106">
        <v>4</v>
      </c>
      <c r="D106">
        <v>122</v>
      </c>
      <c r="E106" s="169">
        <v>339030000000</v>
      </c>
      <c r="F106" s="110">
        <v>16.420000000000002</v>
      </c>
      <c r="G106" s="110">
        <v>16.420000000000002</v>
      </c>
      <c r="H106" s="110">
        <v>0</v>
      </c>
      <c r="I106" t="str">
        <f>TEXT(ConsorcioDespesas[[#This Row],[NDO]],"000000000000")</f>
        <v>339030000000</v>
      </c>
      <c r="J106">
        <f>_xlfn.SWITCH(MONTH(ConsorcioDespesas[[#This Row],[Data-base]]),1,1,2,1,3,2,4,2,5,3,6,3,7,4,8,4,9,5,10,5,11,6,12,6)</f>
        <v>4</v>
      </c>
      <c r="K106">
        <f>YEAR(ConsorcioDespesas[[#This Row],[Data-base]])</f>
        <v>2023</v>
      </c>
      <c r="L106">
        <f>MONTH(ConsorcioDespesas[[#This Row],[Data-base]])</f>
        <v>7</v>
      </c>
      <c r="M106" t="str">
        <f>TEXT(ConsorcioDespesas[[#This Row],[NDO]],"000000000000")</f>
        <v>339030000000</v>
      </c>
    </row>
    <row r="107" spans="1:13" x14ac:dyDescent="0.25">
      <c r="A107" t="s">
        <v>85</v>
      </c>
      <c r="B107" s="111">
        <v>45138</v>
      </c>
      <c r="C107">
        <v>4</v>
      </c>
      <c r="D107">
        <v>122</v>
      </c>
      <c r="E107" s="169">
        <v>339033010000</v>
      </c>
      <c r="F107" s="110">
        <v>0</v>
      </c>
      <c r="G107" s="110">
        <v>0</v>
      </c>
      <c r="H107" s="110">
        <v>0</v>
      </c>
      <c r="I107" t="str">
        <f>TEXT(ConsorcioDespesas[[#This Row],[NDO]],"000000000000")</f>
        <v>339033010000</v>
      </c>
      <c r="J107">
        <f>_xlfn.SWITCH(MONTH(ConsorcioDespesas[[#This Row],[Data-base]]),1,1,2,1,3,2,4,2,5,3,6,3,7,4,8,4,9,5,10,5,11,6,12,6)</f>
        <v>4</v>
      </c>
      <c r="K107">
        <f>YEAR(ConsorcioDespesas[[#This Row],[Data-base]])</f>
        <v>2023</v>
      </c>
      <c r="L107">
        <f>MONTH(ConsorcioDespesas[[#This Row],[Data-base]])</f>
        <v>7</v>
      </c>
      <c r="M107" t="str">
        <f>TEXT(ConsorcioDespesas[[#This Row],[NDO]],"000000000000")</f>
        <v>339033010000</v>
      </c>
    </row>
    <row r="108" spans="1:13" x14ac:dyDescent="0.25">
      <c r="A108" t="s">
        <v>85</v>
      </c>
      <c r="B108" s="111">
        <v>45138</v>
      </c>
      <c r="C108">
        <v>4</v>
      </c>
      <c r="D108">
        <v>122</v>
      </c>
      <c r="E108" s="169">
        <v>339036000000</v>
      </c>
      <c r="F108" s="110">
        <v>0</v>
      </c>
      <c r="G108" s="110">
        <v>0</v>
      </c>
      <c r="H108" s="110">
        <v>0</v>
      </c>
      <c r="I108" t="str">
        <f>TEXT(ConsorcioDespesas[[#This Row],[NDO]],"000000000000")</f>
        <v>339036000000</v>
      </c>
      <c r="J108">
        <f>_xlfn.SWITCH(MONTH(ConsorcioDespesas[[#This Row],[Data-base]]),1,1,2,1,3,2,4,2,5,3,6,3,7,4,8,4,9,5,10,5,11,6,12,6)</f>
        <v>4</v>
      </c>
      <c r="K108">
        <f>YEAR(ConsorcioDespesas[[#This Row],[Data-base]])</f>
        <v>2023</v>
      </c>
      <c r="L108">
        <f>MONTH(ConsorcioDespesas[[#This Row],[Data-base]])</f>
        <v>7</v>
      </c>
      <c r="M108" t="str">
        <f>TEXT(ConsorcioDespesas[[#This Row],[NDO]],"000000000000")</f>
        <v>339036000000</v>
      </c>
    </row>
    <row r="109" spans="1:13" x14ac:dyDescent="0.25">
      <c r="A109" t="s">
        <v>85</v>
      </c>
      <c r="B109" s="111">
        <v>45138</v>
      </c>
      <c r="C109">
        <v>4</v>
      </c>
      <c r="D109">
        <v>122</v>
      </c>
      <c r="E109" s="169">
        <v>339039000000</v>
      </c>
      <c r="F109" s="110">
        <v>40.770000000000003</v>
      </c>
      <c r="G109" s="110">
        <v>40.770000000000003</v>
      </c>
      <c r="H109" s="110">
        <v>40.770000000000003</v>
      </c>
      <c r="I109" t="str">
        <f>TEXT(ConsorcioDespesas[[#This Row],[NDO]],"000000000000")</f>
        <v>339039000000</v>
      </c>
      <c r="J109">
        <f>_xlfn.SWITCH(MONTH(ConsorcioDespesas[[#This Row],[Data-base]]),1,1,2,1,3,2,4,2,5,3,6,3,7,4,8,4,9,5,10,5,11,6,12,6)</f>
        <v>4</v>
      </c>
      <c r="K109">
        <f>YEAR(ConsorcioDespesas[[#This Row],[Data-base]])</f>
        <v>2023</v>
      </c>
      <c r="L109">
        <f>MONTH(ConsorcioDespesas[[#This Row],[Data-base]])</f>
        <v>7</v>
      </c>
      <c r="M109" t="str">
        <f>TEXT(ConsorcioDespesas[[#This Row],[NDO]],"000000000000")</f>
        <v>339039000000</v>
      </c>
    </row>
    <row r="110" spans="1:13" x14ac:dyDescent="0.25">
      <c r="A110" t="s">
        <v>85</v>
      </c>
      <c r="B110" s="111">
        <v>45138</v>
      </c>
      <c r="C110">
        <v>4</v>
      </c>
      <c r="D110">
        <v>122</v>
      </c>
      <c r="E110" s="169">
        <v>339039570000</v>
      </c>
      <c r="F110" s="110">
        <v>109.17</v>
      </c>
      <c r="G110" s="110">
        <v>109.17</v>
      </c>
      <c r="H110" s="110">
        <v>53.94</v>
      </c>
      <c r="I110" t="str">
        <f>TEXT(ConsorcioDespesas[[#This Row],[NDO]],"000000000000")</f>
        <v>339039570000</v>
      </c>
      <c r="J110">
        <f>_xlfn.SWITCH(MONTH(ConsorcioDespesas[[#This Row],[Data-base]]),1,1,2,1,3,2,4,2,5,3,6,3,7,4,8,4,9,5,10,5,11,6,12,6)</f>
        <v>4</v>
      </c>
      <c r="K110">
        <f>YEAR(ConsorcioDespesas[[#This Row],[Data-base]])</f>
        <v>2023</v>
      </c>
      <c r="L110">
        <f>MONTH(ConsorcioDespesas[[#This Row],[Data-base]])</f>
        <v>7</v>
      </c>
      <c r="M110" t="str">
        <f>TEXT(ConsorcioDespesas[[#This Row],[NDO]],"000000000000")</f>
        <v>339039570000</v>
      </c>
    </row>
    <row r="111" spans="1:13" x14ac:dyDescent="0.25">
      <c r="A111" t="s">
        <v>85</v>
      </c>
      <c r="B111" s="111">
        <v>45138</v>
      </c>
      <c r="C111">
        <v>4</v>
      </c>
      <c r="D111">
        <v>122</v>
      </c>
      <c r="E111" s="169">
        <v>339039990100</v>
      </c>
      <c r="F111" s="110">
        <v>108.98</v>
      </c>
      <c r="G111" s="110">
        <v>108.98</v>
      </c>
      <c r="H111" s="110">
        <v>108.98</v>
      </c>
      <c r="I111" t="str">
        <f>TEXT(ConsorcioDespesas[[#This Row],[NDO]],"000000000000")</f>
        <v>339039990100</v>
      </c>
      <c r="J111">
        <f>_xlfn.SWITCH(MONTH(ConsorcioDespesas[[#This Row],[Data-base]]),1,1,2,1,3,2,4,2,5,3,6,3,7,4,8,4,9,5,10,5,11,6,12,6)</f>
        <v>4</v>
      </c>
      <c r="K111">
        <f>YEAR(ConsorcioDespesas[[#This Row],[Data-base]])</f>
        <v>2023</v>
      </c>
      <c r="L111">
        <f>MONTH(ConsorcioDespesas[[#This Row],[Data-base]])</f>
        <v>7</v>
      </c>
      <c r="M111" t="str">
        <f>TEXT(ConsorcioDespesas[[#This Row],[NDO]],"000000000000")</f>
        <v>339039990100</v>
      </c>
    </row>
    <row r="112" spans="1:13" x14ac:dyDescent="0.25">
      <c r="A112" t="s">
        <v>85</v>
      </c>
      <c r="B112" s="111">
        <v>45138</v>
      </c>
      <c r="C112">
        <v>4</v>
      </c>
      <c r="D112">
        <v>122</v>
      </c>
      <c r="E112" s="169">
        <v>339046010100</v>
      </c>
      <c r="F112" s="110">
        <v>53.48</v>
      </c>
      <c r="G112" s="110">
        <v>53.48</v>
      </c>
      <c r="H112" s="110">
        <v>53.48</v>
      </c>
      <c r="I112" t="str">
        <f>TEXT(ConsorcioDespesas[[#This Row],[NDO]],"000000000000")</f>
        <v>339046010100</v>
      </c>
      <c r="J112">
        <f>_xlfn.SWITCH(MONTH(ConsorcioDespesas[[#This Row],[Data-base]]),1,1,2,1,3,2,4,2,5,3,6,3,7,4,8,4,9,5,10,5,11,6,12,6)</f>
        <v>4</v>
      </c>
      <c r="K112">
        <f>YEAR(ConsorcioDespesas[[#This Row],[Data-base]])</f>
        <v>2023</v>
      </c>
      <c r="L112">
        <f>MONTH(ConsorcioDespesas[[#This Row],[Data-base]])</f>
        <v>7</v>
      </c>
      <c r="M112" t="str">
        <f>TEXT(ConsorcioDespesas[[#This Row],[NDO]],"000000000000")</f>
        <v>339046010100</v>
      </c>
    </row>
    <row r="113" spans="1:13" x14ac:dyDescent="0.25">
      <c r="A113" t="s">
        <v>85</v>
      </c>
      <c r="B113" s="111">
        <v>45138</v>
      </c>
      <c r="C113">
        <v>4</v>
      </c>
      <c r="D113">
        <v>122</v>
      </c>
      <c r="E113" s="169">
        <v>339049010000</v>
      </c>
      <c r="F113" s="110">
        <v>3.91</v>
      </c>
      <c r="G113" s="110">
        <v>3.91</v>
      </c>
      <c r="H113" s="110">
        <v>3.91</v>
      </c>
      <c r="I113" t="str">
        <f>TEXT(ConsorcioDespesas[[#This Row],[NDO]],"000000000000")</f>
        <v>339049010000</v>
      </c>
      <c r="J113">
        <f>_xlfn.SWITCH(MONTH(ConsorcioDespesas[[#This Row],[Data-base]]),1,1,2,1,3,2,4,2,5,3,6,3,7,4,8,4,9,5,10,5,11,6,12,6)</f>
        <v>4</v>
      </c>
      <c r="K113">
        <f>YEAR(ConsorcioDespesas[[#This Row],[Data-base]])</f>
        <v>2023</v>
      </c>
      <c r="L113">
        <f>MONTH(ConsorcioDespesas[[#This Row],[Data-base]])</f>
        <v>7</v>
      </c>
      <c r="M113" t="str">
        <f>TEXT(ConsorcioDespesas[[#This Row],[NDO]],"000000000000")</f>
        <v>339049010000</v>
      </c>
    </row>
    <row r="114" spans="1:13" x14ac:dyDescent="0.25">
      <c r="A114" t="s">
        <v>85</v>
      </c>
      <c r="B114" s="111">
        <v>45138</v>
      </c>
      <c r="C114">
        <v>4</v>
      </c>
      <c r="D114">
        <v>122</v>
      </c>
      <c r="E114" s="169">
        <v>339047000000</v>
      </c>
      <c r="F114" s="110">
        <v>0</v>
      </c>
      <c r="G114" s="110">
        <v>0</v>
      </c>
      <c r="H114" s="110">
        <v>0</v>
      </c>
      <c r="I114" t="str">
        <f>TEXT(ConsorcioDespesas[[#This Row],[NDO]],"000000000000")</f>
        <v>339047000000</v>
      </c>
      <c r="J114">
        <f>_xlfn.SWITCH(MONTH(ConsorcioDespesas[[#This Row],[Data-base]]),1,1,2,1,3,2,4,2,5,3,6,3,7,4,8,4,9,5,10,5,11,6,12,6)</f>
        <v>4</v>
      </c>
      <c r="K114">
        <f>YEAR(ConsorcioDespesas[[#This Row],[Data-base]])</f>
        <v>2023</v>
      </c>
      <c r="L114">
        <f>MONTH(ConsorcioDespesas[[#This Row],[Data-base]])</f>
        <v>7</v>
      </c>
      <c r="M114" t="str">
        <f>TEXT(ConsorcioDespesas[[#This Row],[NDO]],"000000000000")</f>
        <v>339047000000</v>
      </c>
    </row>
    <row r="115" spans="1:13" x14ac:dyDescent="0.25">
      <c r="A115" t="s">
        <v>85</v>
      </c>
      <c r="B115" s="111">
        <v>45138</v>
      </c>
      <c r="C115">
        <v>4</v>
      </c>
      <c r="D115">
        <v>122</v>
      </c>
      <c r="E115" s="169">
        <v>449052000000</v>
      </c>
      <c r="F115" s="110">
        <v>0</v>
      </c>
      <c r="G115" s="110">
        <v>0</v>
      </c>
      <c r="H115" s="110">
        <v>0</v>
      </c>
      <c r="I115" t="str">
        <f>TEXT(ConsorcioDespesas[[#This Row],[NDO]],"000000000000")</f>
        <v>449052000000</v>
      </c>
      <c r="J115">
        <f>_xlfn.SWITCH(MONTH(ConsorcioDespesas[[#This Row],[Data-base]]),1,1,2,1,3,2,4,2,5,3,6,3,7,4,8,4,9,5,10,5,11,6,12,6)</f>
        <v>4</v>
      </c>
      <c r="K115">
        <f>YEAR(ConsorcioDespesas[[#This Row],[Data-base]])</f>
        <v>2023</v>
      </c>
      <c r="L115">
        <f>MONTH(ConsorcioDespesas[[#This Row],[Data-base]])</f>
        <v>7</v>
      </c>
      <c r="M115" t="str">
        <f>TEXT(ConsorcioDespesas[[#This Row],[NDO]],"000000000000")</f>
        <v>449052000000</v>
      </c>
    </row>
    <row r="116" spans="1:13" x14ac:dyDescent="0.25">
      <c r="A116" t="s">
        <v>85</v>
      </c>
      <c r="B116" s="111">
        <v>45138</v>
      </c>
      <c r="C116">
        <v>10</v>
      </c>
      <c r="D116">
        <v>302</v>
      </c>
      <c r="E116" s="169">
        <v>334041390500</v>
      </c>
      <c r="F116" s="110">
        <v>8742.48</v>
      </c>
      <c r="G116" s="110">
        <v>8742.48</v>
      </c>
      <c r="H116" s="110">
        <v>8742.48</v>
      </c>
      <c r="I116" t="str">
        <f>TEXT(ConsorcioDespesas[[#This Row],[NDO]],"000000000000")</f>
        <v>334041390500</v>
      </c>
      <c r="J116">
        <f>_xlfn.SWITCH(MONTH(ConsorcioDespesas[[#This Row],[Data-base]]),1,1,2,1,3,2,4,2,5,3,6,3,7,4,8,4,9,5,10,5,11,6,12,6)</f>
        <v>4</v>
      </c>
      <c r="K116">
        <f>YEAR(ConsorcioDespesas[[#This Row],[Data-base]])</f>
        <v>2023</v>
      </c>
      <c r="L116">
        <f>MONTH(ConsorcioDespesas[[#This Row],[Data-base]])</f>
        <v>7</v>
      </c>
      <c r="M116" t="str">
        <f>TEXT(ConsorcioDespesas[[#This Row],[NDO]],"000000000000")</f>
        <v>334041390500</v>
      </c>
    </row>
    <row r="117" spans="1:13" x14ac:dyDescent="0.25">
      <c r="A117" t="s">
        <v>85</v>
      </c>
      <c r="B117" s="111">
        <v>45138</v>
      </c>
      <c r="C117">
        <v>10</v>
      </c>
      <c r="D117">
        <v>122</v>
      </c>
      <c r="E117" s="169">
        <v>334041391100</v>
      </c>
      <c r="F117" s="110">
        <v>626.91999999999996</v>
      </c>
      <c r="G117" s="110">
        <v>626.91999999999996</v>
      </c>
      <c r="H117" s="110">
        <v>626.91999999999996</v>
      </c>
      <c r="I117" t="str">
        <f>TEXT(ConsorcioDespesas[[#This Row],[NDO]],"000000000000")</f>
        <v>334041391100</v>
      </c>
      <c r="J117">
        <f>_xlfn.SWITCH(MONTH(ConsorcioDespesas[[#This Row],[Data-base]]),1,1,2,1,3,2,4,2,5,3,6,3,7,4,8,4,9,5,10,5,11,6,12,6)</f>
        <v>4</v>
      </c>
      <c r="K117">
        <f>YEAR(ConsorcioDespesas[[#This Row],[Data-base]])</f>
        <v>2023</v>
      </c>
      <c r="L117">
        <f>MONTH(ConsorcioDespesas[[#This Row],[Data-base]])</f>
        <v>7</v>
      </c>
      <c r="M117" t="str">
        <f>TEXT(ConsorcioDespesas[[#This Row],[NDO]],"000000000000")</f>
        <v>334041391100</v>
      </c>
    </row>
    <row r="118" spans="1:13" x14ac:dyDescent="0.25">
      <c r="A118" t="s">
        <v>85</v>
      </c>
      <c r="B118" s="111">
        <v>45138</v>
      </c>
      <c r="C118">
        <v>10</v>
      </c>
      <c r="D118">
        <v>122</v>
      </c>
      <c r="E118" s="169">
        <v>334041391000</v>
      </c>
      <c r="F118" s="110">
        <v>874.88</v>
      </c>
      <c r="G118" s="110">
        <v>874.88</v>
      </c>
      <c r="H118" s="110">
        <v>874.88</v>
      </c>
      <c r="I118" t="str">
        <f>TEXT(ConsorcioDespesas[[#This Row],[NDO]],"000000000000")</f>
        <v>334041391000</v>
      </c>
      <c r="J118">
        <f>_xlfn.SWITCH(MONTH(ConsorcioDespesas[[#This Row],[Data-base]]),1,1,2,1,3,2,4,2,5,3,6,3,7,4,8,4,9,5,10,5,11,6,12,6)</f>
        <v>4</v>
      </c>
      <c r="K118">
        <f>YEAR(ConsorcioDespesas[[#This Row],[Data-base]])</f>
        <v>2023</v>
      </c>
      <c r="L118">
        <f>MONTH(ConsorcioDespesas[[#This Row],[Data-base]])</f>
        <v>7</v>
      </c>
      <c r="M118" t="str">
        <f>TEXT(ConsorcioDespesas[[#This Row],[NDO]],"000000000000")</f>
        <v>334041391000</v>
      </c>
    </row>
    <row r="119" spans="1:13" x14ac:dyDescent="0.25">
      <c r="A119" t="s">
        <v>85</v>
      </c>
      <c r="B119" s="111">
        <v>45169</v>
      </c>
      <c r="C119">
        <v>4</v>
      </c>
      <c r="D119">
        <v>122</v>
      </c>
      <c r="E119" s="169">
        <v>319011010100</v>
      </c>
      <c r="F119" s="110">
        <v>1081.6600000000001</v>
      </c>
      <c r="G119" s="110">
        <v>1081.6600000000001</v>
      </c>
      <c r="H119" s="110">
        <v>1081.6600000000001</v>
      </c>
      <c r="I119" t="str">
        <f>TEXT(ConsorcioDespesas[[#This Row],[NDO]],"000000000000")</f>
        <v>319011010100</v>
      </c>
      <c r="J119">
        <f>_xlfn.SWITCH(MONTH(ConsorcioDespesas[[#This Row],[Data-base]]),1,1,2,1,3,2,4,2,5,3,6,3,7,4,8,4,9,5,10,5,11,6,12,6)</f>
        <v>4</v>
      </c>
      <c r="K119">
        <f>YEAR(ConsorcioDespesas[[#This Row],[Data-base]])</f>
        <v>2023</v>
      </c>
      <c r="L119">
        <f>MONTH(ConsorcioDespesas[[#This Row],[Data-base]])</f>
        <v>8</v>
      </c>
      <c r="M119" t="str">
        <f>TEXT(ConsorcioDespesas[[#This Row],[NDO]],"000000000000")</f>
        <v>319011010100</v>
      </c>
    </row>
    <row r="120" spans="1:13" x14ac:dyDescent="0.25">
      <c r="A120" t="s">
        <v>85</v>
      </c>
      <c r="B120" s="111">
        <v>45169</v>
      </c>
      <c r="C120">
        <v>4</v>
      </c>
      <c r="D120">
        <v>122</v>
      </c>
      <c r="E120" s="169">
        <v>319013010100</v>
      </c>
      <c r="F120" s="110">
        <v>156.65</v>
      </c>
      <c r="G120" s="110">
        <v>156.65</v>
      </c>
      <c r="H120" s="110">
        <v>156.65</v>
      </c>
      <c r="I120" t="str">
        <f>TEXT(ConsorcioDespesas[[#This Row],[NDO]],"000000000000")</f>
        <v>319013010100</v>
      </c>
      <c r="J120">
        <f>_xlfn.SWITCH(MONTH(ConsorcioDespesas[[#This Row],[Data-base]]),1,1,2,1,3,2,4,2,5,3,6,3,7,4,8,4,9,5,10,5,11,6,12,6)</f>
        <v>4</v>
      </c>
      <c r="K120">
        <f>YEAR(ConsorcioDespesas[[#This Row],[Data-base]])</f>
        <v>2023</v>
      </c>
      <c r="L120">
        <f>MONTH(ConsorcioDespesas[[#This Row],[Data-base]])</f>
        <v>8</v>
      </c>
      <c r="M120" t="str">
        <f>TEXT(ConsorcioDespesas[[#This Row],[NDO]],"000000000000")</f>
        <v>319013010100</v>
      </c>
    </row>
    <row r="121" spans="1:13" x14ac:dyDescent="0.25">
      <c r="A121" t="s">
        <v>85</v>
      </c>
      <c r="B121" s="111">
        <v>45169</v>
      </c>
      <c r="C121">
        <v>4</v>
      </c>
      <c r="D121">
        <v>122</v>
      </c>
      <c r="E121" s="169">
        <v>319013020100</v>
      </c>
      <c r="F121" s="110">
        <v>411.22</v>
      </c>
      <c r="G121" s="110">
        <v>411.22</v>
      </c>
      <c r="H121" s="110">
        <v>411.22</v>
      </c>
      <c r="I121" t="str">
        <f>TEXT(ConsorcioDespesas[[#This Row],[NDO]],"000000000000")</f>
        <v>319013020100</v>
      </c>
      <c r="J121">
        <f>_xlfn.SWITCH(MONTH(ConsorcioDespesas[[#This Row],[Data-base]]),1,1,2,1,3,2,4,2,5,3,6,3,7,4,8,4,9,5,10,5,11,6,12,6)</f>
        <v>4</v>
      </c>
      <c r="K121">
        <f>YEAR(ConsorcioDespesas[[#This Row],[Data-base]])</f>
        <v>2023</v>
      </c>
      <c r="L121">
        <f>MONTH(ConsorcioDespesas[[#This Row],[Data-base]])</f>
        <v>8</v>
      </c>
      <c r="M121" t="str">
        <f>TEXT(ConsorcioDespesas[[#This Row],[NDO]],"000000000000")</f>
        <v>319013020100</v>
      </c>
    </row>
    <row r="122" spans="1:13" x14ac:dyDescent="0.25">
      <c r="A122" t="s">
        <v>85</v>
      </c>
      <c r="B122" s="111">
        <v>45169</v>
      </c>
      <c r="C122">
        <v>4</v>
      </c>
      <c r="D122">
        <v>122</v>
      </c>
      <c r="E122" s="169">
        <v>339014140000</v>
      </c>
      <c r="F122" s="110">
        <v>116.04</v>
      </c>
      <c r="G122" s="110">
        <v>116.04</v>
      </c>
      <c r="H122" s="110">
        <v>116.04</v>
      </c>
      <c r="I122" t="str">
        <f>TEXT(ConsorcioDespesas[[#This Row],[NDO]],"000000000000")</f>
        <v>339014140000</v>
      </c>
      <c r="J122">
        <f>_xlfn.SWITCH(MONTH(ConsorcioDespesas[[#This Row],[Data-base]]),1,1,2,1,3,2,4,2,5,3,6,3,7,4,8,4,9,5,10,5,11,6,12,6)</f>
        <v>4</v>
      </c>
      <c r="K122">
        <f>YEAR(ConsorcioDespesas[[#This Row],[Data-base]])</f>
        <v>2023</v>
      </c>
      <c r="L122">
        <f>MONTH(ConsorcioDespesas[[#This Row],[Data-base]])</f>
        <v>8</v>
      </c>
      <c r="M122" t="str">
        <f>TEXT(ConsorcioDespesas[[#This Row],[NDO]],"000000000000")</f>
        <v>339014140000</v>
      </c>
    </row>
    <row r="123" spans="1:13" x14ac:dyDescent="0.25">
      <c r="A123" t="s">
        <v>85</v>
      </c>
      <c r="B123" s="111">
        <v>45169</v>
      </c>
      <c r="C123">
        <v>4</v>
      </c>
      <c r="D123">
        <v>122</v>
      </c>
      <c r="E123" s="169">
        <v>339030000000</v>
      </c>
      <c r="F123" s="110">
        <v>37.799999999999997</v>
      </c>
      <c r="G123" s="110">
        <v>37.799999999999997</v>
      </c>
      <c r="H123" s="110">
        <v>54.22</v>
      </c>
      <c r="I123" t="str">
        <f>TEXT(ConsorcioDespesas[[#This Row],[NDO]],"000000000000")</f>
        <v>339030000000</v>
      </c>
      <c r="J123">
        <f>_xlfn.SWITCH(MONTH(ConsorcioDespesas[[#This Row],[Data-base]]),1,1,2,1,3,2,4,2,5,3,6,3,7,4,8,4,9,5,10,5,11,6,12,6)</f>
        <v>4</v>
      </c>
      <c r="K123">
        <f>YEAR(ConsorcioDespesas[[#This Row],[Data-base]])</f>
        <v>2023</v>
      </c>
      <c r="L123">
        <f>MONTH(ConsorcioDespesas[[#This Row],[Data-base]])</f>
        <v>8</v>
      </c>
      <c r="M123" t="str">
        <f>TEXT(ConsorcioDespesas[[#This Row],[NDO]],"000000000000")</f>
        <v>339030000000</v>
      </c>
    </row>
    <row r="124" spans="1:13" x14ac:dyDescent="0.25">
      <c r="A124" t="s">
        <v>85</v>
      </c>
      <c r="B124" s="111">
        <v>45169</v>
      </c>
      <c r="C124">
        <v>4</v>
      </c>
      <c r="D124">
        <v>122</v>
      </c>
      <c r="E124" s="169">
        <v>339033010000</v>
      </c>
      <c r="F124" s="110">
        <v>0</v>
      </c>
      <c r="G124" s="110">
        <v>0</v>
      </c>
      <c r="H124" s="110">
        <v>0</v>
      </c>
      <c r="I124" t="str">
        <f>TEXT(ConsorcioDespesas[[#This Row],[NDO]],"000000000000")</f>
        <v>339033010000</v>
      </c>
      <c r="J124">
        <f>_xlfn.SWITCH(MONTH(ConsorcioDespesas[[#This Row],[Data-base]]),1,1,2,1,3,2,4,2,5,3,6,3,7,4,8,4,9,5,10,5,11,6,12,6)</f>
        <v>4</v>
      </c>
      <c r="K124">
        <f>YEAR(ConsorcioDespesas[[#This Row],[Data-base]])</f>
        <v>2023</v>
      </c>
      <c r="L124">
        <f>MONTH(ConsorcioDespesas[[#This Row],[Data-base]])</f>
        <v>8</v>
      </c>
      <c r="M124" t="str">
        <f>TEXT(ConsorcioDespesas[[#This Row],[NDO]],"000000000000")</f>
        <v>339033010000</v>
      </c>
    </row>
    <row r="125" spans="1:13" x14ac:dyDescent="0.25">
      <c r="A125" t="s">
        <v>85</v>
      </c>
      <c r="B125" s="111">
        <v>45169</v>
      </c>
      <c r="C125">
        <v>4</v>
      </c>
      <c r="D125">
        <v>122</v>
      </c>
      <c r="E125" s="169">
        <v>339036000000</v>
      </c>
      <c r="F125" s="110">
        <v>0</v>
      </c>
      <c r="G125" s="110">
        <v>0</v>
      </c>
      <c r="H125" s="110">
        <v>0</v>
      </c>
      <c r="I125" t="str">
        <f>TEXT(ConsorcioDespesas[[#This Row],[NDO]],"000000000000")</f>
        <v>339036000000</v>
      </c>
      <c r="J125">
        <f>_xlfn.SWITCH(MONTH(ConsorcioDespesas[[#This Row],[Data-base]]),1,1,2,1,3,2,4,2,5,3,6,3,7,4,8,4,9,5,10,5,11,6,12,6)</f>
        <v>4</v>
      </c>
      <c r="K125">
        <f>YEAR(ConsorcioDespesas[[#This Row],[Data-base]])</f>
        <v>2023</v>
      </c>
      <c r="L125">
        <f>MONTH(ConsorcioDespesas[[#This Row],[Data-base]])</f>
        <v>8</v>
      </c>
      <c r="M125" t="str">
        <f>TEXT(ConsorcioDespesas[[#This Row],[NDO]],"000000000000")</f>
        <v>339036000000</v>
      </c>
    </row>
    <row r="126" spans="1:13" x14ac:dyDescent="0.25">
      <c r="A126" t="s">
        <v>85</v>
      </c>
      <c r="B126" s="111">
        <v>45169</v>
      </c>
      <c r="C126">
        <v>4</v>
      </c>
      <c r="D126">
        <v>122</v>
      </c>
      <c r="E126" s="169">
        <v>339039000000</v>
      </c>
      <c r="F126" s="110">
        <v>42.58</v>
      </c>
      <c r="G126" s="110">
        <v>42.58</v>
      </c>
      <c r="H126" s="110">
        <v>42.58</v>
      </c>
      <c r="I126" t="str">
        <f>TEXT(ConsorcioDespesas[[#This Row],[NDO]],"000000000000")</f>
        <v>339039000000</v>
      </c>
      <c r="J126">
        <f>_xlfn.SWITCH(MONTH(ConsorcioDespesas[[#This Row],[Data-base]]),1,1,2,1,3,2,4,2,5,3,6,3,7,4,8,4,9,5,10,5,11,6,12,6)</f>
        <v>4</v>
      </c>
      <c r="K126">
        <f>YEAR(ConsorcioDespesas[[#This Row],[Data-base]])</f>
        <v>2023</v>
      </c>
      <c r="L126">
        <f>MONTH(ConsorcioDespesas[[#This Row],[Data-base]])</f>
        <v>8</v>
      </c>
      <c r="M126" t="str">
        <f>TEXT(ConsorcioDespesas[[#This Row],[NDO]],"000000000000")</f>
        <v>339039000000</v>
      </c>
    </row>
    <row r="127" spans="1:13" x14ac:dyDescent="0.25">
      <c r="A127" t="s">
        <v>85</v>
      </c>
      <c r="B127" s="111">
        <v>45169</v>
      </c>
      <c r="C127">
        <v>4</v>
      </c>
      <c r="D127">
        <v>122</v>
      </c>
      <c r="E127" s="169">
        <v>339039570000</v>
      </c>
      <c r="F127" s="110">
        <v>113</v>
      </c>
      <c r="G127" s="110">
        <v>113</v>
      </c>
      <c r="H127" s="110">
        <v>168.13</v>
      </c>
      <c r="I127" t="str">
        <f>TEXT(ConsorcioDespesas[[#This Row],[NDO]],"000000000000")</f>
        <v>339039570000</v>
      </c>
      <c r="J127">
        <f>_xlfn.SWITCH(MONTH(ConsorcioDespesas[[#This Row],[Data-base]]),1,1,2,1,3,2,4,2,5,3,6,3,7,4,8,4,9,5,10,5,11,6,12,6)</f>
        <v>4</v>
      </c>
      <c r="K127">
        <f>YEAR(ConsorcioDespesas[[#This Row],[Data-base]])</f>
        <v>2023</v>
      </c>
      <c r="L127">
        <f>MONTH(ConsorcioDespesas[[#This Row],[Data-base]])</f>
        <v>8</v>
      </c>
      <c r="M127" t="str">
        <f>TEXT(ConsorcioDespesas[[#This Row],[NDO]],"000000000000")</f>
        <v>339039570000</v>
      </c>
    </row>
    <row r="128" spans="1:13" x14ac:dyDescent="0.25">
      <c r="A128" t="s">
        <v>85</v>
      </c>
      <c r="B128" s="111">
        <v>45169</v>
      </c>
      <c r="C128">
        <v>4</v>
      </c>
      <c r="D128">
        <v>122</v>
      </c>
      <c r="E128" s="169">
        <v>339039990100</v>
      </c>
      <c r="F128" s="110">
        <v>108.98</v>
      </c>
      <c r="G128" s="110">
        <v>108.98</v>
      </c>
      <c r="H128" s="110">
        <v>108.98</v>
      </c>
      <c r="I128" t="str">
        <f>TEXT(ConsorcioDespesas[[#This Row],[NDO]],"000000000000")</f>
        <v>339039990100</v>
      </c>
      <c r="J128">
        <f>_xlfn.SWITCH(MONTH(ConsorcioDespesas[[#This Row],[Data-base]]),1,1,2,1,3,2,4,2,5,3,6,3,7,4,8,4,9,5,10,5,11,6,12,6)</f>
        <v>4</v>
      </c>
      <c r="K128">
        <f>YEAR(ConsorcioDespesas[[#This Row],[Data-base]])</f>
        <v>2023</v>
      </c>
      <c r="L128">
        <f>MONTH(ConsorcioDespesas[[#This Row],[Data-base]])</f>
        <v>8</v>
      </c>
      <c r="M128" t="str">
        <f>TEXT(ConsorcioDespesas[[#This Row],[NDO]],"000000000000")</f>
        <v>339039990100</v>
      </c>
    </row>
    <row r="129" spans="1:13" x14ac:dyDescent="0.25">
      <c r="A129" t="s">
        <v>85</v>
      </c>
      <c r="B129" s="111">
        <v>45169</v>
      </c>
      <c r="C129">
        <v>4</v>
      </c>
      <c r="D129">
        <v>122</v>
      </c>
      <c r="E129" s="169">
        <v>339046010100</v>
      </c>
      <c r="F129" s="110">
        <v>53.48</v>
      </c>
      <c r="G129" s="110">
        <v>53.48</v>
      </c>
      <c r="H129" s="110">
        <v>53.48</v>
      </c>
      <c r="I129" t="str">
        <f>TEXT(ConsorcioDespesas[[#This Row],[NDO]],"000000000000")</f>
        <v>339046010100</v>
      </c>
      <c r="J129">
        <f>_xlfn.SWITCH(MONTH(ConsorcioDespesas[[#This Row],[Data-base]]),1,1,2,1,3,2,4,2,5,3,6,3,7,4,8,4,9,5,10,5,11,6,12,6)</f>
        <v>4</v>
      </c>
      <c r="K129">
        <f>YEAR(ConsorcioDespesas[[#This Row],[Data-base]])</f>
        <v>2023</v>
      </c>
      <c r="L129">
        <f>MONTH(ConsorcioDespesas[[#This Row],[Data-base]])</f>
        <v>8</v>
      </c>
      <c r="M129" t="str">
        <f>TEXT(ConsorcioDespesas[[#This Row],[NDO]],"000000000000")</f>
        <v>339046010100</v>
      </c>
    </row>
    <row r="130" spans="1:13" x14ac:dyDescent="0.25">
      <c r="A130" t="s">
        <v>85</v>
      </c>
      <c r="B130" s="111">
        <v>45169</v>
      </c>
      <c r="C130">
        <v>4</v>
      </c>
      <c r="D130">
        <v>122</v>
      </c>
      <c r="E130" s="169">
        <v>339049010000</v>
      </c>
      <c r="F130" s="110">
        <v>3.91</v>
      </c>
      <c r="G130" s="110">
        <v>3.91</v>
      </c>
      <c r="H130" s="110">
        <v>3.91</v>
      </c>
      <c r="I130" t="str">
        <f>TEXT(ConsorcioDespesas[[#This Row],[NDO]],"000000000000")</f>
        <v>339049010000</v>
      </c>
      <c r="J130">
        <f>_xlfn.SWITCH(MONTH(ConsorcioDespesas[[#This Row],[Data-base]]),1,1,2,1,3,2,4,2,5,3,6,3,7,4,8,4,9,5,10,5,11,6,12,6)</f>
        <v>4</v>
      </c>
      <c r="K130">
        <f>YEAR(ConsorcioDespesas[[#This Row],[Data-base]])</f>
        <v>2023</v>
      </c>
      <c r="L130">
        <f>MONTH(ConsorcioDespesas[[#This Row],[Data-base]])</f>
        <v>8</v>
      </c>
      <c r="M130" t="str">
        <f>TEXT(ConsorcioDespesas[[#This Row],[NDO]],"000000000000")</f>
        <v>339049010000</v>
      </c>
    </row>
    <row r="131" spans="1:13" x14ac:dyDescent="0.25">
      <c r="A131" t="s">
        <v>85</v>
      </c>
      <c r="B131" s="111">
        <v>45169</v>
      </c>
      <c r="C131">
        <v>4</v>
      </c>
      <c r="D131">
        <v>122</v>
      </c>
      <c r="E131" s="169">
        <v>339047000000</v>
      </c>
      <c r="F131" s="110">
        <v>0</v>
      </c>
      <c r="G131" s="110">
        <v>0</v>
      </c>
      <c r="H131" s="110">
        <v>0</v>
      </c>
      <c r="I131" t="str">
        <f>TEXT(ConsorcioDespesas[[#This Row],[NDO]],"000000000000")</f>
        <v>339047000000</v>
      </c>
      <c r="J131">
        <f>_xlfn.SWITCH(MONTH(ConsorcioDespesas[[#This Row],[Data-base]]),1,1,2,1,3,2,4,2,5,3,6,3,7,4,8,4,9,5,10,5,11,6,12,6)</f>
        <v>4</v>
      </c>
      <c r="K131">
        <f>YEAR(ConsorcioDespesas[[#This Row],[Data-base]])</f>
        <v>2023</v>
      </c>
      <c r="L131">
        <f>MONTH(ConsorcioDespesas[[#This Row],[Data-base]])</f>
        <v>8</v>
      </c>
      <c r="M131" t="str">
        <f>TEXT(ConsorcioDespesas[[#This Row],[NDO]],"000000000000")</f>
        <v>339047000000</v>
      </c>
    </row>
    <row r="132" spans="1:13" x14ac:dyDescent="0.25">
      <c r="A132" t="s">
        <v>85</v>
      </c>
      <c r="B132" s="111">
        <v>45169</v>
      </c>
      <c r="C132">
        <v>4</v>
      </c>
      <c r="D132">
        <v>122</v>
      </c>
      <c r="E132" s="169">
        <v>449052000000</v>
      </c>
      <c r="F132" s="110">
        <v>0</v>
      </c>
      <c r="G132" s="110">
        <v>0</v>
      </c>
      <c r="H132" s="110">
        <v>0</v>
      </c>
      <c r="I132" t="str">
        <f>TEXT(ConsorcioDespesas[[#This Row],[NDO]],"000000000000")</f>
        <v>449052000000</v>
      </c>
      <c r="J132">
        <f>_xlfn.SWITCH(MONTH(ConsorcioDespesas[[#This Row],[Data-base]]),1,1,2,1,3,2,4,2,5,3,6,3,7,4,8,4,9,5,10,5,11,6,12,6)</f>
        <v>4</v>
      </c>
      <c r="K132">
        <f>YEAR(ConsorcioDespesas[[#This Row],[Data-base]])</f>
        <v>2023</v>
      </c>
      <c r="L132">
        <f>MONTH(ConsorcioDespesas[[#This Row],[Data-base]])</f>
        <v>8</v>
      </c>
      <c r="M132" t="str">
        <f>TEXT(ConsorcioDespesas[[#This Row],[NDO]],"000000000000")</f>
        <v>449052000000</v>
      </c>
    </row>
    <row r="133" spans="1:13" x14ac:dyDescent="0.25">
      <c r="A133" t="s">
        <v>85</v>
      </c>
      <c r="B133" s="111">
        <v>45169</v>
      </c>
      <c r="C133">
        <v>10</v>
      </c>
      <c r="D133">
        <v>302</v>
      </c>
      <c r="E133" s="169">
        <v>334041390500</v>
      </c>
      <c r="F133" s="110">
        <v>8742.48</v>
      </c>
      <c r="G133" s="110">
        <v>8742.48</v>
      </c>
      <c r="H133" s="110">
        <v>17484.96</v>
      </c>
      <c r="I133" t="str">
        <f>TEXT(ConsorcioDespesas[[#This Row],[NDO]],"000000000000")</f>
        <v>334041390500</v>
      </c>
      <c r="J133">
        <f>_xlfn.SWITCH(MONTH(ConsorcioDespesas[[#This Row],[Data-base]]),1,1,2,1,3,2,4,2,5,3,6,3,7,4,8,4,9,5,10,5,11,6,12,6)</f>
        <v>4</v>
      </c>
      <c r="K133">
        <f>YEAR(ConsorcioDespesas[[#This Row],[Data-base]])</f>
        <v>2023</v>
      </c>
      <c r="L133">
        <f>MONTH(ConsorcioDespesas[[#This Row],[Data-base]])</f>
        <v>8</v>
      </c>
      <c r="M133" t="str">
        <f>TEXT(ConsorcioDespesas[[#This Row],[NDO]],"000000000000")</f>
        <v>334041390500</v>
      </c>
    </row>
    <row r="134" spans="1:13" x14ac:dyDescent="0.25">
      <c r="A134" t="s">
        <v>85</v>
      </c>
      <c r="B134" s="111">
        <v>45169</v>
      </c>
      <c r="C134">
        <v>10</v>
      </c>
      <c r="D134">
        <v>122</v>
      </c>
      <c r="E134" s="169">
        <v>334041391100</v>
      </c>
      <c r="F134" s="110">
        <v>626.91999999999996</v>
      </c>
      <c r="G134" s="110">
        <v>626.91999999999996</v>
      </c>
      <c r="H134" s="110">
        <v>1253.8399999999999</v>
      </c>
      <c r="I134" t="str">
        <f>TEXT(ConsorcioDespesas[[#This Row],[NDO]],"000000000000")</f>
        <v>334041391100</v>
      </c>
      <c r="J134">
        <f>_xlfn.SWITCH(MONTH(ConsorcioDespesas[[#This Row],[Data-base]]),1,1,2,1,3,2,4,2,5,3,6,3,7,4,8,4,9,5,10,5,11,6,12,6)</f>
        <v>4</v>
      </c>
      <c r="K134">
        <f>YEAR(ConsorcioDespesas[[#This Row],[Data-base]])</f>
        <v>2023</v>
      </c>
      <c r="L134">
        <f>MONTH(ConsorcioDespesas[[#This Row],[Data-base]])</f>
        <v>8</v>
      </c>
      <c r="M134" t="str">
        <f>TEXT(ConsorcioDespesas[[#This Row],[NDO]],"000000000000")</f>
        <v>334041391100</v>
      </c>
    </row>
    <row r="135" spans="1:13" x14ac:dyDescent="0.25">
      <c r="A135" t="s">
        <v>85</v>
      </c>
      <c r="B135" s="111">
        <v>45169</v>
      </c>
      <c r="C135">
        <v>10</v>
      </c>
      <c r="D135">
        <v>122</v>
      </c>
      <c r="E135" s="169">
        <v>334041391000</v>
      </c>
      <c r="F135" s="110">
        <v>874.88</v>
      </c>
      <c r="G135" s="110">
        <v>874.88</v>
      </c>
      <c r="H135" s="110">
        <v>1749.76</v>
      </c>
      <c r="I135" t="str">
        <f>TEXT(ConsorcioDespesas[[#This Row],[NDO]],"000000000000")</f>
        <v>334041391000</v>
      </c>
      <c r="J135">
        <f>_xlfn.SWITCH(MONTH(ConsorcioDespesas[[#This Row],[Data-base]]),1,1,2,1,3,2,4,2,5,3,6,3,7,4,8,4,9,5,10,5,11,6,12,6)</f>
        <v>4</v>
      </c>
      <c r="K135">
        <f>YEAR(ConsorcioDespesas[[#This Row],[Data-base]])</f>
        <v>2023</v>
      </c>
      <c r="L135">
        <f>MONTH(ConsorcioDespesas[[#This Row],[Data-base]])</f>
        <v>8</v>
      </c>
      <c r="M135" t="str">
        <f>TEXT(ConsorcioDespesas[[#This Row],[NDO]],"000000000000")</f>
        <v>334041391000</v>
      </c>
    </row>
    <row r="136" spans="1:13" x14ac:dyDescent="0.25">
      <c r="A136" t="s">
        <v>85</v>
      </c>
      <c r="B136" s="111">
        <v>45199</v>
      </c>
      <c r="C136">
        <v>4</v>
      </c>
      <c r="D136">
        <v>122</v>
      </c>
      <c r="E136" s="169">
        <v>319011010100</v>
      </c>
      <c r="F136" s="110">
        <v>927.14</v>
      </c>
      <c r="G136" s="110">
        <v>927.14</v>
      </c>
      <c r="H136" s="110">
        <v>927.14</v>
      </c>
      <c r="I136" t="str">
        <f>TEXT(ConsorcioDespesas[[#This Row],[NDO]],"000000000000")</f>
        <v>319011010100</v>
      </c>
      <c r="J136">
        <f>_xlfn.SWITCH(MONTH(ConsorcioDespesas[[#This Row],[Data-base]]),1,1,2,1,3,2,4,2,5,3,6,3,7,4,8,4,9,5,10,5,11,6,12,6)</f>
        <v>5</v>
      </c>
      <c r="K136">
        <f>YEAR(ConsorcioDespesas[[#This Row],[Data-base]])</f>
        <v>2023</v>
      </c>
      <c r="L136">
        <f>MONTH(ConsorcioDespesas[[#This Row],[Data-base]])</f>
        <v>9</v>
      </c>
      <c r="M136" t="str">
        <f>TEXT(ConsorcioDespesas[[#This Row],[NDO]],"000000000000")</f>
        <v>319011010100</v>
      </c>
    </row>
    <row r="137" spans="1:13" x14ac:dyDescent="0.25">
      <c r="A137" t="s">
        <v>85</v>
      </c>
      <c r="B137" s="111">
        <v>45199</v>
      </c>
      <c r="C137">
        <v>4</v>
      </c>
      <c r="D137">
        <v>122</v>
      </c>
      <c r="E137" s="169">
        <v>319013010100</v>
      </c>
      <c r="F137" s="110">
        <v>74.17</v>
      </c>
      <c r="G137" s="110">
        <v>74.17</v>
      </c>
      <c r="H137" s="110">
        <v>74.17</v>
      </c>
      <c r="I137" t="str">
        <f>TEXT(ConsorcioDespesas[[#This Row],[NDO]],"000000000000")</f>
        <v>319013010100</v>
      </c>
      <c r="J137">
        <f>_xlfn.SWITCH(MONTH(ConsorcioDespesas[[#This Row],[Data-base]]),1,1,2,1,3,2,4,2,5,3,6,3,7,4,8,4,9,5,10,5,11,6,12,6)</f>
        <v>5</v>
      </c>
      <c r="K137">
        <f>YEAR(ConsorcioDespesas[[#This Row],[Data-base]])</f>
        <v>2023</v>
      </c>
      <c r="L137">
        <f>MONTH(ConsorcioDespesas[[#This Row],[Data-base]])</f>
        <v>9</v>
      </c>
      <c r="M137" t="str">
        <f>TEXT(ConsorcioDespesas[[#This Row],[NDO]],"000000000000")</f>
        <v>319013010100</v>
      </c>
    </row>
    <row r="138" spans="1:13" x14ac:dyDescent="0.25">
      <c r="A138" t="s">
        <v>85</v>
      </c>
      <c r="B138" s="111">
        <v>45199</v>
      </c>
      <c r="C138">
        <v>4</v>
      </c>
      <c r="D138">
        <v>122</v>
      </c>
      <c r="E138" s="169">
        <v>319013020100</v>
      </c>
      <c r="F138" s="110">
        <v>194.7</v>
      </c>
      <c r="G138" s="110">
        <v>194.7</v>
      </c>
      <c r="H138" s="110">
        <v>194.7</v>
      </c>
      <c r="I138" t="str">
        <f>TEXT(ConsorcioDespesas[[#This Row],[NDO]],"000000000000")</f>
        <v>319013020100</v>
      </c>
      <c r="J138">
        <f>_xlfn.SWITCH(MONTH(ConsorcioDespesas[[#This Row],[Data-base]]),1,1,2,1,3,2,4,2,5,3,6,3,7,4,8,4,9,5,10,5,11,6,12,6)</f>
        <v>5</v>
      </c>
      <c r="K138">
        <f>YEAR(ConsorcioDespesas[[#This Row],[Data-base]])</f>
        <v>2023</v>
      </c>
      <c r="L138">
        <f>MONTH(ConsorcioDespesas[[#This Row],[Data-base]])</f>
        <v>9</v>
      </c>
      <c r="M138" t="str">
        <f>TEXT(ConsorcioDespesas[[#This Row],[NDO]],"000000000000")</f>
        <v>319013020100</v>
      </c>
    </row>
    <row r="139" spans="1:13" x14ac:dyDescent="0.25">
      <c r="A139" t="s">
        <v>85</v>
      </c>
      <c r="B139" s="111">
        <v>45199</v>
      </c>
      <c r="C139">
        <v>4</v>
      </c>
      <c r="D139">
        <v>122</v>
      </c>
      <c r="E139" s="169">
        <v>339014140000</v>
      </c>
      <c r="F139" s="110">
        <v>0</v>
      </c>
      <c r="G139" s="110">
        <v>0</v>
      </c>
      <c r="H139" s="110">
        <v>0</v>
      </c>
      <c r="I139" t="str">
        <f>TEXT(ConsorcioDespesas[[#This Row],[NDO]],"000000000000")</f>
        <v>339014140000</v>
      </c>
      <c r="J139">
        <f>_xlfn.SWITCH(MONTH(ConsorcioDespesas[[#This Row],[Data-base]]),1,1,2,1,3,2,4,2,5,3,6,3,7,4,8,4,9,5,10,5,11,6,12,6)</f>
        <v>5</v>
      </c>
      <c r="K139">
        <f>YEAR(ConsorcioDespesas[[#This Row],[Data-base]])</f>
        <v>2023</v>
      </c>
      <c r="L139">
        <f>MONTH(ConsorcioDespesas[[#This Row],[Data-base]])</f>
        <v>9</v>
      </c>
      <c r="M139" t="str">
        <f>TEXT(ConsorcioDespesas[[#This Row],[NDO]],"000000000000")</f>
        <v>339014140000</v>
      </c>
    </row>
    <row r="140" spans="1:13" x14ac:dyDescent="0.25">
      <c r="A140" t="s">
        <v>85</v>
      </c>
      <c r="B140" s="111">
        <v>45199</v>
      </c>
      <c r="C140">
        <v>4</v>
      </c>
      <c r="D140">
        <v>122</v>
      </c>
      <c r="E140" s="169">
        <v>339030000000</v>
      </c>
      <c r="F140" s="110">
        <v>29.16</v>
      </c>
      <c r="G140" s="110">
        <v>29.16</v>
      </c>
      <c r="H140" s="110">
        <v>29.16</v>
      </c>
      <c r="I140" t="str">
        <f>TEXT(ConsorcioDespesas[[#This Row],[NDO]],"000000000000")</f>
        <v>339030000000</v>
      </c>
      <c r="J140">
        <f>_xlfn.SWITCH(MONTH(ConsorcioDespesas[[#This Row],[Data-base]]),1,1,2,1,3,2,4,2,5,3,6,3,7,4,8,4,9,5,10,5,11,6,12,6)</f>
        <v>5</v>
      </c>
      <c r="K140">
        <f>YEAR(ConsorcioDespesas[[#This Row],[Data-base]])</f>
        <v>2023</v>
      </c>
      <c r="L140">
        <f>MONTH(ConsorcioDespesas[[#This Row],[Data-base]])</f>
        <v>9</v>
      </c>
      <c r="M140" t="str">
        <f>TEXT(ConsorcioDespesas[[#This Row],[NDO]],"000000000000")</f>
        <v>339030000000</v>
      </c>
    </row>
    <row r="141" spans="1:13" x14ac:dyDescent="0.25">
      <c r="A141" t="s">
        <v>85</v>
      </c>
      <c r="B141" s="111">
        <v>45199</v>
      </c>
      <c r="C141">
        <v>4</v>
      </c>
      <c r="D141">
        <v>122</v>
      </c>
      <c r="E141" s="169">
        <v>339033010000</v>
      </c>
      <c r="F141" s="110">
        <v>0</v>
      </c>
      <c r="G141" s="110">
        <v>0</v>
      </c>
      <c r="H141" s="110">
        <v>0</v>
      </c>
      <c r="I141" t="str">
        <f>TEXT(ConsorcioDespesas[[#This Row],[NDO]],"000000000000")</f>
        <v>339033010000</v>
      </c>
      <c r="J141">
        <f>_xlfn.SWITCH(MONTH(ConsorcioDespesas[[#This Row],[Data-base]]),1,1,2,1,3,2,4,2,5,3,6,3,7,4,8,4,9,5,10,5,11,6,12,6)</f>
        <v>5</v>
      </c>
      <c r="K141">
        <f>YEAR(ConsorcioDespesas[[#This Row],[Data-base]])</f>
        <v>2023</v>
      </c>
      <c r="L141">
        <f>MONTH(ConsorcioDespesas[[#This Row],[Data-base]])</f>
        <v>9</v>
      </c>
      <c r="M141" t="str">
        <f>TEXT(ConsorcioDespesas[[#This Row],[NDO]],"000000000000")</f>
        <v>339033010000</v>
      </c>
    </row>
    <row r="142" spans="1:13" x14ac:dyDescent="0.25">
      <c r="A142" t="s">
        <v>85</v>
      </c>
      <c r="B142" s="111">
        <v>45199</v>
      </c>
      <c r="C142">
        <v>4</v>
      </c>
      <c r="D142">
        <v>122</v>
      </c>
      <c r="E142" s="169">
        <v>339036000000</v>
      </c>
      <c r="F142" s="110">
        <v>0</v>
      </c>
      <c r="G142" s="110">
        <v>0</v>
      </c>
      <c r="H142" s="110">
        <v>0</v>
      </c>
      <c r="I142" t="str">
        <f>TEXT(ConsorcioDespesas[[#This Row],[NDO]],"000000000000")</f>
        <v>339036000000</v>
      </c>
      <c r="J142">
        <f>_xlfn.SWITCH(MONTH(ConsorcioDespesas[[#This Row],[Data-base]]),1,1,2,1,3,2,4,2,5,3,6,3,7,4,8,4,9,5,10,5,11,6,12,6)</f>
        <v>5</v>
      </c>
      <c r="K142">
        <f>YEAR(ConsorcioDespesas[[#This Row],[Data-base]])</f>
        <v>2023</v>
      </c>
      <c r="L142">
        <f>MONTH(ConsorcioDespesas[[#This Row],[Data-base]])</f>
        <v>9</v>
      </c>
      <c r="M142" t="str">
        <f>TEXT(ConsorcioDespesas[[#This Row],[NDO]],"000000000000")</f>
        <v>339036000000</v>
      </c>
    </row>
    <row r="143" spans="1:13" x14ac:dyDescent="0.25">
      <c r="A143" t="s">
        <v>85</v>
      </c>
      <c r="B143" s="111">
        <v>45199</v>
      </c>
      <c r="C143">
        <v>4</v>
      </c>
      <c r="D143">
        <v>122</v>
      </c>
      <c r="E143" s="169">
        <v>339039000000</v>
      </c>
      <c r="F143" s="110">
        <v>40.15</v>
      </c>
      <c r="G143" s="110">
        <v>40.15</v>
      </c>
      <c r="H143" s="110">
        <v>40.15</v>
      </c>
      <c r="I143" t="str">
        <f>TEXT(ConsorcioDespesas[[#This Row],[NDO]],"000000000000")</f>
        <v>339039000000</v>
      </c>
      <c r="J143">
        <f>_xlfn.SWITCH(MONTH(ConsorcioDespesas[[#This Row],[Data-base]]),1,1,2,1,3,2,4,2,5,3,6,3,7,4,8,4,9,5,10,5,11,6,12,6)</f>
        <v>5</v>
      </c>
      <c r="K143">
        <f>YEAR(ConsorcioDespesas[[#This Row],[Data-base]])</f>
        <v>2023</v>
      </c>
      <c r="L143">
        <f>MONTH(ConsorcioDespesas[[#This Row],[Data-base]])</f>
        <v>9</v>
      </c>
      <c r="M143" t="str">
        <f>TEXT(ConsorcioDespesas[[#This Row],[NDO]],"000000000000")</f>
        <v>339039000000</v>
      </c>
    </row>
    <row r="144" spans="1:13" x14ac:dyDescent="0.25">
      <c r="A144" t="s">
        <v>85</v>
      </c>
      <c r="B144" s="111">
        <v>45199</v>
      </c>
      <c r="C144">
        <v>4</v>
      </c>
      <c r="D144">
        <v>122</v>
      </c>
      <c r="E144" s="169">
        <v>339039570000</v>
      </c>
      <c r="F144" s="110">
        <v>64.260000000000005</v>
      </c>
      <c r="G144" s="110">
        <v>64.260000000000005</v>
      </c>
      <c r="H144" s="110">
        <v>64.260000000000005</v>
      </c>
      <c r="I144" t="str">
        <f>TEXT(ConsorcioDespesas[[#This Row],[NDO]],"000000000000")</f>
        <v>339039570000</v>
      </c>
      <c r="J144">
        <f>_xlfn.SWITCH(MONTH(ConsorcioDespesas[[#This Row],[Data-base]]),1,1,2,1,3,2,4,2,5,3,6,3,7,4,8,4,9,5,10,5,11,6,12,6)</f>
        <v>5</v>
      </c>
      <c r="K144">
        <f>YEAR(ConsorcioDespesas[[#This Row],[Data-base]])</f>
        <v>2023</v>
      </c>
      <c r="L144">
        <f>MONTH(ConsorcioDespesas[[#This Row],[Data-base]])</f>
        <v>9</v>
      </c>
      <c r="M144" t="str">
        <f>TEXT(ConsorcioDespesas[[#This Row],[NDO]],"000000000000")</f>
        <v>339039570000</v>
      </c>
    </row>
    <row r="145" spans="1:13" x14ac:dyDescent="0.25">
      <c r="A145" t="s">
        <v>85</v>
      </c>
      <c r="B145" s="111">
        <v>45199</v>
      </c>
      <c r="C145">
        <v>4</v>
      </c>
      <c r="D145">
        <v>122</v>
      </c>
      <c r="E145" s="169">
        <v>339039990100</v>
      </c>
      <c r="F145" s="110">
        <v>108.98</v>
      </c>
      <c r="G145" s="110">
        <v>108.98</v>
      </c>
      <c r="H145" s="110">
        <v>108.98</v>
      </c>
      <c r="I145" t="str">
        <f>TEXT(ConsorcioDespesas[[#This Row],[NDO]],"000000000000")</f>
        <v>339039990100</v>
      </c>
      <c r="J145">
        <f>_xlfn.SWITCH(MONTH(ConsorcioDespesas[[#This Row],[Data-base]]),1,1,2,1,3,2,4,2,5,3,6,3,7,4,8,4,9,5,10,5,11,6,12,6)</f>
        <v>5</v>
      </c>
      <c r="K145">
        <f>YEAR(ConsorcioDespesas[[#This Row],[Data-base]])</f>
        <v>2023</v>
      </c>
      <c r="L145">
        <f>MONTH(ConsorcioDespesas[[#This Row],[Data-base]])</f>
        <v>9</v>
      </c>
      <c r="M145" t="str">
        <f>TEXT(ConsorcioDespesas[[#This Row],[NDO]],"000000000000")</f>
        <v>339039990100</v>
      </c>
    </row>
    <row r="146" spans="1:13" x14ac:dyDescent="0.25">
      <c r="A146" t="s">
        <v>85</v>
      </c>
      <c r="B146" s="111">
        <v>45199</v>
      </c>
      <c r="C146">
        <v>4</v>
      </c>
      <c r="D146">
        <v>122</v>
      </c>
      <c r="E146" s="169">
        <v>339046010100</v>
      </c>
      <c r="F146" s="110">
        <v>53.48</v>
      </c>
      <c r="G146" s="110">
        <v>53.48</v>
      </c>
      <c r="H146" s="110">
        <v>53.48</v>
      </c>
      <c r="I146" t="str">
        <f>TEXT(ConsorcioDespesas[[#This Row],[NDO]],"000000000000")</f>
        <v>339046010100</v>
      </c>
      <c r="J146">
        <f>_xlfn.SWITCH(MONTH(ConsorcioDespesas[[#This Row],[Data-base]]),1,1,2,1,3,2,4,2,5,3,6,3,7,4,8,4,9,5,10,5,11,6,12,6)</f>
        <v>5</v>
      </c>
      <c r="K146">
        <f>YEAR(ConsorcioDespesas[[#This Row],[Data-base]])</f>
        <v>2023</v>
      </c>
      <c r="L146">
        <f>MONTH(ConsorcioDespesas[[#This Row],[Data-base]])</f>
        <v>9</v>
      </c>
      <c r="M146" t="str">
        <f>TEXT(ConsorcioDespesas[[#This Row],[NDO]],"000000000000")</f>
        <v>339046010100</v>
      </c>
    </row>
    <row r="147" spans="1:13" x14ac:dyDescent="0.25">
      <c r="A147" t="s">
        <v>85</v>
      </c>
      <c r="B147" s="111">
        <v>45199</v>
      </c>
      <c r="C147">
        <v>4</v>
      </c>
      <c r="D147">
        <v>122</v>
      </c>
      <c r="E147" s="169">
        <v>339049010000</v>
      </c>
      <c r="F147" s="110">
        <v>3.91</v>
      </c>
      <c r="G147" s="110">
        <v>3.91</v>
      </c>
      <c r="H147" s="110">
        <v>3.91</v>
      </c>
      <c r="I147" t="str">
        <f>TEXT(ConsorcioDespesas[[#This Row],[NDO]],"000000000000")</f>
        <v>339049010000</v>
      </c>
      <c r="J147">
        <f>_xlfn.SWITCH(MONTH(ConsorcioDespesas[[#This Row],[Data-base]]),1,1,2,1,3,2,4,2,5,3,6,3,7,4,8,4,9,5,10,5,11,6,12,6)</f>
        <v>5</v>
      </c>
      <c r="K147">
        <f>YEAR(ConsorcioDespesas[[#This Row],[Data-base]])</f>
        <v>2023</v>
      </c>
      <c r="L147">
        <f>MONTH(ConsorcioDespesas[[#This Row],[Data-base]])</f>
        <v>9</v>
      </c>
      <c r="M147" t="str">
        <f>TEXT(ConsorcioDespesas[[#This Row],[NDO]],"000000000000")</f>
        <v>339049010000</v>
      </c>
    </row>
    <row r="148" spans="1:13" x14ac:dyDescent="0.25">
      <c r="A148" t="s">
        <v>85</v>
      </c>
      <c r="B148" s="111">
        <v>45199</v>
      </c>
      <c r="C148">
        <v>4</v>
      </c>
      <c r="D148">
        <v>122</v>
      </c>
      <c r="E148" s="169">
        <v>339047000000</v>
      </c>
      <c r="F148" s="110">
        <v>0</v>
      </c>
      <c r="G148" s="110">
        <v>0</v>
      </c>
      <c r="H148" s="110">
        <v>0</v>
      </c>
      <c r="I148" t="str">
        <f>TEXT(ConsorcioDespesas[[#This Row],[NDO]],"000000000000")</f>
        <v>339047000000</v>
      </c>
      <c r="J148">
        <f>_xlfn.SWITCH(MONTH(ConsorcioDespesas[[#This Row],[Data-base]]),1,1,2,1,3,2,4,2,5,3,6,3,7,4,8,4,9,5,10,5,11,6,12,6)</f>
        <v>5</v>
      </c>
      <c r="K148">
        <f>YEAR(ConsorcioDespesas[[#This Row],[Data-base]])</f>
        <v>2023</v>
      </c>
      <c r="L148">
        <f>MONTH(ConsorcioDespesas[[#This Row],[Data-base]])</f>
        <v>9</v>
      </c>
      <c r="M148" t="str">
        <f>TEXT(ConsorcioDespesas[[#This Row],[NDO]],"000000000000")</f>
        <v>339047000000</v>
      </c>
    </row>
    <row r="149" spans="1:13" x14ac:dyDescent="0.25">
      <c r="A149" t="s">
        <v>85</v>
      </c>
      <c r="B149" s="111">
        <v>45199</v>
      </c>
      <c r="C149">
        <v>4</v>
      </c>
      <c r="D149">
        <v>122</v>
      </c>
      <c r="E149" s="169">
        <v>449052000000</v>
      </c>
      <c r="F149" s="110">
        <v>0</v>
      </c>
      <c r="G149" s="110">
        <v>0</v>
      </c>
      <c r="H149" s="110">
        <v>0</v>
      </c>
      <c r="I149" t="str">
        <f>TEXT(ConsorcioDespesas[[#This Row],[NDO]],"000000000000")</f>
        <v>449052000000</v>
      </c>
      <c r="J149">
        <f>_xlfn.SWITCH(MONTH(ConsorcioDespesas[[#This Row],[Data-base]]),1,1,2,1,3,2,4,2,5,3,6,3,7,4,8,4,9,5,10,5,11,6,12,6)</f>
        <v>5</v>
      </c>
      <c r="K149">
        <f>YEAR(ConsorcioDespesas[[#This Row],[Data-base]])</f>
        <v>2023</v>
      </c>
      <c r="L149">
        <f>MONTH(ConsorcioDespesas[[#This Row],[Data-base]])</f>
        <v>9</v>
      </c>
      <c r="M149" t="str">
        <f>TEXT(ConsorcioDespesas[[#This Row],[NDO]],"000000000000")</f>
        <v>449052000000</v>
      </c>
    </row>
    <row r="150" spans="1:13" x14ac:dyDescent="0.25">
      <c r="A150" t="s">
        <v>85</v>
      </c>
      <c r="B150" s="111">
        <v>45199</v>
      </c>
      <c r="C150">
        <v>10</v>
      </c>
      <c r="D150">
        <v>302</v>
      </c>
      <c r="E150" s="169">
        <v>334041390500</v>
      </c>
      <c r="F150" s="110">
        <v>8742.48</v>
      </c>
      <c r="G150" s="110">
        <v>8742.48</v>
      </c>
      <c r="H150" s="110">
        <v>17484.96</v>
      </c>
      <c r="I150" t="str">
        <f>TEXT(ConsorcioDespesas[[#This Row],[NDO]],"000000000000")</f>
        <v>334041390500</v>
      </c>
      <c r="J150">
        <f>_xlfn.SWITCH(MONTH(ConsorcioDespesas[[#This Row],[Data-base]]),1,1,2,1,3,2,4,2,5,3,6,3,7,4,8,4,9,5,10,5,11,6,12,6)</f>
        <v>5</v>
      </c>
      <c r="K150">
        <f>YEAR(ConsorcioDespesas[[#This Row],[Data-base]])</f>
        <v>2023</v>
      </c>
      <c r="L150">
        <f>MONTH(ConsorcioDespesas[[#This Row],[Data-base]])</f>
        <v>9</v>
      </c>
      <c r="M150" t="str">
        <f>TEXT(ConsorcioDespesas[[#This Row],[NDO]],"000000000000")</f>
        <v>334041390500</v>
      </c>
    </row>
    <row r="151" spans="1:13" x14ac:dyDescent="0.25">
      <c r="A151" t="s">
        <v>85</v>
      </c>
      <c r="B151" s="111">
        <v>45199</v>
      </c>
      <c r="C151">
        <v>10</v>
      </c>
      <c r="D151">
        <v>122</v>
      </c>
      <c r="E151" s="169">
        <v>334041391100</v>
      </c>
      <c r="F151" s="110">
        <v>626.91999999999996</v>
      </c>
      <c r="G151" s="110">
        <v>626.91999999999996</v>
      </c>
      <c r="H151" s="110">
        <v>1253.8399999999999</v>
      </c>
      <c r="I151" t="str">
        <f>TEXT(ConsorcioDespesas[[#This Row],[NDO]],"000000000000")</f>
        <v>334041391100</v>
      </c>
      <c r="J151">
        <f>_xlfn.SWITCH(MONTH(ConsorcioDespesas[[#This Row],[Data-base]]),1,1,2,1,3,2,4,2,5,3,6,3,7,4,8,4,9,5,10,5,11,6,12,6)</f>
        <v>5</v>
      </c>
      <c r="K151">
        <f>YEAR(ConsorcioDespesas[[#This Row],[Data-base]])</f>
        <v>2023</v>
      </c>
      <c r="L151">
        <f>MONTH(ConsorcioDespesas[[#This Row],[Data-base]])</f>
        <v>9</v>
      </c>
      <c r="M151" t="str">
        <f>TEXT(ConsorcioDespesas[[#This Row],[NDO]],"000000000000")</f>
        <v>334041391100</v>
      </c>
    </row>
    <row r="152" spans="1:13" x14ac:dyDescent="0.25">
      <c r="A152" t="s">
        <v>85</v>
      </c>
      <c r="B152" s="111">
        <v>45199</v>
      </c>
      <c r="C152">
        <v>10</v>
      </c>
      <c r="D152">
        <v>122</v>
      </c>
      <c r="E152" s="169">
        <v>334041391000</v>
      </c>
      <c r="F152" s="110">
        <v>874.88</v>
      </c>
      <c r="G152" s="110">
        <v>874.88</v>
      </c>
      <c r="H152" s="110">
        <v>1749.76</v>
      </c>
      <c r="I152" t="str">
        <f>TEXT(ConsorcioDespesas[[#This Row],[NDO]],"000000000000")</f>
        <v>334041391000</v>
      </c>
      <c r="J152">
        <f>_xlfn.SWITCH(MONTH(ConsorcioDespesas[[#This Row],[Data-base]]),1,1,2,1,3,2,4,2,5,3,6,3,7,4,8,4,9,5,10,5,11,6,12,6)</f>
        <v>5</v>
      </c>
      <c r="K152">
        <f>YEAR(ConsorcioDespesas[[#This Row],[Data-base]])</f>
        <v>2023</v>
      </c>
      <c r="L152">
        <f>MONTH(ConsorcioDespesas[[#This Row],[Data-base]])</f>
        <v>9</v>
      </c>
      <c r="M152" t="str">
        <f>TEXT(ConsorcioDespesas[[#This Row],[NDO]],"000000000000")</f>
        <v>334041391000</v>
      </c>
    </row>
    <row r="153" spans="1:13" x14ac:dyDescent="0.25">
      <c r="A153" t="s">
        <v>85</v>
      </c>
      <c r="B153" s="111">
        <v>45230</v>
      </c>
      <c r="C153">
        <v>4</v>
      </c>
      <c r="D153">
        <v>122</v>
      </c>
      <c r="E153" s="169">
        <v>319011010100</v>
      </c>
      <c r="F153" s="110">
        <v>894.85</v>
      </c>
      <c r="G153" s="110">
        <v>894.85</v>
      </c>
      <c r="H153" s="110">
        <v>894.85</v>
      </c>
      <c r="I153" t="str">
        <f>TEXT(ConsorcioDespesas[[#This Row],[NDO]],"000000000000")</f>
        <v>319011010100</v>
      </c>
      <c r="J153">
        <f>_xlfn.SWITCH(MONTH(ConsorcioDespesas[[#This Row],[Data-base]]),1,1,2,1,3,2,4,2,5,3,6,3,7,4,8,4,9,5,10,5,11,6,12,6)</f>
        <v>5</v>
      </c>
      <c r="K153">
        <f>YEAR(ConsorcioDespesas[[#This Row],[Data-base]])</f>
        <v>2023</v>
      </c>
      <c r="L153">
        <f>MONTH(ConsorcioDespesas[[#This Row],[Data-base]])</f>
        <v>10</v>
      </c>
      <c r="M153" t="str">
        <f>TEXT(ConsorcioDespesas[[#This Row],[NDO]],"000000000000")</f>
        <v>319011010100</v>
      </c>
    </row>
    <row r="154" spans="1:13" x14ac:dyDescent="0.25">
      <c r="A154" t="s">
        <v>85</v>
      </c>
      <c r="B154" s="111">
        <v>45230</v>
      </c>
      <c r="C154">
        <v>4</v>
      </c>
      <c r="D154">
        <v>122</v>
      </c>
      <c r="E154" s="169">
        <v>319013010100</v>
      </c>
      <c r="F154" s="110">
        <v>71.59</v>
      </c>
      <c r="G154" s="110">
        <v>71.59</v>
      </c>
      <c r="H154" s="110">
        <v>0</v>
      </c>
      <c r="I154" t="str">
        <f>TEXT(ConsorcioDespesas[[#This Row],[NDO]],"000000000000")</f>
        <v>319013010100</v>
      </c>
      <c r="J154">
        <f>_xlfn.SWITCH(MONTH(ConsorcioDespesas[[#This Row],[Data-base]]),1,1,2,1,3,2,4,2,5,3,6,3,7,4,8,4,9,5,10,5,11,6,12,6)</f>
        <v>5</v>
      </c>
      <c r="K154">
        <f>YEAR(ConsorcioDespesas[[#This Row],[Data-base]])</f>
        <v>2023</v>
      </c>
      <c r="L154">
        <f>MONTH(ConsorcioDespesas[[#This Row],[Data-base]])</f>
        <v>10</v>
      </c>
      <c r="M154" t="str">
        <f>TEXT(ConsorcioDespesas[[#This Row],[NDO]],"000000000000")</f>
        <v>319013010100</v>
      </c>
    </row>
    <row r="155" spans="1:13" x14ac:dyDescent="0.25">
      <c r="A155" t="s">
        <v>85</v>
      </c>
      <c r="B155" s="111">
        <v>45230</v>
      </c>
      <c r="C155">
        <v>4</v>
      </c>
      <c r="D155">
        <v>122</v>
      </c>
      <c r="E155" s="169">
        <v>319013020100</v>
      </c>
      <c r="F155" s="110">
        <v>166.83</v>
      </c>
      <c r="G155" s="110">
        <v>166.83</v>
      </c>
      <c r="H155" s="110">
        <v>166.83</v>
      </c>
      <c r="I155" t="str">
        <f>TEXT(ConsorcioDespesas[[#This Row],[NDO]],"000000000000")</f>
        <v>319013020100</v>
      </c>
      <c r="J155">
        <f>_xlfn.SWITCH(MONTH(ConsorcioDespesas[[#This Row],[Data-base]]),1,1,2,1,3,2,4,2,5,3,6,3,7,4,8,4,9,5,10,5,11,6,12,6)</f>
        <v>5</v>
      </c>
      <c r="K155">
        <f>YEAR(ConsorcioDespesas[[#This Row],[Data-base]])</f>
        <v>2023</v>
      </c>
      <c r="L155">
        <f>MONTH(ConsorcioDespesas[[#This Row],[Data-base]])</f>
        <v>10</v>
      </c>
      <c r="M155" t="str">
        <f>TEXT(ConsorcioDespesas[[#This Row],[NDO]],"000000000000")</f>
        <v>319013020100</v>
      </c>
    </row>
    <row r="156" spans="1:13" x14ac:dyDescent="0.25">
      <c r="A156" t="s">
        <v>85</v>
      </c>
      <c r="B156" s="111">
        <v>45230</v>
      </c>
      <c r="C156">
        <v>4</v>
      </c>
      <c r="D156">
        <v>122</v>
      </c>
      <c r="E156" s="169">
        <v>339014140000</v>
      </c>
      <c r="F156" s="110">
        <v>0</v>
      </c>
      <c r="G156" s="110">
        <v>0</v>
      </c>
      <c r="H156" s="110">
        <v>0</v>
      </c>
      <c r="I156" t="str">
        <f>TEXT(ConsorcioDespesas[[#This Row],[NDO]],"000000000000")</f>
        <v>339014140000</v>
      </c>
      <c r="J156">
        <f>_xlfn.SWITCH(MONTH(ConsorcioDespesas[[#This Row],[Data-base]]),1,1,2,1,3,2,4,2,5,3,6,3,7,4,8,4,9,5,10,5,11,6,12,6)</f>
        <v>5</v>
      </c>
      <c r="K156">
        <f>YEAR(ConsorcioDespesas[[#This Row],[Data-base]])</f>
        <v>2023</v>
      </c>
      <c r="L156">
        <f>MONTH(ConsorcioDespesas[[#This Row],[Data-base]])</f>
        <v>10</v>
      </c>
      <c r="M156" t="str">
        <f>TEXT(ConsorcioDespesas[[#This Row],[NDO]],"000000000000")</f>
        <v>339014140000</v>
      </c>
    </row>
    <row r="157" spans="1:13" x14ac:dyDescent="0.25">
      <c r="A157" t="s">
        <v>85</v>
      </c>
      <c r="B157" s="111">
        <v>45230</v>
      </c>
      <c r="C157">
        <v>4</v>
      </c>
      <c r="D157">
        <v>122</v>
      </c>
      <c r="E157" s="169">
        <v>339030000000</v>
      </c>
      <c r="F157" s="110">
        <v>33.630000000000003</v>
      </c>
      <c r="G157" s="110">
        <v>33.630000000000003</v>
      </c>
      <c r="H157" s="110">
        <v>18.86</v>
      </c>
      <c r="I157" t="str">
        <f>TEXT(ConsorcioDespesas[[#This Row],[NDO]],"000000000000")</f>
        <v>339030000000</v>
      </c>
      <c r="J157">
        <f>_xlfn.SWITCH(MONTH(ConsorcioDespesas[[#This Row],[Data-base]]),1,1,2,1,3,2,4,2,5,3,6,3,7,4,8,4,9,5,10,5,11,6,12,6)</f>
        <v>5</v>
      </c>
      <c r="K157">
        <f>YEAR(ConsorcioDespesas[[#This Row],[Data-base]])</f>
        <v>2023</v>
      </c>
      <c r="L157">
        <f>MONTH(ConsorcioDespesas[[#This Row],[Data-base]])</f>
        <v>10</v>
      </c>
      <c r="M157" t="str">
        <f>TEXT(ConsorcioDespesas[[#This Row],[NDO]],"000000000000")</f>
        <v>339030000000</v>
      </c>
    </row>
    <row r="158" spans="1:13" x14ac:dyDescent="0.25">
      <c r="A158" t="s">
        <v>85</v>
      </c>
      <c r="B158" s="111">
        <v>45230</v>
      </c>
      <c r="C158">
        <v>4</v>
      </c>
      <c r="D158">
        <v>122</v>
      </c>
      <c r="E158" s="169">
        <v>339033010000</v>
      </c>
      <c r="F158" s="110">
        <v>0</v>
      </c>
      <c r="G158" s="110">
        <v>0</v>
      </c>
      <c r="H158" s="110">
        <v>0</v>
      </c>
      <c r="I158" t="str">
        <f>TEXT(ConsorcioDespesas[[#This Row],[NDO]],"000000000000")</f>
        <v>339033010000</v>
      </c>
      <c r="J158">
        <f>_xlfn.SWITCH(MONTH(ConsorcioDespesas[[#This Row],[Data-base]]),1,1,2,1,3,2,4,2,5,3,6,3,7,4,8,4,9,5,10,5,11,6,12,6)</f>
        <v>5</v>
      </c>
      <c r="K158">
        <f>YEAR(ConsorcioDespesas[[#This Row],[Data-base]])</f>
        <v>2023</v>
      </c>
      <c r="L158">
        <f>MONTH(ConsorcioDespesas[[#This Row],[Data-base]])</f>
        <v>10</v>
      </c>
      <c r="M158" t="str">
        <f>TEXT(ConsorcioDespesas[[#This Row],[NDO]],"000000000000")</f>
        <v>339033010000</v>
      </c>
    </row>
    <row r="159" spans="1:13" x14ac:dyDescent="0.25">
      <c r="A159" t="s">
        <v>85</v>
      </c>
      <c r="B159" s="111">
        <v>45230</v>
      </c>
      <c r="C159">
        <v>4</v>
      </c>
      <c r="D159">
        <v>122</v>
      </c>
      <c r="E159" s="169">
        <v>339036000000</v>
      </c>
      <c r="F159" s="110">
        <v>7.28</v>
      </c>
      <c r="G159" s="110">
        <v>48.16</v>
      </c>
      <c r="H159" s="110">
        <v>48.16</v>
      </c>
      <c r="I159" t="str">
        <f>TEXT(ConsorcioDespesas[[#This Row],[NDO]],"000000000000")</f>
        <v>339036000000</v>
      </c>
      <c r="J159">
        <f>_xlfn.SWITCH(MONTH(ConsorcioDespesas[[#This Row],[Data-base]]),1,1,2,1,3,2,4,2,5,3,6,3,7,4,8,4,9,5,10,5,11,6,12,6)</f>
        <v>5</v>
      </c>
      <c r="K159">
        <f>YEAR(ConsorcioDespesas[[#This Row],[Data-base]])</f>
        <v>2023</v>
      </c>
      <c r="L159">
        <f>MONTH(ConsorcioDespesas[[#This Row],[Data-base]])</f>
        <v>10</v>
      </c>
      <c r="M159" t="str">
        <f>TEXT(ConsorcioDespesas[[#This Row],[NDO]],"000000000000")</f>
        <v>339036000000</v>
      </c>
    </row>
    <row r="160" spans="1:13" x14ac:dyDescent="0.25">
      <c r="A160" t="s">
        <v>85</v>
      </c>
      <c r="B160" s="111">
        <v>45230</v>
      </c>
      <c r="C160">
        <v>4</v>
      </c>
      <c r="D160">
        <v>122</v>
      </c>
      <c r="E160" s="169">
        <v>339039000000</v>
      </c>
      <c r="F160" s="110">
        <v>0</v>
      </c>
      <c r="G160" s="110">
        <v>85.37</v>
      </c>
      <c r="H160" s="110">
        <v>85.37</v>
      </c>
      <c r="I160" t="str">
        <f>TEXT(ConsorcioDespesas[[#This Row],[NDO]],"000000000000")</f>
        <v>339039000000</v>
      </c>
      <c r="J160">
        <f>_xlfn.SWITCH(MONTH(ConsorcioDespesas[[#This Row],[Data-base]]),1,1,2,1,3,2,4,2,5,3,6,3,7,4,8,4,9,5,10,5,11,6,12,6)</f>
        <v>5</v>
      </c>
      <c r="K160">
        <f>YEAR(ConsorcioDespesas[[#This Row],[Data-base]])</f>
        <v>2023</v>
      </c>
      <c r="L160">
        <f>MONTH(ConsorcioDespesas[[#This Row],[Data-base]])</f>
        <v>10</v>
      </c>
      <c r="M160" t="str">
        <f>TEXT(ConsorcioDespesas[[#This Row],[NDO]],"000000000000")</f>
        <v>339039000000</v>
      </c>
    </row>
    <row r="161" spans="1:13" x14ac:dyDescent="0.25">
      <c r="A161" t="s">
        <v>85</v>
      </c>
      <c r="B161" s="111">
        <v>45230</v>
      </c>
      <c r="C161">
        <v>4</v>
      </c>
      <c r="D161">
        <v>122</v>
      </c>
      <c r="E161" s="169">
        <v>339039570000</v>
      </c>
      <c r="F161" s="110">
        <v>9.83</v>
      </c>
      <c r="G161" s="110">
        <v>119</v>
      </c>
      <c r="H161" s="110">
        <v>107.89</v>
      </c>
      <c r="I161" t="str">
        <f>TEXT(ConsorcioDespesas[[#This Row],[NDO]],"000000000000")</f>
        <v>339039570000</v>
      </c>
      <c r="J161">
        <f>_xlfn.SWITCH(MONTH(ConsorcioDespesas[[#This Row],[Data-base]]),1,1,2,1,3,2,4,2,5,3,6,3,7,4,8,4,9,5,10,5,11,6,12,6)</f>
        <v>5</v>
      </c>
      <c r="K161">
        <f>YEAR(ConsorcioDespesas[[#This Row],[Data-base]])</f>
        <v>2023</v>
      </c>
      <c r="L161">
        <f>MONTH(ConsorcioDespesas[[#This Row],[Data-base]])</f>
        <v>10</v>
      </c>
      <c r="M161" t="str">
        <f>TEXT(ConsorcioDespesas[[#This Row],[NDO]],"000000000000")</f>
        <v>339039570000</v>
      </c>
    </row>
    <row r="162" spans="1:13" x14ac:dyDescent="0.25">
      <c r="A162" t="s">
        <v>85</v>
      </c>
      <c r="B162" s="111">
        <v>45230</v>
      </c>
      <c r="C162">
        <v>4</v>
      </c>
      <c r="D162">
        <v>122</v>
      </c>
      <c r="E162" s="169">
        <v>339039990100</v>
      </c>
      <c r="F162" s="110">
        <v>0</v>
      </c>
      <c r="G162" s="110">
        <v>35.659999999999997</v>
      </c>
      <c r="H162" s="110">
        <v>35.659999999999997</v>
      </c>
      <c r="I162" t="str">
        <f>TEXT(ConsorcioDespesas[[#This Row],[NDO]],"000000000000")</f>
        <v>339039990100</v>
      </c>
      <c r="J162">
        <f>_xlfn.SWITCH(MONTH(ConsorcioDespesas[[#This Row],[Data-base]]),1,1,2,1,3,2,4,2,5,3,6,3,7,4,8,4,9,5,10,5,11,6,12,6)</f>
        <v>5</v>
      </c>
      <c r="K162">
        <f>YEAR(ConsorcioDespesas[[#This Row],[Data-base]])</f>
        <v>2023</v>
      </c>
      <c r="L162">
        <f>MONTH(ConsorcioDespesas[[#This Row],[Data-base]])</f>
        <v>10</v>
      </c>
      <c r="M162" t="str">
        <f>TEXT(ConsorcioDespesas[[#This Row],[NDO]],"000000000000")</f>
        <v>339039990100</v>
      </c>
    </row>
    <row r="163" spans="1:13" x14ac:dyDescent="0.25">
      <c r="A163" t="s">
        <v>85</v>
      </c>
      <c r="B163" s="111">
        <v>45230</v>
      </c>
      <c r="C163">
        <v>4</v>
      </c>
      <c r="D163">
        <v>122</v>
      </c>
      <c r="E163" s="169">
        <v>339046010100</v>
      </c>
      <c r="F163" s="110">
        <v>0</v>
      </c>
      <c r="G163" s="110">
        <v>0</v>
      </c>
      <c r="H163" s="110">
        <v>0</v>
      </c>
      <c r="I163" t="str">
        <f>TEXT(ConsorcioDespesas[[#This Row],[NDO]],"000000000000")</f>
        <v>339046010100</v>
      </c>
      <c r="J163">
        <f>_xlfn.SWITCH(MONTH(ConsorcioDespesas[[#This Row],[Data-base]]),1,1,2,1,3,2,4,2,5,3,6,3,7,4,8,4,9,5,10,5,11,6,12,6)</f>
        <v>5</v>
      </c>
      <c r="K163">
        <f>YEAR(ConsorcioDespesas[[#This Row],[Data-base]])</f>
        <v>2023</v>
      </c>
      <c r="L163">
        <f>MONTH(ConsorcioDespesas[[#This Row],[Data-base]])</f>
        <v>10</v>
      </c>
      <c r="M163" t="str">
        <f>TEXT(ConsorcioDespesas[[#This Row],[NDO]],"000000000000")</f>
        <v>339046010100</v>
      </c>
    </row>
    <row r="164" spans="1:13" x14ac:dyDescent="0.25">
      <c r="A164" t="s">
        <v>85</v>
      </c>
      <c r="B164" s="111">
        <v>45230</v>
      </c>
      <c r="C164">
        <v>4</v>
      </c>
      <c r="D164">
        <v>122</v>
      </c>
      <c r="E164" s="169">
        <v>339049010000</v>
      </c>
      <c r="F164" s="110">
        <v>0</v>
      </c>
      <c r="G164" s="110">
        <v>3.06</v>
      </c>
      <c r="H164" s="110">
        <v>3.06</v>
      </c>
      <c r="I164" t="str">
        <f>TEXT(ConsorcioDespesas[[#This Row],[NDO]],"000000000000")</f>
        <v>339049010000</v>
      </c>
      <c r="J164">
        <f>_xlfn.SWITCH(MONTH(ConsorcioDespesas[[#This Row],[Data-base]]),1,1,2,1,3,2,4,2,5,3,6,3,7,4,8,4,9,5,10,5,11,6,12,6)</f>
        <v>5</v>
      </c>
      <c r="K164">
        <f>YEAR(ConsorcioDespesas[[#This Row],[Data-base]])</f>
        <v>2023</v>
      </c>
      <c r="L164">
        <f>MONTH(ConsorcioDespesas[[#This Row],[Data-base]])</f>
        <v>10</v>
      </c>
      <c r="M164" t="str">
        <f>TEXT(ConsorcioDespesas[[#This Row],[NDO]],"000000000000")</f>
        <v>339049010000</v>
      </c>
    </row>
    <row r="165" spans="1:13" x14ac:dyDescent="0.25">
      <c r="A165" t="s">
        <v>85</v>
      </c>
      <c r="B165" s="111">
        <v>45230</v>
      </c>
      <c r="C165">
        <v>4</v>
      </c>
      <c r="D165">
        <v>122</v>
      </c>
      <c r="E165" s="169">
        <v>339047000000</v>
      </c>
      <c r="F165" s="110">
        <v>0</v>
      </c>
      <c r="G165" s="110">
        <v>0</v>
      </c>
      <c r="H165" s="110">
        <v>0</v>
      </c>
      <c r="I165" t="str">
        <f>TEXT(ConsorcioDespesas[[#This Row],[NDO]],"000000000000")</f>
        <v>339047000000</v>
      </c>
      <c r="J165">
        <f>_xlfn.SWITCH(MONTH(ConsorcioDespesas[[#This Row],[Data-base]]),1,1,2,1,3,2,4,2,5,3,6,3,7,4,8,4,9,5,10,5,11,6,12,6)</f>
        <v>5</v>
      </c>
      <c r="K165">
        <f>YEAR(ConsorcioDespesas[[#This Row],[Data-base]])</f>
        <v>2023</v>
      </c>
      <c r="L165">
        <f>MONTH(ConsorcioDespesas[[#This Row],[Data-base]])</f>
        <v>10</v>
      </c>
      <c r="M165" t="str">
        <f>TEXT(ConsorcioDespesas[[#This Row],[NDO]],"000000000000")</f>
        <v>339047000000</v>
      </c>
    </row>
    <row r="166" spans="1:13" x14ac:dyDescent="0.25">
      <c r="A166" t="s">
        <v>85</v>
      </c>
      <c r="B166" s="111">
        <v>45230</v>
      </c>
      <c r="C166">
        <v>4</v>
      </c>
      <c r="D166">
        <v>122</v>
      </c>
      <c r="E166" s="169">
        <v>449052000000</v>
      </c>
      <c r="F166" s="110">
        <v>0</v>
      </c>
      <c r="G166" s="110">
        <v>0</v>
      </c>
      <c r="H166" s="110">
        <v>0</v>
      </c>
      <c r="I166" t="str">
        <f>TEXT(ConsorcioDespesas[[#This Row],[NDO]],"000000000000")</f>
        <v>449052000000</v>
      </c>
      <c r="J166">
        <f>_xlfn.SWITCH(MONTH(ConsorcioDespesas[[#This Row],[Data-base]]),1,1,2,1,3,2,4,2,5,3,6,3,7,4,8,4,9,5,10,5,11,6,12,6)</f>
        <v>5</v>
      </c>
      <c r="K166">
        <f>YEAR(ConsorcioDespesas[[#This Row],[Data-base]])</f>
        <v>2023</v>
      </c>
      <c r="L166">
        <f>MONTH(ConsorcioDespesas[[#This Row],[Data-base]])</f>
        <v>10</v>
      </c>
      <c r="M166" t="str">
        <f>TEXT(ConsorcioDespesas[[#This Row],[NDO]],"000000000000")</f>
        <v>449052000000</v>
      </c>
    </row>
    <row r="167" spans="1:13" x14ac:dyDescent="0.25">
      <c r="A167" t="s">
        <v>85</v>
      </c>
      <c r="B167" s="111">
        <v>45230</v>
      </c>
      <c r="C167">
        <v>10</v>
      </c>
      <c r="D167">
        <v>302</v>
      </c>
      <c r="E167" s="169">
        <v>334041390500</v>
      </c>
      <c r="F167" s="110">
        <v>8742.48</v>
      </c>
      <c r="G167" s="110">
        <v>8742.48</v>
      </c>
      <c r="H167" s="110">
        <v>17484.96</v>
      </c>
      <c r="I167" t="str">
        <f>TEXT(ConsorcioDespesas[[#This Row],[NDO]],"000000000000")</f>
        <v>334041390500</v>
      </c>
      <c r="J167">
        <f>_xlfn.SWITCH(MONTH(ConsorcioDespesas[[#This Row],[Data-base]]),1,1,2,1,3,2,4,2,5,3,6,3,7,4,8,4,9,5,10,5,11,6,12,6)</f>
        <v>5</v>
      </c>
      <c r="K167">
        <f>YEAR(ConsorcioDespesas[[#This Row],[Data-base]])</f>
        <v>2023</v>
      </c>
      <c r="L167">
        <f>MONTH(ConsorcioDespesas[[#This Row],[Data-base]])</f>
        <v>10</v>
      </c>
      <c r="M167" t="str">
        <f>TEXT(ConsorcioDespesas[[#This Row],[NDO]],"000000000000")</f>
        <v>334041390500</v>
      </c>
    </row>
    <row r="168" spans="1:13" x14ac:dyDescent="0.25">
      <c r="A168" t="s">
        <v>85</v>
      </c>
      <c r="B168" s="111">
        <v>45230</v>
      </c>
      <c r="C168">
        <v>10</v>
      </c>
      <c r="D168">
        <v>122</v>
      </c>
      <c r="E168" s="169">
        <v>334041391100</v>
      </c>
      <c r="F168" s="110">
        <v>626.91999999999996</v>
      </c>
      <c r="G168" s="110">
        <v>626.91999999999996</v>
      </c>
      <c r="H168" s="110">
        <v>1253.8399999999999</v>
      </c>
      <c r="I168" t="str">
        <f>TEXT(ConsorcioDespesas[[#This Row],[NDO]],"000000000000")</f>
        <v>334041391100</v>
      </c>
      <c r="J168">
        <f>_xlfn.SWITCH(MONTH(ConsorcioDespesas[[#This Row],[Data-base]]),1,1,2,1,3,2,4,2,5,3,6,3,7,4,8,4,9,5,10,5,11,6,12,6)</f>
        <v>5</v>
      </c>
      <c r="K168">
        <f>YEAR(ConsorcioDespesas[[#This Row],[Data-base]])</f>
        <v>2023</v>
      </c>
      <c r="L168">
        <f>MONTH(ConsorcioDespesas[[#This Row],[Data-base]])</f>
        <v>10</v>
      </c>
      <c r="M168" t="str">
        <f>TEXT(ConsorcioDespesas[[#This Row],[NDO]],"000000000000")</f>
        <v>334041391100</v>
      </c>
    </row>
    <row r="169" spans="1:13" x14ac:dyDescent="0.25">
      <c r="A169" t="s">
        <v>85</v>
      </c>
      <c r="B169" s="111">
        <v>45230</v>
      </c>
      <c r="C169">
        <v>10</v>
      </c>
      <c r="D169">
        <v>122</v>
      </c>
      <c r="E169" s="169">
        <v>334041391000</v>
      </c>
      <c r="F169" s="110">
        <v>874.88</v>
      </c>
      <c r="G169" s="110">
        <v>874.88</v>
      </c>
      <c r="H169" s="110">
        <v>1749.76</v>
      </c>
      <c r="I169" t="str">
        <f>TEXT(ConsorcioDespesas[[#This Row],[NDO]],"000000000000")</f>
        <v>334041391000</v>
      </c>
      <c r="J169">
        <f>_xlfn.SWITCH(MONTH(ConsorcioDespesas[[#This Row],[Data-base]]),1,1,2,1,3,2,4,2,5,3,6,3,7,4,8,4,9,5,10,5,11,6,12,6)</f>
        <v>5</v>
      </c>
      <c r="K169">
        <f>YEAR(ConsorcioDespesas[[#This Row],[Data-base]])</f>
        <v>2023</v>
      </c>
      <c r="L169">
        <f>MONTH(ConsorcioDespesas[[#This Row],[Data-base]])</f>
        <v>10</v>
      </c>
      <c r="M169" t="str">
        <f>TEXT(ConsorcioDespesas[[#This Row],[NDO]],"000000000000")</f>
        <v>334041391000</v>
      </c>
    </row>
    <row r="170" spans="1:13" x14ac:dyDescent="0.25">
      <c r="A170" t="s">
        <v>85</v>
      </c>
      <c r="B170" s="111">
        <v>45260</v>
      </c>
      <c r="C170">
        <v>4</v>
      </c>
      <c r="D170">
        <v>122</v>
      </c>
      <c r="E170" s="169">
        <v>319011010100</v>
      </c>
      <c r="F170" s="110">
        <v>1348.61</v>
      </c>
      <c r="G170" s="110">
        <v>1348.61</v>
      </c>
      <c r="H170" s="110">
        <v>1348.61</v>
      </c>
      <c r="I170" t="str">
        <f>TEXT(ConsorcioDespesas[[#This Row],[NDO]],"000000000000")</f>
        <v>319011010100</v>
      </c>
      <c r="J170">
        <f>_xlfn.SWITCH(MONTH(ConsorcioDespesas[[#This Row],[Data-base]]),1,1,2,1,3,2,4,2,5,3,6,3,7,4,8,4,9,5,10,5,11,6,12,6)</f>
        <v>6</v>
      </c>
      <c r="K170">
        <f>YEAR(ConsorcioDespesas[[#This Row],[Data-base]])</f>
        <v>2023</v>
      </c>
      <c r="L170">
        <f>MONTH(ConsorcioDespesas[[#This Row],[Data-base]])</f>
        <v>11</v>
      </c>
      <c r="M170" t="str">
        <f>TEXT(ConsorcioDespesas[[#This Row],[NDO]],"000000000000")</f>
        <v>319011010100</v>
      </c>
    </row>
    <row r="171" spans="1:13" x14ac:dyDescent="0.25">
      <c r="A171" t="s">
        <v>85</v>
      </c>
      <c r="B171" s="111">
        <v>45260</v>
      </c>
      <c r="C171">
        <v>4</v>
      </c>
      <c r="D171">
        <v>122</v>
      </c>
      <c r="E171" s="169">
        <v>319013010100</v>
      </c>
      <c r="F171" s="110">
        <v>107.89</v>
      </c>
      <c r="G171" s="110">
        <v>107.89</v>
      </c>
      <c r="H171" s="110">
        <v>71.59</v>
      </c>
      <c r="I171" t="str">
        <f>TEXT(ConsorcioDespesas[[#This Row],[NDO]],"000000000000")</f>
        <v>319013010100</v>
      </c>
      <c r="J171">
        <f>_xlfn.SWITCH(MONTH(ConsorcioDespesas[[#This Row],[Data-base]]),1,1,2,1,3,2,4,2,5,3,6,3,7,4,8,4,9,5,10,5,11,6,12,6)</f>
        <v>6</v>
      </c>
      <c r="K171">
        <f>YEAR(ConsorcioDespesas[[#This Row],[Data-base]])</f>
        <v>2023</v>
      </c>
      <c r="L171">
        <f>MONTH(ConsorcioDespesas[[#This Row],[Data-base]])</f>
        <v>11</v>
      </c>
      <c r="M171" t="str">
        <f>TEXT(ConsorcioDespesas[[#This Row],[NDO]],"000000000000")</f>
        <v>319013010100</v>
      </c>
    </row>
    <row r="172" spans="1:13" x14ac:dyDescent="0.25">
      <c r="A172" t="s">
        <v>85</v>
      </c>
      <c r="B172" s="111">
        <v>45260</v>
      </c>
      <c r="C172">
        <v>4</v>
      </c>
      <c r="D172">
        <v>122</v>
      </c>
      <c r="E172" s="169">
        <v>319013020100</v>
      </c>
      <c r="F172" s="110">
        <v>187.63</v>
      </c>
      <c r="G172" s="110">
        <v>187.63</v>
      </c>
      <c r="H172" s="110">
        <v>0</v>
      </c>
      <c r="I172" t="str">
        <f>TEXT(ConsorcioDespesas[[#This Row],[NDO]],"000000000000")</f>
        <v>319013020100</v>
      </c>
      <c r="J172">
        <f>_xlfn.SWITCH(MONTH(ConsorcioDespesas[[#This Row],[Data-base]]),1,1,2,1,3,2,4,2,5,3,6,3,7,4,8,4,9,5,10,5,11,6,12,6)</f>
        <v>6</v>
      </c>
      <c r="K172">
        <f>YEAR(ConsorcioDespesas[[#This Row],[Data-base]])</f>
        <v>2023</v>
      </c>
      <c r="L172">
        <f>MONTH(ConsorcioDespesas[[#This Row],[Data-base]])</f>
        <v>11</v>
      </c>
      <c r="M172" t="str">
        <f>TEXT(ConsorcioDespesas[[#This Row],[NDO]],"000000000000")</f>
        <v>319013020100</v>
      </c>
    </row>
    <row r="173" spans="1:13" x14ac:dyDescent="0.25">
      <c r="A173" t="s">
        <v>85</v>
      </c>
      <c r="B173" s="111">
        <v>45260</v>
      </c>
      <c r="C173">
        <v>4</v>
      </c>
      <c r="D173">
        <v>122</v>
      </c>
      <c r="E173" s="169">
        <v>339014140000</v>
      </c>
      <c r="F173" s="110">
        <v>0</v>
      </c>
      <c r="G173" s="110">
        <v>0</v>
      </c>
      <c r="H173" s="110">
        <v>0</v>
      </c>
      <c r="I173" t="str">
        <f>TEXT(ConsorcioDespesas[[#This Row],[NDO]],"000000000000")</f>
        <v>339014140000</v>
      </c>
      <c r="J173">
        <f>_xlfn.SWITCH(MONTH(ConsorcioDespesas[[#This Row],[Data-base]]),1,1,2,1,3,2,4,2,5,3,6,3,7,4,8,4,9,5,10,5,11,6,12,6)</f>
        <v>6</v>
      </c>
      <c r="K173">
        <f>YEAR(ConsorcioDespesas[[#This Row],[Data-base]])</f>
        <v>2023</v>
      </c>
      <c r="L173">
        <f>MONTH(ConsorcioDespesas[[#This Row],[Data-base]])</f>
        <v>11</v>
      </c>
      <c r="M173" t="str">
        <f>TEXT(ConsorcioDespesas[[#This Row],[NDO]],"000000000000")</f>
        <v>339014140000</v>
      </c>
    </row>
    <row r="174" spans="1:13" x14ac:dyDescent="0.25">
      <c r="A174" t="s">
        <v>85</v>
      </c>
      <c r="B174" s="111">
        <v>45260</v>
      </c>
      <c r="C174">
        <v>4</v>
      </c>
      <c r="D174">
        <v>122</v>
      </c>
      <c r="E174" s="169">
        <v>339030000000</v>
      </c>
      <c r="F174" s="110">
        <v>27.56</v>
      </c>
      <c r="G174" s="110">
        <v>27.56</v>
      </c>
      <c r="H174" s="110">
        <v>42.34</v>
      </c>
      <c r="I174" t="str">
        <f>TEXT(ConsorcioDespesas[[#This Row],[NDO]],"000000000000")</f>
        <v>339030000000</v>
      </c>
      <c r="J174">
        <f>_xlfn.SWITCH(MONTH(ConsorcioDespesas[[#This Row],[Data-base]]),1,1,2,1,3,2,4,2,5,3,6,3,7,4,8,4,9,5,10,5,11,6,12,6)</f>
        <v>6</v>
      </c>
      <c r="K174">
        <f>YEAR(ConsorcioDespesas[[#This Row],[Data-base]])</f>
        <v>2023</v>
      </c>
      <c r="L174">
        <f>MONTH(ConsorcioDespesas[[#This Row],[Data-base]])</f>
        <v>11</v>
      </c>
      <c r="M174" t="str">
        <f>TEXT(ConsorcioDespesas[[#This Row],[NDO]],"000000000000")</f>
        <v>339030000000</v>
      </c>
    </row>
    <row r="175" spans="1:13" x14ac:dyDescent="0.25">
      <c r="A175" t="s">
        <v>85</v>
      </c>
      <c r="B175" s="111">
        <v>45260</v>
      </c>
      <c r="C175">
        <v>4</v>
      </c>
      <c r="D175">
        <v>122</v>
      </c>
      <c r="E175" s="169">
        <v>339033010000</v>
      </c>
      <c r="F175" s="110">
        <v>0</v>
      </c>
      <c r="G175" s="110">
        <v>0</v>
      </c>
      <c r="H175" s="110">
        <v>0</v>
      </c>
      <c r="I175" t="str">
        <f>TEXT(ConsorcioDespesas[[#This Row],[NDO]],"000000000000")</f>
        <v>339033010000</v>
      </c>
      <c r="J175">
        <f>_xlfn.SWITCH(MONTH(ConsorcioDespesas[[#This Row],[Data-base]]),1,1,2,1,3,2,4,2,5,3,6,3,7,4,8,4,9,5,10,5,11,6,12,6)</f>
        <v>6</v>
      </c>
      <c r="K175">
        <f>YEAR(ConsorcioDespesas[[#This Row],[Data-base]])</f>
        <v>2023</v>
      </c>
      <c r="L175">
        <f>MONTH(ConsorcioDespesas[[#This Row],[Data-base]])</f>
        <v>11</v>
      </c>
      <c r="M175" t="str">
        <f>TEXT(ConsorcioDespesas[[#This Row],[NDO]],"000000000000")</f>
        <v>339033010000</v>
      </c>
    </row>
    <row r="176" spans="1:13" x14ac:dyDescent="0.25">
      <c r="A176" t="s">
        <v>85</v>
      </c>
      <c r="B176" s="111">
        <v>45260</v>
      </c>
      <c r="C176">
        <v>4</v>
      </c>
      <c r="D176">
        <v>122</v>
      </c>
      <c r="E176" s="169">
        <v>339036000000</v>
      </c>
      <c r="F176" s="110">
        <v>22.95</v>
      </c>
      <c r="G176" s="110">
        <v>53.46</v>
      </c>
      <c r="H176" s="110">
        <v>27.23</v>
      </c>
      <c r="I176" t="str">
        <f>TEXT(ConsorcioDespesas[[#This Row],[NDO]],"000000000000")</f>
        <v>339036000000</v>
      </c>
      <c r="J176">
        <f>_xlfn.SWITCH(MONTH(ConsorcioDespesas[[#This Row],[Data-base]]),1,1,2,1,3,2,4,2,5,3,6,3,7,4,8,4,9,5,10,5,11,6,12,6)</f>
        <v>6</v>
      </c>
      <c r="K176">
        <f>YEAR(ConsorcioDespesas[[#This Row],[Data-base]])</f>
        <v>2023</v>
      </c>
      <c r="L176">
        <f>MONTH(ConsorcioDespesas[[#This Row],[Data-base]])</f>
        <v>11</v>
      </c>
      <c r="M176" t="str">
        <f>TEXT(ConsorcioDespesas[[#This Row],[NDO]],"000000000000")</f>
        <v>339036000000</v>
      </c>
    </row>
    <row r="177" spans="1:13" x14ac:dyDescent="0.25">
      <c r="A177" t="s">
        <v>85</v>
      </c>
      <c r="B177" s="111">
        <v>45260</v>
      </c>
      <c r="C177">
        <v>4</v>
      </c>
      <c r="D177">
        <v>122</v>
      </c>
      <c r="E177" s="169">
        <v>339039000000</v>
      </c>
      <c r="F177" s="110">
        <v>0</v>
      </c>
      <c r="G177" s="110">
        <v>54.49</v>
      </c>
      <c r="H177" s="110">
        <v>54.49</v>
      </c>
      <c r="I177" t="str">
        <f>TEXT(ConsorcioDespesas[[#This Row],[NDO]],"000000000000")</f>
        <v>339039000000</v>
      </c>
      <c r="J177">
        <f>_xlfn.SWITCH(MONTH(ConsorcioDespesas[[#This Row],[Data-base]]),1,1,2,1,3,2,4,2,5,3,6,3,7,4,8,4,9,5,10,5,11,6,12,6)</f>
        <v>6</v>
      </c>
      <c r="K177">
        <f>YEAR(ConsorcioDespesas[[#This Row],[Data-base]])</f>
        <v>2023</v>
      </c>
      <c r="L177">
        <f>MONTH(ConsorcioDespesas[[#This Row],[Data-base]])</f>
        <v>11</v>
      </c>
      <c r="M177" t="str">
        <f>TEXT(ConsorcioDespesas[[#This Row],[NDO]],"000000000000")</f>
        <v>339039000000</v>
      </c>
    </row>
    <row r="178" spans="1:13" x14ac:dyDescent="0.25">
      <c r="A178" t="s">
        <v>85</v>
      </c>
      <c r="B178" s="111">
        <v>45260</v>
      </c>
      <c r="C178">
        <v>4</v>
      </c>
      <c r="D178">
        <v>122</v>
      </c>
      <c r="E178" s="169">
        <v>339039570000</v>
      </c>
      <c r="F178" s="110">
        <v>0</v>
      </c>
      <c r="G178" s="110">
        <v>109.17</v>
      </c>
      <c r="H178" s="110">
        <v>119</v>
      </c>
      <c r="I178" t="str">
        <f>TEXT(ConsorcioDespesas[[#This Row],[NDO]],"000000000000")</f>
        <v>339039570000</v>
      </c>
      <c r="J178">
        <f>_xlfn.SWITCH(MONTH(ConsorcioDespesas[[#This Row],[Data-base]]),1,1,2,1,3,2,4,2,5,3,6,3,7,4,8,4,9,5,10,5,11,6,12,6)</f>
        <v>6</v>
      </c>
      <c r="K178">
        <f>YEAR(ConsorcioDespesas[[#This Row],[Data-base]])</f>
        <v>2023</v>
      </c>
      <c r="L178">
        <f>MONTH(ConsorcioDespesas[[#This Row],[Data-base]])</f>
        <v>11</v>
      </c>
      <c r="M178" t="str">
        <f>TEXT(ConsorcioDespesas[[#This Row],[NDO]],"000000000000")</f>
        <v>339039570000</v>
      </c>
    </row>
    <row r="179" spans="1:13" x14ac:dyDescent="0.25">
      <c r="A179" t="s">
        <v>85</v>
      </c>
      <c r="B179" s="111">
        <v>45260</v>
      </c>
      <c r="C179">
        <v>4</v>
      </c>
      <c r="D179">
        <v>122</v>
      </c>
      <c r="E179" s="169">
        <v>339039990100</v>
      </c>
      <c r="F179" s="110">
        <v>0</v>
      </c>
      <c r="G179" s="110">
        <v>62.4</v>
      </c>
      <c r="H179" s="110">
        <v>62.4</v>
      </c>
      <c r="I179" t="str">
        <f>TEXT(ConsorcioDespesas[[#This Row],[NDO]],"000000000000")</f>
        <v>339039990100</v>
      </c>
      <c r="J179">
        <f>_xlfn.SWITCH(MONTH(ConsorcioDespesas[[#This Row],[Data-base]]),1,1,2,1,3,2,4,2,5,3,6,3,7,4,8,4,9,5,10,5,11,6,12,6)</f>
        <v>6</v>
      </c>
      <c r="K179">
        <f>YEAR(ConsorcioDespesas[[#This Row],[Data-base]])</f>
        <v>2023</v>
      </c>
      <c r="L179">
        <f>MONTH(ConsorcioDespesas[[#This Row],[Data-base]])</f>
        <v>11</v>
      </c>
      <c r="M179" t="str">
        <f>TEXT(ConsorcioDespesas[[#This Row],[NDO]],"000000000000")</f>
        <v>339039990100</v>
      </c>
    </row>
    <row r="180" spans="1:13" x14ac:dyDescent="0.25">
      <c r="A180" t="s">
        <v>85</v>
      </c>
      <c r="B180" s="111">
        <v>45260</v>
      </c>
      <c r="C180">
        <v>4</v>
      </c>
      <c r="D180">
        <v>122</v>
      </c>
      <c r="E180" s="169">
        <v>339046010100</v>
      </c>
      <c r="F180" s="110">
        <v>0</v>
      </c>
      <c r="G180" s="110">
        <v>0</v>
      </c>
      <c r="H180" s="110">
        <v>0</v>
      </c>
      <c r="I180" t="str">
        <f>TEXT(ConsorcioDespesas[[#This Row],[NDO]],"000000000000")</f>
        <v>339046010100</v>
      </c>
      <c r="J180">
        <f>_xlfn.SWITCH(MONTH(ConsorcioDespesas[[#This Row],[Data-base]]),1,1,2,1,3,2,4,2,5,3,6,3,7,4,8,4,9,5,10,5,11,6,12,6)</f>
        <v>6</v>
      </c>
      <c r="K180">
        <f>YEAR(ConsorcioDespesas[[#This Row],[Data-base]])</f>
        <v>2023</v>
      </c>
      <c r="L180">
        <f>MONTH(ConsorcioDespesas[[#This Row],[Data-base]])</f>
        <v>11</v>
      </c>
      <c r="M180" t="str">
        <f>TEXT(ConsorcioDespesas[[#This Row],[NDO]],"000000000000")</f>
        <v>339046010100</v>
      </c>
    </row>
    <row r="181" spans="1:13" x14ac:dyDescent="0.25">
      <c r="A181" t="s">
        <v>85</v>
      </c>
      <c r="B181" s="111">
        <v>45260</v>
      </c>
      <c r="C181">
        <v>4</v>
      </c>
      <c r="D181">
        <v>122</v>
      </c>
      <c r="E181" s="169">
        <v>339049010000</v>
      </c>
      <c r="F181" s="110">
        <v>0</v>
      </c>
      <c r="G181" s="110">
        <v>1.96</v>
      </c>
      <c r="H181" s="110">
        <v>1.96</v>
      </c>
      <c r="I181" t="str">
        <f>TEXT(ConsorcioDespesas[[#This Row],[NDO]],"000000000000")</f>
        <v>339049010000</v>
      </c>
      <c r="J181">
        <f>_xlfn.SWITCH(MONTH(ConsorcioDespesas[[#This Row],[Data-base]]),1,1,2,1,3,2,4,2,5,3,6,3,7,4,8,4,9,5,10,5,11,6,12,6)</f>
        <v>6</v>
      </c>
      <c r="K181">
        <f>YEAR(ConsorcioDespesas[[#This Row],[Data-base]])</f>
        <v>2023</v>
      </c>
      <c r="L181">
        <f>MONTH(ConsorcioDespesas[[#This Row],[Data-base]])</f>
        <v>11</v>
      </c>
      <c r="M181" t="str">
        <f>TEXT(ConsorcioDespesas[[#This Row],[NDO]],"000000000000")</f>
        <v>339049010000</v>
      </c>
    </row>
    <row r="182" spans="1:13" x14ac:dyDescent="0.25">
      <c r="A182" t="s">
        <v>85</v>
      </c>
      <c r="B182" s="111">
        <v>45260</v>
      </c>
      <c r="C182">
        <v>4</v>
      </c>
      <c r="D182">
        <v>122</v>
      </c>
      <c r="E182" s="169">
        <v>339047000000</v>
      </c>
      <c r="F182" s="110">
        <v>101.88</v>
      </c>
      <c r="G182" s="110">
        <v>101.88</v>
      </c>
      <c r="H182" s="110">
        <v>101.88</v>
      </c>
      <c r="I182" t="str">
        <f>TEXT(ConsorcioDespesas[[#This Row],[NDO]],"000000000000")</f>
        <v>339047000000</v>
      </c>
      <c r="J182">
        <f>_xlfn.SWITCH(MONTH(ConsorcioDespesas[[#This Row],[Data-base]]),1,1,2,1,3,2,4,2,5,3,6,3,7,4,8,4,9,5,10,5,11,6,12,6)</f>
        <v>6</v>
      </c>
      <c r="K182">
        <f>YEAR(ConsorcioDespesas[[#This Row],[Data-base]])</f>
        <v>2023</v>
      </c>
      <c r="L182">
        <f>MONTH(ConsorcioDespesas[[#This Row],[Data-base]])</f>
        <v>11</v>
      </c>
      <c r="M182" t="str">
        <f>TEXT(ConsorcioDespesas[[#This Row],[NDO]],"000000000000")</f>
        <v>339047000000</v>
      </c>
    </row>
    <row r="183" spans="1:13" x14ac:dyDescent="0.25">
      <c r="A183" t="s">
        <v>85</v>
      </c>
      <c r="B183" s="111">
        <v>45260</v>
      </c>
      <c r="C183">
        <v>4</v>
      </c>
      <c r="D183">
        <v>122</v>
      </c>
      <c r="E183" s="169">
        <v>449052000000</v>
      </c>
      <c r="F183" s="110">
        <v>0</v>
      </c>
      <c r="G183" s="110">
        <v>0</v>
      </c>
      <c r="H183" s="110">
        <v>0</v>
      </c>
      <c r="I183" t="str">
        <f>TEXT(ConsorcioDespesas[[#This Row],[NDO]],"000000000000")</f>
        <v>449052000000</v>
      </c>
      <c r="J183">
        <f>_xlfn.SWITCH(MONTH(ConsorcioDespesas[[#This Row],[Data-base]]),1,1,2,1,3,2,4,2,5,3,6,3,7,4,8,4,9,5,10,5,11,6,12,6)</f>
        <v>6</v>
      </c>
      <c r="K183">
        <f>YEAR(ConsorcioDespesas[[#This Row],[Data-base]])</f>
        <v>2023</v>
      </c>
      <c r="L183">
        <f>MONTH(ConsorcioDespesas[[#This Row],[Data-base]])</f>
        <v>11</v>
      </c>
      <c r="M183" t="str">
        <f>TEXT(ConsorcioDespesas[[#This Row],[NDO]],"000000000000")</f>
        <v>449052000000</v>
      </c>
    </row>
    <row r="184" spans="1:13" x14ac:dyDescent="0.25">
      <c r="A184" t="s">
        <v>85</v>
      </c>
      <c r="B184" s="111">
        <v>45260</v>
      </c>
      <c r="C184">
        <v>10</v>
      </c>
      <c r="D184">
        <v>302</v>
      </c>
      <c r="E184" s="169">
        <v>334041390500</v>
      </c>
      <c r="F184" s="110">
        <v>9273.68</v>
      </c>
      <c r="G184" s="110">
        <v>9273.68</v>
      </c>
      <c r="H184" s="110">
        <v>9273.68</v>
      </c>
      <c r="I184" t="str">
        <f>TEXT(ConsorcioDespesas[[#This Row],[NDO]],"000000000000")</f>
        <v>334041390500</v>
      </c>
      <c r="J184">
        <f>_xlfn.SWITCH(MONTH(ConsorcioDespesas[[#This Row],[Data-base]]),1,1,2,1,3,2,4,2,5,3,6,3,7,4,8,4,9,5,10,5,11,6,12,6)</f>
        <v>6</v>
      </c>
      <c r="K184">
        <f>YEAR(ConsorcioDespesas[[#This Row],[Data-base]])</f>
        <v>2023</v>
      </c>
      <c r="L184">
        <f>MONTH(ConsorcioDespesas[[#This Row],[Data-base]])</f>
        <v>11</v>
      </c>
      <c r="M184" t="str">
        <f>TEXT(ConsorcioDespesas[[#This Row],[NDO]],"000000000000")</f>
        <v>334041390500</v>
      </c>
    </row>
    <row r="185" spans="1:13" x14ac:dyDescent="0.25">
      <c r="A185" t="s">
        <v>85</v>
      </c>
      <c r="B185" s="111">
        <v>45260</v>
      </c>
      <c r="C185">
        <v>10</v>
      </c>
      <c r="D185">
        <v>302</v>
      </c>
      <c r="E185" s="169">
        <v>334041391100</v>
      </c>
      <c r="F185" s="110">
        <v>626.91999999999996</v>
      </c>
      <c r="G185" s="110">
        <v>626.91999999999996</v>
      </c>
      <c r="H185" s="110">
        <v>1253.8399999999999</v>
      </c>
      <c r="I185" t="str">
        <f>TEXT(ConsorcioDespesas[[#This Row],[NDO]],"000000000000")</f>
        <v>334041391100</v>
      </c>
      <c r="J185">
        <f>_xlfn.SWITCH(MONTH(ConsorcioDespesas[[#This Row],[Data-base]]),1,1,2,1,3,2,4,2,5,3,6,3,7,4,8,4,9,5,10,5,11,6,12,6)</f>
        <v>6</v>
      </c>
      <c r="K185">
        <f>YEAR(ConsorcioDespesas[[#This Row],[Data-base]])</f>
        <v>2023</v>
      </c>
      <c r="L185">
        <f>MONTH(ConsorcioDespesas[[#This Row],[Data-base]])</f>
        <v>11</v>
      </c>
      <c r="M185" t="str">
        <f>TEXT(ConsorcioDespesas[[#This Row],[NDO]],"000000000000")</f>
        <v>334041391100</v>
      </c>
    </row>
    <row r="186" spans="1:13" x14ac:dyDescent="0.25">
      <c r="A186" t="s">
        <v>85</v>
      </c>
      <c r="B186" s="111">
        <v>45260</v>
      </c>
      <c r="C186">
        <v>10</v>
      </c>
      <c r="D186">
        <v>302</v>
      </c>
      <c r="E186" s="169">
        <v>334041391000</v>
      </c>
      <c r="F186" s="110">
        <v>874.88</v>
      </c>
      <c r="G186" s="110">
        <v>874.88</v>
      </c>
      <c r="H186" s="110">
        <v>1749.76</v>
      </c>
      <c r="I186" t="str">
        <f>TEXT(ConsorcioDespesas[[#This Row],[NDO]],"000000000000")</f>
        <v>334041391000</v>
      </c>
      <c r="J186">
        <f>_xlfn.SWITCH(MONTH(ConsorcioDespesas[[#This Row],[Data-base]]),1,1,2,1,3,2,4,2,5,3,6,3,7,4,8,4,9,5,10,5,11,6,12,6)</f>
        <v>6</v>
      </c>
      <c r="K186">
        <f>YEAR(ConsorcioDespesas[[#This Row],[Data-base]])</f>
        <v>2023</v>
      </c>
      <c r="L186">
        <f>MONTH(ConsorcioDespesas[[#This Row],[Data-base]])</f>
        <v>11</v>
      </c>
      <c r="M186" t="str">
        <f>TEXT(ConsorcioDespesas[[#This Row],[NDO]],"000000000000")</f>
        <v>334041391000</v>
      </c>
    </row>
    <row r="187" spans="1:13" x14ac:dyDescent="0.25">
      <c r="A187" t="s">
        <v>85</v>
      </c>
      <c r="B187" s="111">
        <v>45291</v>
      </c>
      <c r="C187">
        <v>4</v>
      </c>
      <c r="D187">
        <v>122</v>
      </c>
      <c r="E187" s="169">
        <v>319011010100</v>
      </c>
      <c r="F187" s="110">
        <v>1004.2</v>
      </c>
      <c r="G187" s="110">
        <v>1004.2</v>
      </c>
      <c r="H187" s="110">
        <v>894.04</v>
      </c>
      <c r="I187" t="str">
        <f>TEXT(ConsorcioDespesas[[#This Row],[NDO]],"000000000000")</f>
        <v>319011010100</v>
      </c>
      <c r="J187">
        <f>_xlfn.SWITCH(MONTH(ConsorcioDespesas[[#This Row],[Data-base]]),1,1,2,1,3,2,4,2,5,3,6,3,7,4,8,4,9,5,10,5,11,6,12,6)</f>
        <v>6</v>
      </c>
      <c r="K187">
        <f>YEAR(ConsorcioDespesas[[#This Row],[Data-base]])</f>
        <v>2023</v>
      </c>
      <c r="L187">
        <f>MONTH(ConsorcioDespesas[[#This Row],[Data-base]])</f>
        <v>12</v>
      </c>
      <c r="M187" t="str">
        <f>TEXT(ConsorcioDespesas[[#This Row],[NDO]],"000000000000")</f>
        <v>319011010100</v>
      </c>
    </row>
    <row r="188" spans="1:13" x14ac:dyDescent="0.25">
      <c r="A188" t="s">
        <v>85</v>
      </c>
      <c r="B188" s="111">
        <v>45291</v>
      </c>
      <c r="C188">
        <v>4</v>
      </c>
      <c r="D188">
        <v>122</v>
      </c>
      <c r="E188" s="169">
        <v>319013010100</v>
      </c>
      <c r="F188" s="110">
        <v>72.09</v>
      </c>
      <c r="G188" s="110">
        <v>72.09</v>
      </c>
      <c r="H188" s="110">
        <v>107.89</v>
      </c>
      <c r="I188" t="str">
        <f>TEXT(ConsorcioDespesas[[#This Row],[NDO]],"000000000000")</f>
        <v>319013010100</v>
      </c>
      <c r="J188">
        <f>_xlfn.SWITCH(MONTH(ConsorcioDespesas[[#This Row],[Data-base]]),1,1,2,1,3,2,4,2,5,3,6,3,7,4,8,4,9,5,10,5,11,6,12,6)</f>
        <v>6</v>
      </c>
      <c r="K188">
        <f>YEAR(ConsorcioDespesas[[#This Row],[Data-base]])</f>
        <v>2023</v>
      </c>
      <c r="L188">
        <f>MONTH(ConsorcioDespesas[[#This Row],[Data-base]])</f>
        <v>12</v>
      </c>
      <c r="M188" t="str">
        <f>TEXT(ConsorcioDespesas[[#This Row],[NDO]],"000000000000")</f>
        <v>319013010100</v>
      </c>
    </row>
    <row r="189" spans="1:13" x14ac:dyDescent="0.25">
      <c r="A189" t="s">
        <v>85</v>
      </c>
      <c r="B189" s="111">
        <v>45291</v>
      </c>
      <c r="C189">
        <v>4</v>
      </c>
      <c r="D189">
        <v>122</v>
      </c>
      <c r="E189" s="169">
        <v>319013020100</v>
      </c>
      <c r="F189" s="110">
        <v>374.02</v>
      </c>
      <c r="G189" s="110">
        <v>374.02</v>
      </c>
      <c r="H189" s="110">
        <v>380.56</v>
      </c>
      <c r="I189" t="str">
        <f>TEXT(ConsorcioDespesas[[#This Row],[NDO]],"000000000000")</f>
        <v>319013020100</v>
      </c>
      <c r="J189">
        <f>_xlfn.SWITCH(MONTH(ConsorcioDespesas[[#This Row],[Data-base]]),1,1,2,1,3,2,4,2,5,3,6,3,7,4,8,4,9,5,10,5,11,6,12,6)</f>
        <v>6</v>
      </c>
      <c r="K189">
        <f>YEAR(ConsorcioDespesas[[#This Row],[Data-base]])</f>
        <v>2023</v>
      </c>
      <c r="L189">
        <f>MONTH(ConsorcioDespesas[[#This Row],[Data-base]])</f>
        <v>12</v>
      </c>
      <c r="M189" t="str">
        <f>TEXT(ConsorcioDespesas[[#This Row],[NDO]],"000000000000")</f>
        <v>319013020100</v>
      </c>
    </row>
    <row r="190" spans="1:13" x14ac:dyDescent="0.25">
      <c r="A190" t="s">
        <v>85</v>
      </c>
      <c r="B190" s="111">
        <v>45291</v>
      </c>
      <c r="C190">
        <v>4</v>
      </c>
      <c r="D190">
        <v>122</v>
      </c>
      <c r="E190" s="169">
        <v>339014140000</v>
      </c>
      <c r="F190" s="110">
        <v>0</v>
      </c>
      <c r="G190" s="110">
        <v>0</v>
      </c>
      <c r="H190" s="110">
        <v>0</v>
      </c>
      <c r="I190" t="str">
        <f>TEXT(ConsorcioDespesas[[#This Row],[NDO]],"000000000000")</f>
        <v>339014140000</v>
      </c>
      <c r="J190">
        <f>_xlfn.SWITCH(MONTH(ConsorcioDespesas[[#This Row],[Data-base]]),1,1,2,1,3,2,4,2,5,3,6,3,7,4,8,4,9,5,10,5,11,6,12,6)</f>
        <v>6</v>
      </c>
      <c r="K190">
        <f>YEAR(ConsorcioDespesas[[#This Row],[Data-base]])</f>
        <v>2023</v>
      </c>
      <c r="L190">
        <f>MONTH(ConsorcioDespesas[[#This Row],[Data-base]])</f>
        <v>12</v>
      </c>
      <c r="M190" t="str">
        <f>TEXT(ConsorcioDespesas[[#This Row],[NDO]],"000000000000")</f>
        <v>339014140000</v>
      </c>
    </row>
    <row r="191" spans="1:13" x14ac:dyDescent="0.25">
      <c r="A191" t="s">
        <v>85</v>
      </c>
      <c r="B191" s="111">
        <v>45291</v>
      </c>
      <c r="C191">
        <v>4</v>
      </c>
      <c r="D191">
        <v>122</v>
      </c>
      <c r="E191" s="169">
        <v>339030000000</v>
      </c>
      <c r="F191" s="110">
        <v>93.36</v>
      </c>
      <c r="G191" s="110">
        <v>93.36</v>
      </c>
      <c r="H191" s="110">
        <v>93.36</v>
      </c>
      <c r="I191" t="str">
        <f>TEXT(ConsorcioDespesas[[#This Row],[NDO]],"000000000000")</f>
        <v>339030000000</v>
      </c>
      <c r="J191">
        <f>_xlfn.SWITCH(MONTH(ConsorcioDespesas[[#This Row],[Data-base]]),1,1,2,1,3,2,4,2,5,3,6,3,7,4,8,4,9,5,10,5,11,6,12,6)</f>
        <v>6</v>
      </c>
      <c r="K191">
        <f>YEAR(ConsorcioDespesas[[#This Row],[Data-base]])</f>
        <v>2023</v>
      </c>
      <c r="L191">
        <f>MONTH(ConsorcioDespesas[[#This Row],[Data-base]])</f>
        <v>12</v>
      </c>
      <c r="M191" t="str">
        <f>TEXT(ConsorcioDespesas[[#This Row],[NDO]],"000000000000")</f>
        <v>339030000000</v>
      </c>
    </row>
    <row r="192" spans="1:13" x14ac:dyDescent="0.25">
      <c r="A192" t="s">
        <v>85</v>
      </c>
      <c r="B192" s="111">
        <v>45291</v>
      </c>
      <c r="C192">
        <v>4</v>
      </c>
      <c r="D192">
        <v>122</v>
      </c>
      <c r="E192" s="169">
        <v>339033010000</v>
      </c>
      <c r="F192" s="110">
        <v>0</v>
      </c>
      <c r="G192" s="110">
        <v>0</v>
      </c>
      <c r="H192" s="110">
        <v>0</v>
      </c>
      <c r="I192" t="str">
        <f>TEXT(ConsorcioDespesas[[#This Row],[NDO]],"000000000000")</f>
        <v>339033010000</v>
      </c>
      <c r="J192">
        <f>_xlfn.SWITCH(MONTH(ConsorcioDespesas[[#This Row],[Data-base]]),1,1,2,1,3,2,4,2,5,3,6,3,7,4,8,4,9,5,10,5,11,6,12,6)</f>
        <v>6</v>
      </c>
      <c r="K192">
        <f>YEAR(ConsorcioDespesas[[#This Row],[Data-base]])</f>
        <v>2023</v>
      </c>
      <c r="L192">
        <f>MONTH(ConsorcioDespesas[[#This Row],[Data-base]])</f>
        <v>12</v>
      </c>
      <c r="M192" t="str">
        <f>TEXT(ConsorcioDespesas[[#This Row],[NDO]],"000000000000")</f>
        <v>339033010000</v>
      </c>
    </row>
    <row r="193" spans="1:13" x14ac:dyDescent="0.25">
      <c r="A193" t="s">
        <v>85</v>
      </c>
      <c r="B193" s="111">
        <v>45291</v>
      </c>
      <c r="C193">
        <v>4</v>
      </c>
      <c r="D193">
        <v>122</v>
      </c>
      <c r="E193" s="169">
        <v>339036000000</v>
      </c>
      <c r="F193" s="110">
        <v>-192.41</v>
      </c>
      <c r="G193" s="110">
        <v>48.98</v>
      </c>
      <c r="H193" s="110">
        <v>96.14</v>
      </c>
      <c r="I193" t="str">
        <f>TEXT(ConsorcioDespesas[[#This Row],[NDO]],"000000000000")</f>
        <v>339036000000</v>
      </c>
      <c r="J193">
        <f>_xlfn.SWITCH(MONTH(ConsorcioDespesas[[#This Row],[Data-base]]),1,1,2,1,3,2,4,2,5,3,6,3,7,4,8,4,9,5,10,5,11,6,12,6)</f>
        <v>6</v>
      </c>
      <c r="K193">
        <f>YEAR(ConsorcioDespesas[[#This Row],[Data-base]])</f>
        <v>2023</v>
      </c>
      <c r="L193">
        <f>MONTH(ConsorcioDespesas[[#This Row],[Data-base]])</f>
        <v>12</v>
      </c>
      <c r="M193" t="str">
        <f>TEXT(ConsorcioDespesas[[#This Row],[NDO]],"000000000000")</f>
        <v>339036000000</v>
      </c>
    </row>
    <row r="194" spans="1:13" x14ac:dyDescent="0.25">
      <c r="A194" t="s">
        <v>85</v>
      </c>
      <c r="B194" s="111">
        <v>45291</v>
      </c>
      <c r="C194">
        <v>4</v>
      </c>
      <c r="D194">
        <v>122</v>
      </c>
      <c r="E194" s="169">
        <v>339039000000</v>
      </c>
      <c r="F194" s="110">
        <v>-170.88</v>
      </c>
      <c r="G194" s="110">
        <v>23.61</v>
      </c>
      <c r="H194" s="110">
        <v>23.61</v>
      </c>
      <c r="I194" t="str">
        <f>TEXT(ConsorcioDespesas[[#This Row],[NDO]],"000000000000")</f>
        <v>339039000000</v>
      </c>
      <c r="J194">
        <f>_xlfn.SWITCH(MONTH(ConsorcioDespesas[[#This Row],[Data-base]]),1,1,2,1,3,2,4,2,5,3,6,3,7,4,8,4,9,5,10,5,11,6,12,6)</f>
        <v>6</v>
      </c>
      <c r="K194">
        <f>YEAR(ConsorcioDespesas[[#This Row],[Data-base]])</f>
        <v>2023</v>
      </c>
      <c r="L194">
        <f>MONTH(ConsorcioDespesas[[#This Row],[Data-base]])</f>
        <v>12</v>
      </c>
      <c r="M194" t="str">
        <f>TEXT(ConsorcioDespesas[[#This Row],[NDO]],"000000000000")</f>
        <v>339039000000</v>
      </c>
    </row>
    <row r="195" spans="1:13" x14ac:dyDescent="0.25">
      <c r="A195" t="s">
        <v>85</v>
      </c>
      <c r="B195" s="111">
        <v>45291</v>
      </c>
      <c r="C195">
        <v>4</v>
      </c>
      <c r="D195">
        <v>122</v>
      </c>
      <c r="E195" s="169">
        <v>339039570000</v>
      </c>
      <c r="F195" s="110">
        <v>-163.38</v>
      </c>
      <c r="G195" s="110">
        <v>116.02</v>
      </c>
      <c r="H195" s="110">
        <v>171.25</v>
      </c>
      <c r="I195" t="str">
        <f>TEXT(ConsorcioDespesas[[#This Row],[NDO]],"000000000000")</f>
        <v>339039570000</v>
      </c>
      <c r="J195">
        <f>_xlfn.SWITCH(MONTH(ConsorcioDespesas[[#This Row],[Data-base]]),1,1,2,1,3,2,4,2,5,3,6,3,7,4,8,4,9,5,10,5,11,6,12,6)</f>
        <v>6</v>
      </c>
      <c r="K195">
        <f>YEAR(ConsorcioDespesas[[#This Row],[Data-base]])</f>
        <v>2023</v>
      </c>
      <c r="L195">
        <f>MONTH(ConsorcioDespesas[[#This Row],[Data-base]])</f>
        <v>12</v>
      </c>
      <c r="M195" t="str">
        <f>TEXT(ConsorcioDespesas[[#This Row],[NDO]],"000000000000")</f>
        <v>339039570000</v>
      </c>
    </row>
    <row r="196" spans="1:13" x14ac:dyDescent="0.25">
      <c r="A196" t="s">
        <v>85</v>
      </c>
      <c r="B196" s="111">
        <v>45291</v>
      </c>
      <c r="C196">
        <v>4</v>
      </c>
      <c r="D196">
        <v>122</v>
      </c>
      <c r="E196" s="169">
        <v>339039990100</v>
      </c>
      <c r="F196" s="110">
        <v>-8.91</v>
      </c>
      <c r="G196" s="110">
        <v>53.48</v>
      </c>
      <c r="H196" s="110">
        <v>53.48</v>
      </c>
      <c r="I196" t="str">
        <f>TEXT(ConsorcioDespesas[[#This Row],[NDO]],"000000000000")</f>
        <v>339039990100</v>
      </c>
      <c r="J196">
        <f>_xlfn.SWITCH(MONTH(ConsorcioDespesas[[#This Row],[Data-base]]),1,1,2,1,3,2,4,2,5,3,6,3,7,4,8,4,9,5,10,5,11,6,12,6)</f>
        <v>6</v>
      </c>
      <c r="K196">
        <f>YEAR(ConsorcioDespesas[[#This Row],[Data-base]])</f>
        <v>2023</v>
      </c>
      <c r="L196">
        <f>MONTH(ConsorcioDespesas[[#This Row],[Data-base]])</f>
        <v>12</v>
      </c>
      <c r="M196" t="str">
        <f>TEXT(ConsorcioDespesas[[#This Row],[NDO]],"000000000000")</f>
        <v>339039990100</v>
      </c>
    </row>
    <row r="197" spans="1:13" x14ac:dyDescent="0.25">
      <c r="A197" t="s">
        <v>85</v>
      </c>
      <c r="B197" s="111">
        <v>45291</v>
      </c>
      <c r="C197">
        <v>4</v>
      </c>
      <c r="D197">
        <v>122</v>
      </c>
      <c r="E197" s="169">
        <v>339046010100</v>
      </c>
      <c r="F197" s="110">
        <v>0</v>
      </c>
      <c r="G197" s="110">
        <v>0</v>
      </c>
      <c r="H197" s="110">
        <v>0</v>
      </c>
      <c r="I197" t="str">
        <f>TEXT(ConsorcioDespesas[[#This Row],[NDO]],"000000000000")</f>
        <v>339046010100</v>
      </c>
      <c r="J197">
        <f>_xlfn.SWITCH(MONTH(ConsorcioDespesas[[#This Row],[Data-base]]),1,1,2,1,3,2,4,2,5,3,6,3,7,4,8,4,9,5,10,5,11,6,12,6)</f>
        <v>6</v>
      </c>
      <c r="K197">
        <f>YEAR(ConsorcioDespesas[[#This Row],[Data-base]])</f>
        <v>2023</v>
      </c>
      <c r="L197">
        <f>MONTH(ConsorcioDespesas[[#This Row],[Data-base]])</f>
        <v>12</v>
      </c>
      <c r="M197" t="str">
        <f>TEXT(ConsorcioDespesas[[#This Row],[NDO]],"000000000000")</f>
        <v>339046010100</v>
      </c>
    </row>
    <row r="198" spans="1:13" x14ac:dyDescent="0.25">
      <c r="A198" t="s">
        <v>85</v>
      </c>
      <c r="B198" s="111">
        <v>45291</v>
      </c>
      <c r="C198">
        <v>4</v>
      </c>
      <c r="D198">
        <v>122</v>
      </c>
      <c r="E198" s="169">
        <v>339049010000</v>
      </c>
      <c r="F198" s="110">
        <v>-35.15</v>
      </c>
      <c r="G198" s="110">
        <v>0.85</v>
      </c>
      <c r="H198" s="110">
        <v>0.85</v>
      </c>
      <c r="I198" t="str">
        <f>TEXT(ConsorcioDespesas[[#This Row],[NDO]],"000000000000")</f>
        <v>339049010000</v>
      </c>
      <c r="J198">
        <f>_xlfn.SWITCH(MONTH(ConsorcioDespesas[[#This Row],[Data-base]]),1,1,2,1,3,2,4,2,5,3,6,3,7,4,8,4,9,5,10,5,11,6,12,6)</f>
        <v>6</v>
      </c>
      <c r="K198">
        <f>YEAR(ConsorcioDespesas[[#This Row],[Data-base]])</f>
        <v>2023</v>
      </c>
      <c r="L198">
        <f>MONTH(ConsorcioDespesas[[#This Row],[Data-base]])</f>
        <v>12</v>
      </c>
      <c r="M198" t="str">
        <f>TEXT(ConsorcioDespesas[[#This Row],[NDO]],"000000000000")</f>
        <v>339049010000</v>
      </c>
    </row>
    <row r="199" spans="1:13" x14ac:dyDescent="0.25">
      <c r="A199" t="s">
        <v>85</v>
      </c>
      <c r="B199" s="111">
        <v>45291</v>
      </c>
      <c r="C199">
        <v>4</v>
      </c>
      <c r="D199">
        <v>122</v>
      </c>
      <c r="E199" s="169">
        <v>339047000000</v>
      </c>
      <c r="F199" s="110">
        <v>0</v>
      </c>
      <c r="G199" s="110">
        <v>0</v>
      </c>
      <c r="H199" s="110">
        <v>0</v>
      </c>
      <c r="I199" t="str">
        <f>TEXT(ConsorcioDespesas[[#This Row],[NDO]],"000000000000")</f>
        <v>339047000000</v>
      </c>
      <c r="J199">
        <f>_xlfn.SWITCH(MONTH(ConsorcioDespesas[[#This Row],[Data-base]]),1,1,2,1,3,2,4,2,5,3,6,3,7,4,8,4,9,5,10,5,11,6,12,6)</f>
        <v>6</v>
      </c>
      <c r="K199">
        <f>YEAR(ConsorcioDespesas[[#This Row],[Data-base]])</f>
        <v>2023</v>
      </c>
      <c r="L199">
        <f>MONTH(ConsorcioDespesas[[#This Row],[Data-base]])</f>
        <v>12</v>
      </c>
      <c r="M199" t="str">
        <f>TEXT(ConsorcioDespesas[[#This Row],[NDO]],"000000000000")</f>
        <v>339047000000</v>
      </c>
    </row>
    <row r="200" spans="1:13" x14ac:dyDescent="0.25">
      <c r="A200" t="s">
        <v>85</v>
      </c>
      <c r="B200" s="111">
        <v>45291</v>
      </c>
      <c r="C200">
        <v>4</v>
      </c>
      <c r="D200">
        <v>122</v>
      </c>
      <c r="E200" s="169">
        <v>449052000000</v>
      </c>
      <c r="F200" s="110">
        <v>0</v>
      </c>
      <c r="G200" s="110">
        <v>0</v>
      </c>
      <c r="H200" s="110">
        <v>0</v>
      </c>
      <c r="I200" t="str">
        <f>TEXT(ConsorcioDespesas[[#This Row],[NDO]],"000000000000")</f>
        <v>449052000000</v>
      </c>
      <c r="J200">
        <f>_xlfn.SWITCH(MONTH(ConsorcioDespesas[[#This Row],[Data-base]]),1,1,2,1,3,2,4,2,5,3,6,3,7,4,8,4,9,5,10,5,11,6,12,6)</f>
        <v>6</v>
      </c>
      <c r="K200">
        <f>YEAR(ConsorcioDespesas[[#This Row],[Data-base]])</f>
        <v>2023</v>
      </c>
      <c r="L200">
        <f>MONTH(ConsorcioDespesas[[#This Row],[Data-base]])</f>
        <v>12</v>
      </c>
      <c r="M200" t="str">
        <f>TEXT(ConsorcioDespesas[[#This Row],[NDO]],"000000000000")</f>
        <v>449052000000</v>
      </c>
    </row>
    <row r="201" spans="1:13" x14ac:dyDescent="0.25">
      <c r="A201" t="s">
        <v>85</v>
      </c>
      <c r="B201" s="111">
        <v>45291</v>
      </c>
      <c r="C201">
        <v>10</v>
      </c>
      <c r="D201">
        <v>302</v>
      </c>
      <c r="E201" s="169">
        <v>334041390500</v>
      </c>
      <c r="F201" s="110">
        <v>9273.68</v>
      </c>
      <c r="G201" s="110">
        <v>9273.68</v>
      </c>
      <c r="H201" s="110">
        <v>9273.68</v>
      </c>
      <c r="I201" t="str">
        <f>TEXT(ConsorcioDespesas[[#This Row],[NDO]],"000000000000")</f>
        <v>334041390500</v>
      </c>
      <c r="J201">
        <f>_xlfn.SWITCH(MONTH(ConsorcioDespesas[[#This Row],[Data-base]]),1,1,2,1,3,2,4,2,5,3,6,3,7,4,8,4,9,5,10,5,11,6,12,6)</f>
        <v>6</v>
      </c>
      <c r="K201">
        <f>YEAR(ConsorcioDespesas[[#This Row],[Data-base]])</f>
        <v>2023</v>
      </c>
      <c r="L201">
        <f>MONTH(ConsorcioDespesas[[#This Row],[Data-base]])</f>
        <v>12</v>
      </c>
      <c r="M201" t="str">
        <f>TEXT(ConsorcioDespesas[[#This Row],[NDO]],"000000000000")</f>
        <v>334041390500</v>
      </c>
    </row>
    <row r="202" spans="1:13" x14ac:dyDescent="0.25">
      <c r="A202" t="s">
        <v>85</v>
      </c>
      <c r="B202" s="111">
        <v>45291</v>
      </c>
      <c r="C202">
        <v>10</v>
      </c>
      <c r="D202">
        <v>302</v>
      </c>
      <c r="E202" s="169">
        <v>334041391100</v>
      </c>
      <c r="F202" s="110">
        <v>626.91999999999996</v>
      </c>
      <c r="G202" s="110">
        <v>626.91999999999996</v>
      </c>
      <c r="H202" s="110">
        <v>1253.8399999999999</v>
      </c>
      <c r="I202" t="str">
        <f>TEXT(ConsorcioDespesas[[#This Row],[NDO]],"000000000000")</f>
        <v>334041391100</v>
      </c>
      <c r="J202">
        <f>_xlfn.SWITCH(MONTH(ConsorcioDespesas[[#This Row],[Data-base]]),1,1,2,1,3,2,4,2,5,3,6,3,7,4,8,4,9,5,10,5,11,6,12,6)</f>
        <v>6</v>
      </c>
      <c r="K202">
        <f>YEAR(ConsorcioDespesas[[#This Row],[Data-base]])</f>
        <v>2023</v>
      </c>
      <c r="L202">
        <f>MONTH(ConsorcioDespesas[[#This Row],[Data-base]])</f>
        <v>12</v>
      </c>
      <c r="M202" t="str">
        <f>TEXT(ConsorcioDespesas[[#This Row],[NDO]],"000000000000")</f>
        <v>334041391100</v>
      </c>
    </row>
    <row r="203" spans="1:13" x14ac:dyDescent="0.25">
      <c r="A203" t="s">
        <v>85</v>
      </c>
      <c r="B203" s="111">
        <v>45291</v>
      </c>
      <c r="C203">
        <v>10</v>
      </c>
      <c r="D203">
        <v>302</v>
      </c>
      <c r="E203" s="169">
        <v>334041391000</v>
      </c>
      <c r="F203" s="110">
        <v>874.88</v>
      </c>
      <c r="G203" s="110">
        <v>874.88</v>
      </c>
      <c r="H203" s="110">
        <v>1749.76</v>
      </c>
      <c r="I203" t="str">
        <f>TEXT(ConsorcioDespesas[[#This Row],[NDO]],"000000000000")</f>
        <v>334041391000</v>
      </c>
      <c r="J203">
        <f>_xlfn.SWITCH(MONTH(ConsorcioDespesas[[#This Row],[Data-base]]),1,1,2,1,3,2,4,2,5,3,6,3,7,4,8,4,9,5,10,5,11,6,12,6)</f>
        <v>6</v>
      </c>
      <c r="K203">
        <f>YEAR(ConsorcioDespesas[[#This Row],[Data-base]])</f>
        <v>2023</v>
      </c>
      <c r="L203">
        <f>MONTH(ConsorcioDespesas[[#This Row],[Data-base]])</f>
        <v>12</v>
      </c>
      <c r="M203" t="str">
        <f>TEXT(ConsorcioDespesas[[#This Row],[NDO]],"000000000000")</f>
        <v>334041391000</v>
      </c>
    </row>
    <row r="204" spans="1:13" x14ac:dyDescent="0.25">
      <c r="A204" t="s">
        <v>85</v>
      </c>
      <c r="B204" s="111">
        <v>45322</v>
      </c>
      <c r="C204">
        <v>4</v>
      </c>
      <c r="D204">
        <v>122</v>
      </c>
      <c r="E204" s="169">
        <v>319011010100</v>
      </c>
      <c r="F204" s="110">
        <v>893.46</v>
      </c>
      <c r="G204" s="110">
        <v>893.46</v>
      </c>
      <c r="H204" s="110">
        <v>893.46</v>
      </c>
      <c r="I204" t="str">
        <f>TEXT(ConsorcioDespesas[[#This Row],[NDO]],"000000000000")</f>
        <v>319011010100</v>
      </c>
      <c r="J204">
        <f>_xlfn.SWITCH(MONTH(ConsorcioDespesas[[#This Row],[Data-base]]),1,1,2,1,3,2,4,2,5,3,6,3,7,4,8,4,9,5,10,5,11,6,12,6)</f>
        <v>1</v>
      </c>
      <c r="K204">
        <f>YEAR(ConsorcioDespesas[[#This Row],[Data-base]])</f>
        <v>2024</v>
      </c>
      <c r="L204">
        <f>MONTH(ConsorcioDespesas[[#This Row],[Data-base]])</f>
        <v>1</v>
      </c>
      <c r="M204" t="str">
        <f>TEXT(ConsorcioDespesas[[#This Row],[NDO]],"000000000000")</f>
        <v>319011010100</v>
      </c>
    </row>
    <row r="205" spans="1:13" x14ac:dyDescent="0.25">
      <c r="A205" t="s">
        <v>85</v>
      </c>
      <c r="B205" s="111">
        <v>45322</v>
      </c>
      <c r="C205">
        <v>4</v>
      </c>
      <c r="D205">
        <v>122</v>
      </c>
      <c r="E205" s="169">
        <v>319013010100</v>
      </c>
      <c r="F205" s="110">
        <v>72.12</v>
      </c>
      <c r="G205" s="110">
        <v>72.12</v>
      </c>
      <c r="H205" s="110">
        <v>0</v>
      </c>
      <c r="I205" t="str">
        <f>TEXT(ConsorcioDespesas[[#This Row],[NDO]],"000000000000")</f>
        <v>319013010100</v>
      </c>
      <c r="J205">
        <f>_xlfn.SWITCH(MONTH(ConsorcioDespesas[[#This Row],[Data-base]]),1,1,2,1,3,2,4,2,5,3,6,3,7,4,8,4,9,5,10,5,11,6,12,6)</f>
        <v>1</v>
      </c>
      <c r="K205">
        <f>YEAR(ConsorcioDespesas[[#This Row],[Data-base]])</f>
        <v>2024</v>
      </c>
      <c r="L205">
        <f>MONTH(ConsorcioDespesas[[#This Row],[Data-base]])</f>
        <v>1</v>
      </c>
      <c r="M205" t="str">
        <f>TEXT(ConsorcioDespesas[[#This Row],[NDO]],"000000000000")</f>
        <v>319013010100</v>
      </c>
    </row>
    <row r="206" spans="1:13" x14ac:dyDescent="0.25">
      <c r="A206" t="s">
        <v>85</v>
      </c>
      <c r="B206" s="111">
        <v>45322</v>
      </c>
      <c r="C206">
        <v>4</v>
      </c>
      <c r="D206">
        <v>122</v>
      </c>
      <c r="E206" s="169">
        <v>319013020100</v>
      </c>
      <c r="F206" s="110">
        <v>187.63</v>
      </c>
      <c r="G206" s="110">
        <v>187.63</v>
      </c>
      <c r="H206" s="110">
        <v>0</v>
      </c>
      <c r="I206" t="str">
        <f>TEXT(ConsorcioDespesas[[#This Row],[NDO]],"000000000000")</f>
        <v>319013020100</v>
      </c>
      <c r="J206">
        <f>_xlfn.SWITCH(MONTH(ConsorcioDespesas[[#This Row],[Data-base]]),1,1,2,1,3,2,4,2,5,3,6,3,7,4,8,4,9,5,10,5,11,6,12,6)</f>
        <v>1</v>
      </c>
      <c r="K206">
        <f>YEAR(ConsorcioDespesas[[#This Row],[Data-base]])</f>
        <v>2024</v>
      </c>
      <c r="L206">
        <f>MONTH(ConsorcioDespesas[[#This Row],[Data-base]])</f>
        <v>1</v>
      </c>
      <c r="M206" t="str">
        <f>TEXT(ConsorcioDespesas[[#This Row],[NDO]],"000000000000")</f>
        <v>319013020100</v>
      </c>
    </row>
    <row r="207" spans="1:13" x14ac:dyDescent="0.25">
      <c r="A207" t="s">
        <v>85</v>
      </c>
      <c r="B207" s="111">
        <v>45322</v>
      </c>
      <c r="C207">
        <v>4</v>
      </c>
      <c r="D207">
        <v>122</v>
      </c>
      <c r="E207" s="169">
        <v>339014140000</v>
      </c>
      <c r="F207" s="110">
        <v>0</v>
      </c>
      <c r="G207" s="110">
        <v>0</v>
      </c>
      <c r="H207" s="110">
        <v>0</v>
      </c>
      <c r="I207" t="str">
        <f>TEXT(ConsorcioDespesas[[#This Row],[NDO]],"000000000000")</f>
        <v>339014140000</v>
      </c>
      <c r="J207">
        <f>_xlfn.SWITCH(MONTH(ConsorcioDespesas[[#This Row],[Data-base]]),1,1,2,1,3,2,4,2,5,3,6,3,7,4,8,4,9,5,10,5,11,6,12,6)</f>
        <v>1</v>
      </c>
      <c r="K207">
        <f>YEAR(ConsorcioDespesas[[#This Row],[Data-base]])</f>
        <v>2024</v>
      </c>
      <c r="L207">
        <f>MONTH(ConsorcioDespesas[[#This Row],[Data-base]])</f>
        <v>1</v>
      </c>
      <c r="M207" t="str">
        <f>TEXT(ConsorcioDespesas[[#This Row],[NDO]],"000000000000")</f>
        <v>339014140000</v>
      </c>
    </row>
    <row r="208" spans="1:13" x14ac:dyDescent="0.25">
      <c r="A208" t="s">
        <v>85</v>
      </c>
      <c r="B208" s="111">
        <v>45322</v>
      </c>
      <c r="C208">
        <v>4</v>
      </c>
      <c r="D208">
        <v>122</v>
      </c>
      <c r="E208" s="169">
        <v>339030000000</v>
      </c>
      <c r="F208" s="110">
        <v>0</v>
      </c>
      <c r="G208" s="110">
        <v>0</v>
      </c>
      <c r="H208" s="110">
        <v>0</v>
      </c>
      <c r="I208" t="str">
        <f>TEXT(ConsorcioDespesas[[#This Row],[NDO]],"000000000000")</f>
        <v>339030000000</v>
      </c>
      <c r="J208">
        <f>_xlfn.SWITCH(MONTH(ConsorcioDespesas[[#This Row],[Data-base]]),1,1,2,1,3,2,4,2,5,3,6,3,7,4,8,4,9,5,10,5,11,6,12,6)</f>
        <v>1</v>
      </c>
      <c r="K208">
        <f>YEAR(ConsorcioDespesas[[#This Row],[Data-base]])</f>
        <v>2024</v>
      </c>
      <c r="L208">
        <f>MONTH(ConsorcioDespesas[[#This Row],[Data-base]])</f>
        <v>1</v>
      </c>
      <c r="M208" t="str">
        <f>TEXT(ConsorcioDespesas[[#This Row],[NDO]],"000000000000")</f>
        <v>339030000000</v>
      </c>
    </row>
    <row r="209" spans="1:13" x14ac:dyDescent="0.25">
      <c r="A209" t="s">
        <v>85</v>
      </c>
      <c r="B209" s="111">
        <v>45322</v>
      </c>
      <c r="C209">
        <v>4</v>
      </c>
      <c r="D209">
        <v>122</v>
      </c>
      <c r="E209" s="169">
        <v>339033010000</v>
      </c>
      <c r="F209" s="110">
        <v>0</v>
      </c>
      <c r="G209" s="110">
        <v>0</v>
      </c>
      <c r="H209" s="110">
        <v>0</v>
      </c>
      <c r="I209" t="str">
        <f>TEXT(ConsorcioDespesas[[#This Row],[NDO]],"000000000000")</f>
        <v>339033010000</v>
      </c>
      <c r="J209">
        <f>_xlfn.SWITCH(MONTH(ConsorcioDespesas[[#This Row],[Data-base]]),1,1,2,1,3,2,4,2,5,3,6,3,7,4,8,4,9,5,10,5,11,6,12,6)</f>
        <v>1</v>
      </c>
      <c r="K209">
        <f>YEAR(ConsorcioDespesas[[#This Row],[Data-base]])</f>
        <v>2024</v>
      </c>
      <c r="L209">
        <f>MONTH(ConsorcioDespesas[[#This Row],[Data-base]])</f>
        <v>1</v>
      </c>
      <c r="M209" t="str">
        <f>TEXT(ConsorcioDespesas[[#This Row],[NDO]],"000000000000")</f>
        <v>339033010000</v>
      </c>
    </row>
    <row r="210" spans="1:13" x14ac:dyDescent="0.25">
      <c r="A210" t="s">
        <v>85</v>
      </c>
      <c r="B210" s="111">
        <v>45322</v>
      </c>
      <c r="C210">
        <v>4</v>
      </c>
      <c r="D210">
        <v>122</v>
      </c>
      <c r="E210" s="169">
        <v>339039000000</v>
      </c>
      <c r="F210" s="110">
        <v>563.54999999999995</v>
      </c>
      <c r="G210" s="110">
        <v>45.56</v>
      </c>
      <c r="H210" s="110">
        <v>6.25</v>
      </c>
      <c r="I210" t="str">
        <f>TEXT(ConsorcioDespesas[[#This Row],[NDO]],"000000000000")</f>
        <v>339039000000</v>
      </c>
      <c r="J210">
        <f>_xlfn.SWITCH(MONTH(ConsorcioDespesas[[#This Row],[Data-base]]),1,1,2,1,3,2,4,2,5,3,6,3,7,4,8,4,9,5,10,5,11,6,12,6)</f>
        <v>1</v>
      </c>
      <c r="K210">
        <f>YEAR(ConsorcioDespesas[[#This Row],[Data-base]])</f>
        <v>2024</v>
      </c>
      <c r="L210">
        <f>MONTH(ConsorcioDespesas[[#This Row],[Data-base]])</f>
        <v>1</v>
      </c>
      <c r="M210" t="str">
        <f>TEXT(ConsorcioDespesas[[#This Row],[NDO]],"000000000000")</f>
        <v>339039000000</v>
      </c>
    </row>
    <row r="211" spans="1:13" x14ac:dyDescent="0.25">
      <c r="A211" t="s">
        <v>85</v>
      </c>
      <c r="B211" s="111">
        <v>45322</v>
      </c>
      <c r="C211">
        <v>4</v>
      </c>
      <c r="D211">
        <v>122</v>
      </c>
      <c r="E211" s="169">
        <v>339039990100</v>
      </c>
      <c r="F211" s="110">
        <v>0</v>
      </c>
      <c r="G211" s="110">
        <v>0</v>
      </c>
      <c r="H211" s="110">
        <v>0</v>
      </c>
      <c r="I211" t="str">
        <f>TEXT(ConsorcioDespesas[[#This Row],[NDO]],"000000000000")</f>
        <v>339039990100</v>
      </c>
      <c r="J211">
        <f>_xlfn.SWITCH(MONTH(ConsorcioDespesas[[#This Row],[Data-base]]),1,1,2,1,3,2,4,2,5,3,6,3,7,4,8,4,9,5,10,5,11,6,12,6)</f>
        <v>1</v>
      </c>
      <c r="K211">
        <f>YEAR(ConsorcioDespesas[[#This Row],[Data-base]])</f>
        <v>2024</v>
      </c>
      <c r="L211">
        <f>MONTH(ConsorcioDespesas[[#This Row],[Data-base]])</f>
        <v>1</v>
      </c>
      <c r="M211" t="str">
        <f>TEXT(ConsorcioDespesas[[#This Row],[NDO]],"000000000000")</f>
        <v>339039990100</v>
      </c>
    </row>
    <row r="212" spans="1:13" x14ac:dyDescent="0.25">
      <c r="A212" t="s">
        <v>85</v>
      </c>
      <c r="B212" s="111">
        <v>45322</v>
      </c>
      <c r="C212">
        <v>4</v>
      </c>
      <c r="D212">
        <v>122</v>
      </c>
      <c r="E212" s="169">
        <v>339039400000</v>
      </c>
      <c r="F212" s="110">
        <v>1310.0899999999999</v>
      </c>
      <c r="G212" s="110">
        <v>109.17</v>
      </c>
      <c r="H212" s="110">
        <v>0</v>
      </c>
      <c r="I212" t="str">
        <f>TEXT(ConsorcioDespesas[[#This Row],[NDO]],"000000000000")</f>
        <v>339039400000</v>
      </c>
      <c r="J212">
        <f>_xlfn.SWITCH(MONTH(ConsorcioDespesas[[#This Row],[Data-base]]),1,1,2,1,3,2,4,2,5,3,6,3,7,4,8,4,9,5,10,5,11,6,12,6)</f>
        <v>1</v>
      </c>
      <c r="K212">
        <f>YEAR(ConsorcioDespesas[[#This Row],[Data-base]])</f>
        <v>2024</v>
      </c>
      <c r="L212">
        <f>MONTH(ConsorcioDespesas[[#This Row],[Data-base]])</f>
        <v>1</v>
      </c>
      <c r="M212" t="str">
        <f>TEXT(ConsorcioDespesas[[#This Row],[NDO]],"000000000000")</f>
        <v>339039400000</v>
      </c>
    </row>
    <row r="213" spans="1:13" x14ac:dyDescent="0.25">
      <c r="A213" t="s">
        <v>85</v>
      </c>
      <c r="B213" s="111">
        <v>45322</v>
      </c>
      <c r="C213">
        <v>4</v>
      </c>
      <c r="D213">
        <v>122</v>
      </c>
      <c r="E213" s="169">
        <v>339046010100</v>
      </c>
      <c r="F213" s="110">
        <v>53.48</v>
      </c>
      <c r="G213" s="110">
        <v>53.48</v>
      </c>
      <c r="H213" s="110">
        <v>53.48</v>
      </c>
      <c r="I213" t="str">
        <f>TEXT(ConsorcioDespesas[[#This Row],[NDO]],"000000000000")</f>
        <v>339046010100</v>
      </c>
      <c r="J213">
        <f>_xlfn.SWITCH(MONTH(ConsorcioDespesas[[#This Row],[Data-base]]),1,1,2,1,3,2,4,2,5,3,6,3,7,4,8,4,9,5,10,5,11,6,12,6)</f>
        <v>1</v>
      </c>
      <c r="K213">
        <f>YEAR(ConsorcioDespesas[[#This Row],[Data-base]])</f>
        <v>2024</v>
      </c>
      <c r="L213">
        <f>MONTH(ConsorcioDespesas[[#This Row],[Data-base]])</f>
        <v>1</v>
      </c>
      <c r="M213" t="str">
        <f>TEXT(ConsorcioDespesas[[#This Row],[NDO]],"000000000000")</f>
        <v>339046010100</v>
      </c>
    </row>
    <row r="214" spans="1:13" x14ac:dyDescent="0.25">
      <c r="A214" t="s">
        <v>85</v>
      </c>
      <c r="B214" s="111">
        <v>45322</v>
      </c>
      <c r="C214">
        <v>4</v>
      </c>
      <c r="D214">
        <v>122</v>
      </c>
      <c r="E214" s="169">
        <v>339047000000</v>
      </c>
      <c r="F214" s="110">
        <v>0</v>
      </c>
      <c r="G214" s="110">
        <v>0</v>
      </c>
      <c r="H214" s="110">
        <v>0</v>
      </c>
      <c r="I214" t="str">
        <f>TEXT(ConsorcioDespesas[[#This Row],[NDO]],"000000000000")</f>
        <v>339047000000</v>
      </c>
      <c r="J214">
        <f>_xlfn.SWITCH(MONTH(ConsorcioDespesas[[#This Row],[Data-base]]),1,1,2,1,3,2,4,2,5,3,6,3,7,4,8,4,9,5,10,5,11,6,12,6)</f>
        <v>1</v>
      </c>
      <c r="K214">
        <f>YEAR(ConsorcioDespesas[[#This Row],[Data-base]])</f>
        <v>2024</v>
      </c>
      <c r="L214">
        <f>MONTH(ConsorcioDespesas[[#This Row],[Data-base]])</f>
        <v>1</v>
      </c>
      <c r="M214" t="str">
        <f>TEXT(ConsorcioDespesas[[#This Row],[NDO]],"000000000000")</f>
        <v>339047000000</v>
      </c>
    </row>
    <row r="215" spans="1:13" x14ac:dyDescent="0.25">
      <c r="A215" t="s">
        <v>85</v>
      </c>
      <c r="B215" s="111">
        <v>45322</v>
      </c>
      <c r="C215">
        <v>4</v>
      </c>
      <c r="D215">
        <v>122</v>
      </c>
      <c r="E215" s="169">
        <v>339049010000</v>
      </c>
      <c r="F215" s="110">
        <v>0</v>
      </c>
      <c r="G215" s="110">
        <v>0</v>
      </c>
      <c r="H215" s="110">
        <v>0</v>
      </c>
      <c r="I215" t="str">
        <f>TEXT(ConsorcioDespesas[[#This Row],[NDO]],"000000000000")</f>
        <v>339049010000</v>
      </c>
      <c r="J215">
        <f>_xlfn.SWITCH(MONTH(ConsorcioDespesas[[#This Row],[Data-base]]),1,1,2,1,3,2,4,2,5,3,6,3,7,4,8,4,9,5,10,5,11,6,12,6)</f>
        <v>1</v>
      </c>
      <c r="K215">
        <f>YEAR(ConsorcioDespesas[[#This Row],[Data-base]])</f>
        <v>2024</v>
      </c>
      <c r="L215">
        <f>MONTH(ConsorcioDespesas[[#This Row],[Data-base]])</f>
        <v>1</v>
      </c>
      <c r="M215" t="str">
        <f>TEXT(ConsorcioDespesas[[#This Row],[NDO]],"000000000000")</f>
        <v>339049010000</v>
      </c>
    </row>
    <row r="216" spans="1:13" x14ac:dyDescent="0.25">
      <c r="A216" t="s">
        <v>85</v>
      </c>
      <c r="B216" s="111">
        <v>45322</v>
      </c>
      <c r="C216">
        <v>4</v>
      </c>
      <c r="D216">
        <v>122</v>
      </c>
      <c r="E216" s="169">
        <v>449052000000</v>
      </c>
      <c r="F216" s="110">
        <v>0</v>
      </c>
      <c r="G216" s="110">
        <v>0</v>
      </c>
      <c r="H216" s="110">
        <v>0</v>
      </c>
      <c r="I216" t="str">
        <f>TEXT(ConsorcioDespesas[[#This Row],[NDO]],"000000000000")</f>
        <v>449052000000</v>
      </c>
      <c r="J216">
        <f>_xlfn.SWITCH(MONTH(ConsorcioDespesas[[#This Row],[Data-base]]),1,1,2,1,3,2,4,2,5,3,6,3,7,4,8,4,9,5,10,5,11,6,12,6)</f>
        <v>1</v>
      </c>
      <c r="K216">
        <f>YEAR(ConsorcioDespesas[[#This Row],[Data-base]])</f>
        <v>2024</v>
      </c>
      <c r="L216">
        <f>MONTH(ConsorcioDespesas[[#This Row],[Data-base]])</f>
        <v>1</v>
      </c>
      <c r="M216" t="str">
        <f>TEXT(ConsorcioDespesas[[#This Row],[NDO]],"000000000000")</f>
        <v>449052000000</v>
      </c>
    </row>
    <row r="217" spans="1:13" x14ac:dyDescent="0.25">
      <c r="A217" t="s">
        <v>85</v>
      </c>
      <c r="B217" s="111">
        <v>45322</v>
      </c>
      <c r="C217">
        <v>10</v>
      </c>
      <c r="D217">
        <v>302</v>
      </c>
      <c r="E217" s="169">
        <v>334041390500</v>
      </c>
      <c r="F217" s="110">
        <v>0</v>
      </c>
      <c r="G217" s="110">
        <v>0</v>
      </c>
      <c r="H217" s="110">
        <v>0</v>
      </c>
      <c r="I217" t="str">
        <f>TEXT(ConsorcioDespesas[[#This Row],[NDO]],"000000000000")</f>
        <v>334041390500</v>
      </c>
      <c r="J217">
        <f>_xlfn.SWITCH(MONTH(ConsorcioDespesas[[#This Row],[Data-base]]),1,1,2,1,3,2,4,2,5,3,6,3,7,4,8,4,9,5,10,5,11,6,12,6)</f>
        <v>1</v>
      </c>
      <c r="K217">
        <f>YEAR(ConsorcioDespesas[[#This Row],[Data-base]])</f>
        <v>2024</v>
      </c>
      <c r="L217">
        <f>MONTH(ConsorcioDespesas[[#This Row],[Data-base]])</f>
        <v>1</v>
      </c>
      <c r="M217" t="str">
        <f>TEXT(ConsorcioDespesas[[#This Row],[NDO]],"000000000000")</f>
        <v>334041390500</v>
      </c>
    </row>
    <row r="218" spans="1:13" x14ac:dyDescent="0.25">
      <c r="A218" t="s">
        <v>85</v>
      </c>
      <c r="B218" s="111">
        <v>45322</v>
      </c>
      <c r="C218">
        <v>10</v>
      </c>
      <c r="D218">
        <v>302</v>
      </c>
      <c r="E218" s="169">
        <v>334041391100</v>
      </c>
      <c r="F218" s="110">
        <v>0</v>
      </c>
      <c r="G218" s="110">
        <v>0</v>
      </c>
      <c r="H218" s="110">
        <v>0</v>
      </c>
      <c r="I218" t="str">
        <f>TEXT(ConsorcioDespesas[[#This Row],[NDO]],"000000000000")</f>
        <v>334041391100</v>
      </c>
      <c r="J218">
        <f>_xlfn.SWITCH(MONTH(ConsorcioDespesas[[#This Row],[Data-base]]),1,1,2,1,3,2,4,2,5,3,6,3,7,4,8,4,9,5,10,5,11,6,12,6)</f>
        <v>1</v>
      </c>
      <c r="K218">
        <f>YEAR(ConsorcioDespesas[[#This Row],[Data-base]])</f>
        <v>2024</v>
      </c>
      <c r="L218">
        <f>MONTH(ConsorcioDespesas[[#This Row],[Data-base]])</f>
        <v>1</v>
      </c>
      <c r="M218" t="str">
        <f>TEXT(ConsorcioDespesas[[#This Row],[NDO]],"000000000000")</f>
        <v>334041391100</v>
      </c>
    </row>
    <row r="219" spans="1:13" x14ac:dyDescent="0.25">
      <c r="A219" t="s">
        <v>85</v>
      </c>
      <c r="B219" s="111">
        <v>45322</v>
      </c>
      <c r="C219">
        <v>10</v>
      </c>
      <c r="D219">
        <v>302</v>
      </c>
      <c r="E219" s="169">
        <v>334041391000</v>
      </c>
      <c r="F219" s="110">
        <v>0</v>
      </c>
      <c r="G219" s="110">
        <v>0</v>
      </c>
      <c r="H219" s="110">
        <v>0</v>
      </c>
      <c r="I219" t="str">
        <f>TEXT(ConsorcioDespesas[[#This Row],[NDO]],"000000000000")</f>
        <v>334041391000</v>
      </c>
      <c r="J219">
        <f>_xlfn.SWITCH(MONTH(ConsorcioDespesas[[#This Row],[Data-base]]),1,1,2,1,3,2,4,2,5,3,6,3,7,4,8,4,9,5,10,5,11,6,12,6)</f>
        <v>1</v>
      </c>
      <c r="K219">
        <f>YEAR(ConsorcioDespesas[[#This Row],[Data-base]])</f>
        <v>2024</v>
      </c>
      <c r="L219">
        <f>MONTH(ConsorcioDespesas[[#This Row],[Data-base]])</f>
        <v>1</v>
      </c>
      <c r="M219" t="str">
        <f>TEXT(ConsorcioDespesas[[#This Row],[NDO]],"000000000000")</f>
        <v>334041391000</v>
      </c>
    </row>
    <row r="220" spans="1:13" x14ac:dyDescent="0.25">
      <c r="A220" t="s">
        <v>85</v>
      </c>
      <c r="B220" s="111">
        <v>45351</v>
      </c>
      <c r="C220">
        <v>4</v>
      </c>
      <c r="D220">
        <v>122</v>
      </c>
      <c r="E220" s="169">
        <v>319011010100</v>
      </c>
      <c r="F220" s="110">
        <v>895.44</v>
      </c>
      <c r="G220" s="110">
        <v>895.44</v>
      </c>
      <c r="H220" s="110">
        <v>895.44</v>
      </c>
      <c r="I220" t="str">
        <f>TEXT(ConsorcioDespesas[[#This Row],[NDO]],"000000000000")</f>
        <v>319011010100</v>
      </c>
      <c r="J220">
        <f>_xlfn.SWITCH(MONTH(ConsorcioDespesas[[#This Row],[Data-base]]),1,1,2,1,3,2,4,2,5,3,6,3,7,4,8,4,9,5,10,5,11,6,12,6)</f>
        <v>1</v>
      </c>
      <c r="K220">
        <f>YEAR(ConsorcioDespesas[[#This Row],[Data-base]])</f>
        <v>2024</v>
      </c>
      <c r="L220">
        <f>MONTH(ConsorcioDespesas[[#This Row],[Data-base]])</f>
        <v>2</v>
      </c>
      <c r="M220" t="str">
        <f>TEXT(ConsorcioDespesas[[#This Row],[NDO]],"000000000000")</f>
        <v>319011010100</v>
      </c>
    </row>
    <row r="221" spans="1:13" x14ac:dyDescent="0.25">
      <c r="A221" t="s">
        <v>85</v>
      </c>
      <c r="B221" s="111">
        <v>45351</v>
      </c>
      <c r="C221">
        <v>4</v>
      </c>
      <c r="D221">
        <v>122</v>
      </c>
      <c r="E221" s="169">
        <v>319013010100</v>
      </c>
      <c r="F221" s="110">
        <v>71.64</v>
      </c>
      <c r="G221" s="110">
        <v>71.64</v>
      </c>
      <c r="H221" s="110">
        <v>72.12</v>
      </c>
      <c r="I221" t="str">
        <f>TEXT(ConsorcioDespesas[[#This Row],[NDO]],"000000000000")</f>
        <v>319013010100</v>
      </c>
      <c r="J221">
        <f>_xlfn.SWITCH(MONTH(ConsorcioDespesas[[#This Row],[Data-base]]),1,1,2,1,3,2,4,2,5,3,6,3,7,4,8,4,9,5,10,5,11,6,12,6)</f>
        <v>1</v>
      </c>
      <c r="K221">
        <f>YEAR(ConsorcioDespesas[[#This Row],[Data-base]])</f>
        <v>2024</v>
      </c>
      <c r="L221">
        <f>MONTH(ConsorcioDespesas[[#This Row],[Data-base]])</f>
        <v>2</v>
      </c>
      <c r="M221" t="str">
        <f>TEXT(ConsorcioDespesas[[#This Row],[NDO]],"000000000000")</f>
        <v>319013010100</v>
      </c>
    </row>
    <row r="222" spans="1:13" x14ac:dyDescent="0.25">
      <c r="A222" t="s">
        <v>85</v>
      </c>
      <c r="B222" s="111">
        <v>45351</v>
      </c>
      <c r="C222">
        <v>4</v>
      </c>
      <c r="D222">
        <v>122</v>
      </c>
      <c r="E222" s="169">
        <v>319013020100</v>
      </c>
      <c r="F222" s="110">
        <v>188.69</v>
      </c>
      <c r="G222" s="110">
        <v>188.69</v>
      </c>
      <c r="H222" s="110">
        <v>187.63</v>
      </c>
      <c r="I222" t="str">
        <f>TEXT(ConsorcioDespesas[[#This Row],[NDO]],"000000000000")</f>
        <v>319013020100</v>
      </c>
      <c r="J222">
        <f>_xlfn.SWITCH(MONTH(ConsorcioDespesas[[#This Row],[Data-base]]),1,1,2,1,3,2,4,2,5,3,6,3,7,4,8,4,9,5,10,5,11,6,12,6)</f>
        <v>1</v>
      </c>
      <c r="K222">
        <f>YEAR(ConsorcioDespesas[[#This Row],[Data-base]])</f>
        <v>2024</v>
      </c>
      <c r="L222">
        <f>MONTH(ConsorcioDespesas[[#This Row],[Data-base]])</f>
        <v>2</v>
      </c>
      <c r="M222" t="str">
        <f>TEXT(ConsorcioDespesas[[#This Row],[NDO]],"000000000000")</f>
        <v>319013020100</v>
      </c>
    </row>
    <row r="223" spans="1:13" x14ac:dyDescent="0.25">
      <c r="A223" t="s">
        <v>85</v>
      </c>
      <c r="B223" s="111">
        <v>45351</v>
      </c>
      <c r="C223">
        <v>4</v>
      </c>
      <c r="D223">
        <v>122</v>
      </c>
      <c r="E223" s="169">
        <v>339014140000</v>
      </c>
      <c r="F223" s="110">
        <v>0</v>
      </c>
      <c r="G223" s="110">
        <v>0</v>
      </c>
      <c r="H223" s="110">
        <v>0</v>
      </c>
      <c r="I223" t="str">
        <f>TEXT(ConsorcioDespesas[[#This Row],[NDO]],"000000000000")</f>
        <v>339014140000</v>
      </c>
      <c r="J223">
        <f>_xlfn.SWITCH(MONTH(ConsorcioDespesas[[#This Row],[Data-base]]),1,1,2,1,3,2,4,2,5,3,6,3,7,4,8,4,9,5,10,5,11,6,12,6)</f>
        <v>1</v>
      </c>
      <c r="K223">
        <f>YEAR(ConsorcioDespesas[[#This Row],[Data-base]])</f>
        <v>2024</v>
      </c>
      <c r="L223">
        <f>MONTH(ConsorcioDespesas[[#This Row],[Data-base]])</f>
        <v>2</v>
      </c>
      <c r="M223" t="str">
        <f>TEXT(ConsorcioDespesas[[#This Row],[NDO]],"000000000000")</f>
        <v>339014140000</v>
      </c>
    </row>
    <row r="224" spans="1:13" x14ac:dyDescent="0.25">
      <c r="A224" t="s">
        <v>85</v>
      </c>
      <c r="B224" s="111">
        <v>45351</v>
      </c>
      <c r="C224">
        <v>4</v>
      </c>
      <c r="D224">
        <v>122</v>
      </c>
      <c r="E224" s="169">
        <v>339030000000</v>
      </c>
      <c r="F224" s="110">
        <v>52.45</v>
      </c>
      <c r="G224" s="110">
        <v>52.45</v>
      </c>
      <c r="H224" s="110">
        <v>52.45</v>
      </c>
      <c r="I224" t="str">
        <f>TEXT(ConsorcioDespesas[[#This Row],[NDO]],"000000000000")</f>
        <v>339030000000</v>
      </c>
      <c r="J224">
        <f>_xlfn.SWITCH(MONTH(ConsorcioDespesas[[#This Row],[Data-base]]),1,1,2,1,3,2,4,2,5,3,6,3,7,4,8,4,9,5,10,5,11,6,12,6)</f>
        <v>1</v>
      </c>
      <c r="K224">
        <f>YEAR(ConsorcioDespesas[[#This Row],[Data-base]])</f>
        <v>2024</v>
      </c>
      <c r="L224">
        <f>MONTH(ConsorcioDespesas[[#This Row],[Data-base]])</f>
        <v>2</v>
      </c>
      <c r="M224" t="str">
        <f>TEXT(ConsorcioDespesas[[#This Row],[NDO]],"000000000000")</f>
        <v>339030000000</v>
      </c>
    </row>
    <row r="225" spans="1:13" x14ac:dyDescent="0.25">
      <c r="A225" t="s">
        <v>85</v>
      </c>
      <c r="B225" s="111">
        <v>45351</v>
      </c>
      <c r="C225">
        <v>4</v>
      </c>
      <c r="D225">
        <v>122</v>
      </c>
      <c r="E225" s="169">
        <v>339033010000</v>
      </c>
      <c r="F225" s="110">
        <v>0</v>
      </c>
      <c r="G225" s="110"/>
      <c r="H225" s="110">
        <v>42.77</v>
      </c>
      <c r="I225" t="str">
        <f>TEXT(ConsorcioDespesas[[#This Row],[NDO]],"000000000000")</f>
        <v>339033010000</v>
      </c>
      <c r="J225">
        <f>_xlfn.SWITCH(MONTH(ConsorcioDespesas[[#This Row],[Data-base]]),1,1,2,1,3,2,4,2,5,3,6,3,7,4,8,4,9,5,10,5,11,6,12,6)</f>
        <v>1</v>
      </c>
      <c r="K225">
        <f>YEAR(ConsorcioDespesas[[#This Row],[Data-base]])</f>
        <v>2024</v>
      </c>
      <c r="L225">
        <f>MONTH(ConsorcioDespesas[[#This Row],[Data-base]])</f>
        <v>2</v>
      </c>
      <c r="M225" t="str">
        <f>TEXT(ConsorcioDespesas[[#This Row],[NDO]],"000000000000")</f>
        <v>339033010000</v>
      </c>
    </row>
    <row r="226" spans="1:13" x14ac:dyDescent="0.25">
      <c r="A226" t="s">
        <v>85</v>
      </c>
      <c r="B226" s="111">
        <v>45351</v>
      </c>
      <c r="C226">
        <v>4</v>
      </c>
      <c r="D226">
        <v>122</v>
      </c>
      <c r="E226" s="169">
        <v>339039000000</v>
      </c>
      <c r="F226" s="110">
        <v>12.56</v>
      </c>
      <c r="G226" s="110">
        <v>47.22</v>
      </c>
      <c r="H226" s="110">
        <v>51.23</v>
      </c>
      <c r="I226" t="str">
        <f>TEXT(ConsorcioDespesas[[#This Row],[NDO]],"000000000000")</f>
        <v>339039000000</v>
      </c>
      <c r="J226">
        <f>_xlfn.SWITCH(MONTH(ConsorcioDespesas[[#This Row],[Data-base]]),1,1,2,1,3,2,4,2,5,3,6,3,7,4,8,4,9,5,10,5,11,6,12,6)</f>
        <v>1</v>
      </c>
      <c r="K226">
        <f>YEAR(ConsorcioDespesas[[#This Row],[Data-base]])</f>
        <v>2024</v>
      </c>
      <c r="L226">
        <f>MONTH(ConsorcioDespesas[[#This Row],[Data-base]])</f>
        <v>2</v>
      </c>
      <c r="M226" t="str">
        <f>TEXT(ConsorcioDespesas[[#This Row],[NDO]],"000000000000")</f>
        <v>339039000000</v>
      </c>
    </row>
    <row r="227" spans="1:13" x14ac:dyDescent="0.25">
      <c r="A227" t="s">
        <v>85</v>
      </c>
      <c r="B227" s="111">
        <v>45351</v>
      </c>
      <c r="C227">
        <v>4</v>
      </c>
      <c r="D227">
        <v>122</v>
      </c>
      <c r="E227" s="169">
        <v>339039990100</v>
      </c>
      <c r="F227" s="110">
        <v>51.23</v>
      </c>
      <c r="G227" s="110">
        <v>51.23</v>
      </c>
      <c r="H227" s="110">
        <v>137.97</v>
      </c>
      <c r="I227" t="str">
        <f>TEXT(ConsorcioDespesas[[#This Row],[NDO]],"000000000000")</f>
        <v>339039990100</v>
      </c>
      <c r="J227">
        <f>_xlfn.SWITCH(MONTH(ConsorcioDespesas[[#This Row],[Data-base]]),1,1,2,1,3,2,4,2,5,3,6,3,7,4,8,4,9,5,10,5,11,6,12,6)</f>
        <v>1</v>
      </c>
      <c r="K227">
        <f>YEAR(ConsorcioDespesas[[#This Row],[Data-base]])</f>
        <v>2024</v>
      </c>
      <c r="L227">
        <f>MONTH(ConsorcioDespesas[[#This Row],[Data-base]])</f>
        <v>2</v>
      </c>
      <c r="M227" t="str">
        <f>TEXT(ConsorcioDespesas[[#This Row],[NDO]],"000000000000")</f>
        <v>339039990100</v>
      </c>
    </row>
    <row r="228" spans="1:13" x14ac:dyDescent="0.25">
      <c r="A228" t="s">
        <v>85</v>
      </c>
      <c r="B228" s="111">
        <v>45351</v>
      </c>
      <c r="C228">
        <v>4</v>
      </c>
      <c r="D228">
        <v>122</v>
      </c>
      <c r="E228" s="169">
        <v>339039400000</v>
      </c>
      <c r="F228" s="110">
        <v>28.79</v>
      </c>
      <c r="G228" s="110">
        <v>137.97</v>
      </c>
      <c r="H228" s="110">
        <v>53.48</v>
      </c>
      <c r="I228" t="str">
        <f>TEXT(ConsorcioDespesas[[#This Row],[NDO]],"000000000000")</f>
        <v>339039400000</v>
      </c>
      <c r="J228">
        <f>_xlfn.SWITCH(MONTH(ConsorcioDespesas[[#This Row],[Data-base]]),1,1,2,1,3,2,4,2,5,3,6,3,7,4,8,4,9,5,10,5,11,6,12,6)</f>
        <v>1</v>
      </c>
      <c r="K228">
        <f>YEAR(ConsorcioDespesas[[#This Row],[Data-base]])</f>
        <v>2024</v>
      </c>
      <c r="L228">
        <f>MONTH(ConsorcioDespesas[[#This Row],[Data-base]])</f>
        <v>2</v>
      </c>
      <c r="M228" t="str">
        <f>TEXT(ConsorcioDespesas[[#This Row],[NDO]],"000000000000")</f>
        <v>339039400000</v>
      </c>
    </row>
    <row r="229" spans="1:13" x14ac:dyDescent="0.25">
      <c r="A229" t="s">
        <v>85</v>
      </c>
      <c r="B229" s="111">
        <v>45351</v>
      </c>
      <c r="C229">
        <v>4</v>
      </c>
      <c r="D229">
        <v>122</v>
      </c>
      <c r="E229" s="169">
        <v>339046010100</v>
      </c>
      <c r="F229" s="110">
        <v>53.48</v>
      </c>
      <c r="G229" s="110">
        <v>53.48</v>
      </c>
      <c r="H229" s="110">
        <v>0</v>
      </c>
      <c r="I229" t="str">
        <f>TEXT(ConsorcioDespesas[[#This Row],[NDO]],"000000000000")</f>
        <v>339046010100</v>
      </c>
      <c r="J229">
        <f>_xlfn.SWITCH(MONTH(ConsorcioDespesas[[#This Row],[Data-base]]),1,1,2,1,3,2,4,2,5,3,6,3,7,4,8,4,9,5,10,5,11,6,12,6)</f>
        <v>1</v>
      </c>
      <c r="K229">
        <f>YEAR(ConsorcioDespesas[[#This Row],[Data-base]])</f>
        <v>2024</v>
      </c>
      <c r="L229">
        <f>MONTH(ConsorcioDespesas[[#This Row],[Data-base]])</f>
        <v>2</v>
      </c>
      <c r="M229" t="str">
        <f>TEXT(ConsorcioDespesas[[#This Row],[NDO]],"000000000000")</f>
        <v>339046010100</v>
      </c>
    </row>
    <row r="230" spans="1:13" x14ac:dyDescent="0.25">
      <c r="A230" t="s">
        <v>85</v>
      </c>
      <c r="B230" s="111">
        <v>45351</v>
      </c>
      <c r="C230">
        <v>4</v>
      </c>
      <c r="D230">
        <v>122</v>
      </c>
      <c r="E230" s="169">
        <v>339047000000</v>
      </c>
      <c r="F230" s="110">
        <v>0</v>
      </c>
      <c r="G230" s="110">
        <v>0</v>
      </c>
      <c r="H230" s="110">
        <v>1.69</v>
      </c>
      <c r="I230" t="str">
        <f>TEXT(ConsorcioDespesas[[#This Row],[NDO]],"000000000000")</f>
        <v>339047000000</v>
      </c>
      <c r="J230">
        <f>_xlfn.SWITCH(MONTH(ConsorcioDespesas[[#This Row],[Data-base]]),1,1,2,1,3,2,4,2,5,3,6,3,7,4,8,4,9,5,10,5,11,6,12,6)</f>
        <v>1</v>
      </c>
      <c r="K230">
        <f>YEAR(ConsorcioDespesas[[#This Row],[Data-base]])</f>
        <v>2024</v>
      </c>
      <c r="L230">
        <f>MONTH(ConsorcioDespesas[[#This Row],[Data-base]])</f>
        <v>2</v>
      </c>
      <c r="M230" t="str">
        <f>TEXT(ConsorcioDespesas[[#This Row],[NDO]],"000000000000")</f>
        <v>339047000000</v>
      </c>
    </row>
    <row r="231" spans="1:13" x14ac:dyDescent="0.25">
      <c r="A231" t="s">
        <v>85</v>
      </c>
      <c r="B231" s="111">
        <v>45351</v>
      </c>
      <c r="C231">
        <v>4</v>
      </c>
      <c r="D231">
        <v>122</v>
      </c>
      <c r="E231" s="169">
        <v>339049010000</v>
      </c>
      <c r="F231" s="110">
        <v>1.69</v>
      </c>
      <c r="G231" s="110">
        <v>1.69</v>
      </c>
      <c r="H231" s="110">
        <v>0</v>
      </c>
      <c r="I231" t="str">
        <f>TEXT(ConsorcioDespesas[[#This Row],[NDO]],"000000000000")</f>
        <v>339049010000</v>
      </c>
      <c r="J231">
        <f>_xlfn.SWITCH(MONTH(ConsorcioDespesas[[#This Row],[Data-base]]),1,1,2,1,3,2,4,2,5,3,6,3,7,4,8,4,9,5,10,5,11,6,12,6)</f>
        <v>1</v>
      </c>
      <c r="K231">
        <f>YEAR(ConsorcioDespesas[[#This Row],[Data-base]])</f>
        <v>2024</v>
      </c>
      <c r="L231">
        <f>MONTH(ConsorcioDespesas[[#This Row],[Data-base]])</f>
        <v>2</v>
      </c>
      <c r="M231" t="str">
        <f>TEXT(ConsorcioDespesas[[#This Row],[NDO]],"000000000000")</f>
        <v>339049010000</v>
      </c>
    </row>
    <row r="232" spans="1:13" x14ac:dyDescent="0.25">
      <c r="A232" t="s">
        <v>85</v>
      </c>
      <c r="B232" s="111">
        <v>45351</v>
      </c>
      <c r="C232">
        <v>4</v>
      </c>
      <c r="D232">
        <v>122</v>
      </c>
      <c r="E232" s="169">
        <v>449052000000</v>
      </c>
      <c r="F232" s="110">
        <v>0</v>
      </c>
      <c r="G232" s="110">
        <v>0</v>
      </c>
      <c r="H232" s="110"/>
      <c r="I232" t="str">
        <f>TEXT(ConsorcioDespesas[[#This Row],[NDO]],"000000000000")</f>
        <v>449052000000</v>
      </c>
      <c r="J232">
        <f>_xlfn.SWITCH(MONTH(ConsorcioDespesas[[#This Row],[Data-base]]),1,1,2,1,3,2,4,2,5,3,6,3,7,4,8,4,9,5,10,5,11,6,12,6)</f>
        <v>1</v>
      </c>
      <c r="K232">
        <f>YEAR(ConsorcioDespesas[[#This Row],[Data-base]])</f>
        <v>2024</v>
      </c>
      <c r="L232">
        <f>MONTH(ConsorcioDespesas[[#This Row],[Data-base]])</f>
        <v>2</v>
      </c>
      <c r="M232" t="str">
        <f>TEXT(ConsorcioDespesas[[#This Row],[NDO]],"000000000000")</f>
        <v>449052000000</v>
      </c>
    </row>
    <row r="233" spans="1:13" x14ac:dyDescent="0.25">
      <c r="A233" t="s">
        <v>85</v>
      </c>
      <c r="B233" s="111">
        <v>45351</v>
      </c>
      <c r="C233">
        <v>10</v>
      </c>
      <c r="D233">
        <v>302</v>
      </c>
      <c r="E233" s="169">
        <v>334041390500</v>
      </c>
      <c r="F233" s="110">
        <v>9273.68</v>
      </c>
      <c r="G233" s="110">
        <v>9273.68</v>
      </c>
      <c r="H233" s="110">
        <v>9273.68</v>
      </c>
      <c r="I233" t="str">
        <f>TEXT(ConsorcioDespesas[[#This Row],[NDO]],"000000000000")</f>
        <v>334041390500</v>
      </c>
      <c r="J233">
        <f>_xlfn.SWITCH(MONTH(ConsorcioDespesas[[#This Row],[Data-base]]),1,1,2,1,3,2,4,2,5,3,6,3,7,4,8,4,9,5,10,5,11,6,12,6)</f>
        <v>1</v>
      </c>
      <c r="K233">
        <f>YEAR(ConsorcioDespesas[[#This Row],[Data-base]])</f>
        <v>2024</v>
      </c>
      <c r="L233">
        <f>MONTH(ConsorcioDespesas[[#This Row],[Data-base]])</f>
        <v>2</v>
      </c>
      <c r="M233" t="str">
        <f>TEXT(ConsorcioDespesas[[#This Row],[NDO]],"000000000000")</f>
        <v>334041390500</v>
      </c>
    </row>
    <row r="234" spans="1:13" x14ac:dyDescent="0.25">
      <c r="A234" t="s">
        <v>85</v>
      </c>
      <c r="B234" s="111">
        <v>45351</v>
      </c>
      <c r="C234">
        <v>10</v>
      </c>
      <c r="D234">
        <v>302</v>
      </c>
      <c r="E234" s="169">
        <v>334041391100</v>
      </c>
      <c r="F234" s="110">
        <v>907.34</v>
      </c>
      <c r="G234" s="110">
        <v>907.34</v>
      </c>
      <c r="H234" s="110">
        <v>907.34</v>
      </c>
      <c r="I234" t="str">
        <f>TEXT(ConsorcioDespesas[[#This Row],[NDO]],"000000000000")</f>
        <v>334041391100</v>
      </c>
      <c r="J234">
        <f>_xlfn.SWITCH(MONTH(ConsorcioDespesas[[#This Row],[Data-base]]),1,1,2,1,3,2,4,2,5,3,6,3,7,4,8,4,9,5,10,5,11,6,12,6)</f>
        <v>1</v>
      </c>
      <c r="K234">
        <f>YEAR(ConsorcioDespesas[[#This Row],[Data-base]])</f>
        <v>2024</v>
      </c>
      <c r="L234">
        <f>MONTH(ConsorcioDespesas[[#This Row],[Data-base]])</f>
        <v>2</v>
      </c>
      <c r="M234" t="str">
        <f>TEXT(ConsorcioDespesas[[#This Row],[NDO]],"000000000000")</f>
        <v>334041391100</v>
      </c>
    </row>
    <row r="235" spans="1:13" x14ac:dyDescent="0.25">
      <c r="A235" t="s">
        <v>85</v>
      </c>
      <c r="B235" s="111">
        <v>45351</v>
      </c>
      <c r="C235">
        <v>10</v>
      </c>
      <c r="D235">
        <v>302</v>
      </c>
      <c r="E235" s="169">
        <v>334041391000</v>
      </c>
      <c r="F235" s="110">
        <v>657.14</v>
      </c>
      <c r="G235" s="110">
        <v>657.14</v>
      </c>
      <c r="H235" s="110">
        <v>657.14</v>
      </c>
      <c r="I235" t="str">
        <f>TEXT(ConsorcioDespesas[[#This Row],[NDO]],"000000000000")</f>
        <v>334041391000</v>
      </c>
      <c r="J235">
        <f>_xlfn.SWITCH(MONTH(ConsorcioDespesas[[#This Row],[Data-base]]),1,1,2,1,3,2,4,2,5,3,6,3,7,4,8,4,9,5,10,5,11,6,12,6)</f>
        <v>1</v>
      </c>
      <c r="K235">
        <f>YEAR(ConsorcioDespesas[[#This Row],[Data-base]])</f>
        <v>2024</v>
      </c>
      <c r="L235">
        <f>MONTH(ConsorcioDespesas[[#This Row],[Data-base]])</f>
        <v>2</v>
      </c>
      <c r="M235" t="str">
        <f>TEXT(ConsorcioDespesas[[#This Row],[NDO]],"000000000000")</f>
        <v>334041391000</v>
      </c>
    </row>
    <row r="236" spans="1:13" x14ac:dyDescent="0.25">
      <c r="A236" t="s">
        <v>85</v>
      </c>
      <c r="B236" s="111">
        <v>45382</v>
      </c>
      <c r="C236">
        <v>4</v>
      </c>
      <c r="D236">
        <v>122</v>
      </c>
      <c r="E236" s="169">
        <v>319011010100</v>
      </c>
      <c r="F236" s="226">
        <v>895.44</v>
      </c>
      <c r="G236" s="226">
        <v>895.44</v>
      </c>
      <c r="H236" s="226">
        <v>895.44</v>
      </c>
      <c r="I236" t="str">
        <f>TEXT(ConsorcioDespesas[[#This Row],[NDO]],"000000000000")</f>
        <v>319011010100</v>
      </c>
      <c r="J236">
        <f>_xlfn.SWITCH(MONTH(ConsorcioDespesas[[#This Row],[Data-base]]),1,1,2,1,3,2,4,2,5,3,6,3,7,4,8,4,9,5,10,5,11,6,12,6)</f>
        <v>2</v>
      </c>
      <c r="K236">
        <f>YEAR(ConsorcioDespesas[[#This Row],[Data-base]])</f>
        <v>2024</v>
      </c>
      <c r="L236">
        <f>MONTH(ConsorcioDespesas[[#This Row],[Data-base]])</f>
        <v>3</v>
      </c>
      <c r="M236" t="str">
        <f>TEXT(ConsorcioDespesas[[#This Row],[NDO]],"000000000000")</f>
        <v>319011010100</v>
      </c>
    </row>
    <row r="237" spans="1:13" x14ac:dyDescent="0.25">
      <c r="A237" t="s">
        <v>85</v>
      </c>
      <c r="B237" s="111">
        <v>45382</v>
      </c>
      <c r="C237">
        <v>4</v>
      </c>
      <c r="D237">
        <v>122</v>
      </c>
      <c r="E237" s="169">
        <v>319013010100</v>
      </c>
      <c r="F237" s="226">
        <v>71.64</v>
      </c>
      <c r="G237" s="226">
        <v>71.64</v>
      </c>
      <c r="H237" s="226">
        <v>71.64</v>
      </c>
      <c r="I237" t="str">
        <f>TEXT(ConsorcioDespesas[[#This Row],[NDO]],"000000000000")</f>
        <v>319013010100</v>
      </c>
      <c r="J237">
        <f>_xlfn.SWITCH(MONTH(ConsorcioDespesas[[#This Row],[Data-base]]),1,1,2,1,3,2,4,2,5,3,6,3,7,4,8,4,9,5,10,5,11,6,12,6)</f>
        <v>2</v>
      </c>
      <c r="K237">
        <f>YEAR(ConsorcioDespesas[[#This Row],[Data-base]])</f>
        <v>2024</v>
      </c>
      <c r="L237">
        <f>MONTH(ConsorcioDespesas[[#This Row],[Data-base]])</f>
        <v>3</v>
      </c>
      <c r="M237" t="str">
        <f>TEXT(ConsorcioDespesas[[#This Row],[NDO]],"000000000000")</f>
        <v>319013010100</v>
      </c>
    </row>
    <row r="238" spans="1:13" x14ac:dyDescent="0.25">
      <c r="A238" t="s">
        <v>85</v>
      </c>
      <c r="B238" s="111">
        <v>45382</v>
      </c>
      <c r="C238">
        <v>4</v>
      </c>
      <c r="D238">
        <v>122</v>
      </c>
      <c r="E238" s="169">
        <v>319013020100</v>
      </c>
      <c r="F238" s="226">
        <v>188.04</v>
      </c>
      <c r="G238" s="226">
        <v>188.04</v>
      </c>
      <c r="H238" s="226">
        <v>188.04</v>
      </c>
      <c r="I238" t="str">
        <f>TEXT(ConsorcioDespesas[[#This Row],[NDO]],"000000000000")</f>
        <v>319013020100</v>
      </c>
      <c r="J238">
        <f>_xlfn.SWITCH(MONTH(ConsorcioDespesas[[#This Row],[Data-base]]),1,1,2,1,3,2,4,2,5,3,6,3,7,4,8,4,9,5,10,5,11,6,12,6)</f>
        <v>2</v>
      </c>
      <c r="K238">
        <f>YEAR(ConsorcioDespesas[[#This Row],[Data-base]])</f>
        <v>2024</v>
      </c>
      <c r="L238">
        <f>MONTH(ConsorcioDespesas[[#This Row],[Data-base]])</f>
        <v>3</v>
      </c>
      <c r="M238" t="str">
        <f>TEXT(ConsorcioDespesas[[#This Row],[NDO]],"000000000000")</f>
        <v>319013020100</v>
      </c>
    </row>
    <row r="239" spans="1:13" x14ac:dyDescent="0.25">
      <c r="A239" t="s">
        <v>85</v>
      </c>
      <c r="B239" s="111">
        <v>45382</v>
      </c>
      <c r="C239">
        <v>4</v>
      </c>
      <c r="D239">
        <v>122</v>
      </c>
      <c r="E239" s="169">
        <v>339014140000</v>
      </c>
      <c r="F239" s="226">
        <v>0</v>
      </c>
      <c r="G239" s="226">
        <v>0</v>
      </c>
      <c r="H239" s="226">
        <v>0</v>
      </c>
      <c r="I239" t="str">
        <f>TEXT(ConsorcioDespesas[[#This Row],[NDO]],"000000000000")</f>
        <v>339014140000</v>
      </c>
      <c r="J239">
        <f>_xlfn.SWITCH(MONTH(ConsorcioDespesas[[#This Row],[Data-base]]),1,1,2,1,3,2,4,2,5,3,6,3,7,4,8,4,9,5,10,5,11,6,12,6)</f>
        <v>2</v>
      </c>
      <c r="K239">
        <f>YEAR(ConsorcioDespesas[[#This Row],[Data-base]])</f>
        <v>2024</v>
      </c>
      <c r="L239">
        <f>MONTH(ConsorcioDespesas[[#This Row],[Data-base]])</f>
        <v>3</v>
      </c>
      <c r="M239" t="str">
        <f>TEXT(ConsorcioDespesas[[#This Row],[NDO]],"000000000000")</f>
        <v>339014140000</v>
      </c>
    </row>
    <row r="240" spans="1:13" x14ac:dyDescent="0.25">
      <c r="A240" t="s">
        <v>85</v>
      </c>
      <c r="B240" s="111">
        <v>45382</v>
      </c>
      <c r="C240">
        <v>4</v>
      </c>
      <c r="D240">
        <v>122</v>
      </c>
      <c r="E240" s="169">
        <v>339030000000</v>
      </c>
      <c r="F240" s="226">
        <v>0</v>
      </c>
      <c r="G240" s="226">
        <v>0</v>
      </c>
      <c r="H240" s="226">
        <v>0</v>
      </c>
      <c r="I240" t="str">
        <f>TEXT(ConsorcioDespesas[[#This Row],[NDO]],"000000000000")</f>
        <v>339030000000</v>
      </c>
      <c r="J240">
        <f>_xlfn.SWITCH(MONTH(ConsorcioDespesas[[#This Row],[Data-base]]),1,1,2,1,3,2,4,2,5,3,6,3,7,4,8,4,9,5,10,5,11,6,12,6)</f>
        <v>2</v>
      </c>
      <c r="K240">
        <f>YEAR(ConsorcioDespesas[[#This Row],[Data-base]])</f>
        <v>2024</v>
      </c>
      <c r="L240">
        <f>MONTH(ConsorcioDespesas[[#This Row],[Data-base]])</f>
        <v>3</v>
      </c>
      <c r="M240" t="str">
        <f>TEXT(ConsorcioDespesas[[#This Row],[NDO]],"000000000000")</f>
        <v>339030000000</v>
      </c>
    </row>
    <row r="241" spans="1:13" x14ac:dyDescent="0.25">
      <c r="A241" t="s">
        <v>85</v>
      </c>
      <c r="B241" s="111">
        <v>45382</v>
      </c>
      <c r="C241">
        <v>4</v>
      </c>
      <c r="D241">
        <v>122</v>
      </c>
      <c r="E241" s="169">
        <v>339033010000</v>
      </c>
      <c r="F241" s="226">
        <v>0</v>
      </c>
      <c r="G241" s="226">
        <v>0</v>
      </c>
      <c r="H241" s="226">
        <v>0</v>
      </c>
      <c r="I241" t="str">
        <f>TEXT(ConsorcioDespesas[[#This Row],[NDO]],"000000000000")</f>
        <v>339033010000</v>
      </c>
      <c r="J241">
        <f>_xlfn.SWITCH(MONTH(ConsorcioDespesas[[#This Row],[Data-base]]),1,1,2,1,3,2,4,2,5,3,6,3,7,4,8,4,9,5,10,5,11,6,12,6)</f>
        <v>2</v>
      </c>
      <c r="K241">
        <f>YEAR(ConsorcioDespesas[[#This Row],[Data-base]])</f>
        <v>2024</v>
      </c>
      <c r="L241">
        <f>MONTH(ConsorcioDespesas[[#This Row],[Data-base]])</f>
        <v>3</v>
      </c>
      <c r="M241" t="str">
        <f>TEXT(ConsorcioDespesas[[#This Row],[NDO]],"000000000000")</f>
        <v>339033010000</v>
      </c>
    </row>
    <row r="242" spans="1:13" x14ac:dyDescent="0.25">
      <c r="A242" t="s">
        <v>85</v>
      </c>
      <c r="B242" s="111">
        <v>45382</v>
      </c>
      <c r="C242">
        <v>4</v>
      </c>
      <c r="D242">
        <v>122</v>
      </c>
      <c r="E242" s="169">
        <v>339039000000</v>
      </c>
      <c r="F242" s="226">
        <v>10.81</v>
      </c>
      <c r="G242" s="226">
        <v>64.16</v>
      </c>
      <c r="H242" s="226">
        <v>67.489999999999995</v>
      </c>
      <c r="I242" t="str">
        <f>TEXT(ConsorcioDespesas[[#This Row],[NDO]],"000000000000")</f>
        <v>339039000000</v>
      </c>
      <c r="J242">
        <f>_xlfn.SWITCH(MONTH(ConsorcioDespesas[[#This Row],[Data-base]]),1,1,2,1,3,2,4,2,5,3,6,3,7,4,8,4,9,5,10,5,11,6,12,6)</f>
        <v>2</v>
      </c>
      <c r="K242">
        <f>YEAR(ConsorcioDespesas[[#This Row],[Data-base]])</f>
        <v>2024</v>
      </c>
      <c r="L242">
        <f>MONTH(ConsorcioDespesas[[#This Row],[Data-base]])</f>
        <v>3</v>
      </c>
      <c r="M242" t="str">
        <f>TEXT(ConsorcioDespesas[[#This Row],[NDO]],"000000000000")</f>
        <v>339039000000</v>
      </c>
    </row>
    <row r="243" spans="1:13" x14ac:dyDescent="0.25">
      <c r="A243" t="s">
        <v>85</v>
      </c>
      <c r="B243" s="111">
        <v>45382</v>
      </c>
      <c r="C243">
        <v>4</v>
      </c>
      <c r="D243">
        <v>122</v>
      </c>
      <c r="E243" s="169">
        <v>339039990100</v>
      </c>
      <c r="F243" s="226">
        <v>59.11</v>
      </c>
      <c r="G243" s="226">
        <v>59.11</v>
      </c>
      <c r="H243" s="226">
        <v>59.11</v>
      </c>
      <c r="I243" t="str">
        <f>TEXT(ConsorcioDespesas[[#This Row],[NDO]],"000000000000")</f>
        <v>339039990100</v>
      </c>
      <c r="J243">
        <f>_xlfn.SWITCH(MONTH(ConsorcioDespesas[[#This Row],[Data-base]]),1,1,2,1,3,2,4,2,5,3,6,3,7,4,8,4,9,5,10,5,11,6,12,6)</f>
        <v>2</v>
      </c>
      <c r="K243">
        <f>YEAR(ConsorcioDespesas[[#This Row],[Data-base]])</f>
        <v>2024</v>
      </c>
      <c r="L243">
        <f>MONTH(ConsorcioDespesas[[#This Row],[Data-base]])</f>
        <v>3</v>
      </c>
      <c r="M243" t="str">
        <f>TEXT(ConsorcioDespesas[[#This Row],[NDO]],"000000000000")</f>
        <v>339039990100</v>
      </c>
    </row>
    <row r="244" spans="1:13" x14ac:dyDescent="0.25">
      <c r="A244" t="s">
        <v>85</v>
      </c>
      <c r="B244" s="111">
        <v>45382</v>
      </c>
      <c r="C244">
        <v>4</v>
      </c>
      <c r="D244">
        <v>122</v>
      </c>
      <c r="E244" s="169">
        <v>339039400000</v>
      </c>
      <c r="F244" s="226">
        <v>22.43</v>
      </c>
      <c r="G244" s="226">
        <v>77.66</v>
      </c>
      <c r="H244" s="226">
        <v>131.6</v>
      </c>
      <c r="I244" t="str">
        <f>TEXT(ConsorcioDespesas[[#This Row],[NDO]],"000000000000")</f>
        <v>339039400000</v>
      </c>
      <c r="J244">
        <f>_xlfn.SWITCH(MONTH(ConsorcioDespesas[[#This Row],[Data-base]]),1,1,2,1,3,2,4,2,5,3,6,3,7,4,8,4,9,5,10,5,11,6,12,6)</f>
        <v>2</v>
      </c>
      <c r="K244">
        <f>YEAR(ConsorcioDespesas[[#This Row],[Data-base]])</f>
        <v>2024</v>
      </c>
      <c r="L244">
        <f>MONTH(ConsorcioDespesas[[#This Row],[Data-base]])</f>
        <v>3</v>
      </c>
      <c r="M244" t="str">
        <f>TEXT(ConsorcioDespesas[[#This Row],[NDO]],"000000000000")</f>
        <v>339039400000</v>
      </c>
    </row>
    <row r="245" spans="1:13" x14ac:dyDescent="0.25">
      <c r="A245" t="s">
        <v>85</v>
      </c>
      <c r="B245" s="111">
        <v>45382</v>
      </c>
      <c r="C245">
        <v>4</v>
      </c>
      <c r="D245">
        <v>122</v>
      </c>
      <c r="E245" s="169">
        <v>339046010100</v>
      </c>
      <c r="F245" s="226">
        <v>53.48</v>
      </c>
      <c r="G245" s="226">
        <v>53.48</v>
      </c>
      <c r="H245" s="226">
        <v>53.48</v>
      </c>
      <c r="I245" t="str">
        <f>TEXT(ConsorcioDespesas[[#This Row],[NDO]],"000000000000")</f>
        <v>339046010100</v>
      </c>
      <c r="J245">
        <f>_xlfn.SWITCH(MONTH(ConsorcioDespesas[[#This Row],[Data-base]]),1,1,2,1,3,2,4,2,5,3,6,3,7,4,8,4,9,5,10,5,11,6,12,6)</f>
        <v>2</v>
      </c>
      <c r="K245">
        <f>YEAR(ConsorcioDespesas[[#This Row],[Data-base]])</f>
        <v>2024</v>
      </c>
      <c r="L245">
        <f>MONTH(ConsorcioDespesas[[#This Row],[Data-base]])</f>
        <v>3</v>
      </c>
      <c r="M245" t="str">
        <f>TEXT(ConsorcioDespesas[[#This Row],[NDO]],"000000000000")</f>
        <v>339046010100</v>
      </c>
    </row>
    <row r="246" spans="1:13" x14ac:dyDescent="0.25">
      <c r="A246" t="s">
        <v>85</v>
      </c>
      <c r="B246" s="111">
        <v>45382</v>
      </c>
      <c r="C246">
        <v>4</v>
      </c>
      <c r="D246">
        <v>122</v>
      </c>
      <c r="E246" s="169">
        <v>339047000000</v>
      </c>
      <c r="F246" s="226">
        <v>0</v>
      </c>
      <c r="G246" s="226">
        <v>0</v>
      </c>
      <c r="H246" s="226">
        <v>0</v>
      </c>
      <c r="I246" t="str">
        <f>TEXT(ConsorcioDespesas[[#This Row],[NDO]],"000000000000")</f>
        <v>339047000000</v>
      </c>
      <c r="J246">
        <f>_xlfn.SWITCH(MONTH(ConsorcioDespesas[[#This Row],[Data-base]]),1,1,2,1,3,2,4,2,5,3,6,3,7,4,8,4,9,5,10,5,11,6,12,6)</f>
        <v>2</v>
      </c>
      <c r="K246">
        <f>YEAR(ConsorcioDespesas[[#This Row],[Data-base]])</f>
        <v>2024</v>
      </c>
      <c r="L246">
        <f>MONTH(ConsorcioDespesas[[#This Row],[Data-base]])</f>
        <v>3</v>
      </c>
      <c r="M246" t="str">
        <f>TEXT(ConsorcioDespesas[[#This Row],[NDO]],"000000000000")</f>
        <v>339047000000</v>
      </c>
    </row>
    <row r="247" spans="1:13" x14ac:dyDescent="0.25">
      <c r="A247" t="s">
        <v>85</v>
      </c>
      <c r="B247" s="111">
        <v>45382</v>
      </c>
      <c r="C247">
        <v>4</v>
      </c>
      <c r="D247">
        <v>122</v>
      </c>
      <c r="E247" s="169">
        <v>339049010000</v>
      </c>
      <c r="F247" s="226">
        <v>1.96</v>
      </c>
      <c r="G247" s="226">
        <v>1.96</v>
      </c>
      <c r="H247" s="226">
        <v>1.96</v>
      </c>
      <c r="I247" t="str">
        <f>TEXT(ConsorcioDespesas[[#This Row],[NDO]],"000000000000")</f>
        <v>339049010000</v>
      </c>
      <c r="J247">
        <f>_xlfn.SWITCH(MONTH(ConsorcioDespesas[[#This Row],[Data-base]]),1,1,2,1,3,2,4,2,5,3,6,3,7,4,8,4,9,5,10,5,11,6,12,6)</f>
        <v>2</v>
      </c>
      <c r="K247">
        <f>YEAR(ConsorcioDespesas[[#This Row],[Data-base]])</f>
        <v>2024</v>
      </c>
      <c r="L247">
        <f>MONTH(ConsorcioDespesas[[#This Row],[Data-base]])</f>
        <v>3</v>
      </c>
      <c r="M247" t="str">
        <f>TEXT(ConsorcioDespesas[[#This Row],[NDO]],"000000000000")</f>
        <v>339049010000</v>
      </c>
    </row>
    <row r="248" spans="1:13" x14ac:dyDescent="0.25">
      <c r="A248" t="s">
        <v>85</v>
      </c>
      <c r="B248" s="111">
        <v>45382</v>
      </c>
      <c r="C248">
        <v>4</v>
      </c>
      <c r="D248">
        <v>122</v>
      </c>
      <c r="E248" s="169">
        <v>449052000000</v>
      </c>
      <c r="F248" s="226">
        <v>0</v>
      </c>
      <c r="G248" s="226">
        <v>0</v>
      </c>
      <c r="H248" s="226">
        <v>0</v>
      </c>
      <c r="I248" t="str">
        <f>TEXT(ConsorcioDespesas[[#This Row],[NDO]],"000000000000")</f>
        <v>449052000000</v>
      </c>
      <c r="J248">
        <f>_xlfn.SWITCH(MONTH(ConsorcioDespesas[[#This Row],[Data-base]]),1,1,2,1,3,2,4,2,5,3,6,3,7,4,8,4,9,5,10,5,11,6,12,6)</f>
        <v>2</v>
      </c>
      <c r="K248">
        <f>YEAR(ConsorcioDespesas[[#This Row],[Data-base]])</f>
        <v>2024</v>
      </c>
      <c r="L248">
        <f>MONTH(ConsorcioDespesas[[#This Row],[Data-base]])</f>
        <v>3</v>
      </c>
      <c r="M248" t="str">
        <f>TEXT(ConsorcioDespesas[[#This Row],[NDO]],"000000000000")</f>
        <v>449052000000</v>
      </c>
    </row>
    <row r="249" spans="1:13" x14ac:dyDescent="0.25">
      <c r="A249" t="s">
        <v>85</v>
      </c>
      <c r="B249" s="111">
        <v>45382</v>
      </c>
      <c r="C249">
        <v>10</v>
      </c>
      <c r="D249">
        <v>302</v>
      </c>
      <c r="E249" s="169">
        <v>334041390500</v>
      </c>
      <c r="F249" s="226">
        <v>9273.68</v>
      </c>
      <c r="G249" s="226">
        <v>9273.68</v>
      </c>
      <c r="H249" s="226">
        <v>9273.68</v>
      </c>
      <c r="I249" t="str">
        <f>TEXT(ConsorcioDespesas[[#This Row],[NDO]],"000000000000")</f>
        <v>334041390500</v>
      </c>
      <c r="J249">
        <f>_xlfn.SWITCH(MONTH(ConsorcioDespesas[[#This Row],[Data-base]]),1,1,2,1,3,2,4,2,5,3,6,3,7,4,8,4,9,5,10,5,11,6,12,6)</f>
        <v>2</v>
      </c>
      <c r="K249">
        <f>YEAR(ConsorcioDespesas[[#This Row],[Data-base]])</f>
        <v>2024</v>
      </c>
      <c r="L249">
        <f>MONTH(ConsorcioDespesas[[#This Row],[Data-base]])</f>
        <v>3</v>
      </c>
      <c r="M249" t="str">
        <f>TEXT(ConsorcioDespesas[[#This Row],[NDO]],"000000000000")</f>
        <v>334041390500</v>
      </c>
    </row>
    <row r="250" spans="1:13" x14ac:dyDescent="0.25">
      <c r="A250" t="s">
        <v>85</v>
      </c>
      <c r="B250" s="111">
        <v>45382</v>
      </c>
      <c r="C250">
        <v>10</v>
      </c>
      <c r="D250">
        <v>302</v>
      </c>
      <c r="E250" s="169">
        <v>334041391100</v>
      </c>
      <c r="F250" s="226">
        <v>865.54</v>
      </c>
      <c r="G250" s="226">
        <v>865.54</v>
      </c>
      <c r="H250" s="226">
        <v>865.54</v>
      </c>
      <c r="I250" t="str">
        <f>TEXT(ConsorcioDespesas[[#This Row],[NDO]],"000000000000")</f>
        <v>334041391100</v>
      </c>
      <c r="J250">
        <f>_xlfn.SWITCH(MONTH(ConsorcioDespesas[[#This Row],[Data-base]]),1,1,2,1,3,2,4,2,5,3,6,3,7,4,8,4,9,5,10,5,11,6,12,6)</f>
        <v>2</v>
      </c>
      <c r="K250">
        <f>YEAR(ConsorcioDespesas[[#This Row],[Data-base]])</f>
        <v>2024</v>
      </c>
      <c r="L250">
        <f>MONTH(ConsorcioDespesas[[#This Row],[Data-base]])</f>
        <v>3</v>
      </c>
      <c r="M250" t="str">
        <f>TEXT(ConsorcioDespesas[[#This Row],[NDO]],"000000000000")</f>
        <v>334041391100</v>
      </c>
    </row>
    <row r="251" spans="1:13" x14ac:dyDescent="0.25">
      <c r="A251" t="s">
        <v>85</v>
      </c>
      <c r="B251" s="111">
        <v>45382</v>
      </c>
      <c r="C251">
        <v>10</v>
      </c>
      <c r="D251">
        <v>302</v>
      </c>
      <c r="E251" s="169">
        <v>334041391000</v>
      </c>
      <c r="F251" s="226">
        <v>655.91</v>
      </c>
      <c r="G251" s="226">
        <v>655.91</v>
      </c>
      <c r="H251" s="226">
        <v>655.91</v>
      </c>
      <c r="I251" t="str">
        <f>TEXT(ConsorcioDespesas[[#This Row],[NDO]],"000000000000")</f>
        <v>334041391000</v>
      </c>
      <c r="J251">
        <f>_xlfn.SWITCH(MONTH(ConsorcioDespesas[[#This Row],[Data-base]]),1,1,2,1,3,2,4,2,5,3,6,3,7,4,8,4,9,5,10,5,11,6,12,6)</f>
        <v>2</v>
      </c>
      <c r="K251">
        <f>YEAR(ConsorcioDespesas[[#This Row],[Data-base]])</f>
        <v>2024</v>
      </c>
      <c r="L251">
        <f>MONTH(ConsorcioDespesas[[#This Row],[Data-base]])</f>
        <v>3</v>
      </c>
      <c r="M251" t="str">
        <f>TEXT(ConsorcioDespesas[[#This Row],[NDO]],"000000000000")</f>
        <v>334041391000</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53C0C"/>
    <pageSetUpPr fitToPage="1"/>
  </sheetPr>
  <dimension ref="B2:P42"/>
  <sheetViews>
    <sheetView workbookViewId="0">
      <selection activeCell="C17" sqref="C17"/>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24" t="s">
        <v>1099</v>
      </c>
      <c r="E11" s="324"/>
      <c r="F11" s="325"/>
    </row>
    <row r="12" spans="2:16" x14ac:dyDescent="0.25">
      <c r="B12" s="172"/>
      <c r="C12" s="8" t="s">
        <v>1129</v>
      </c>
      <c r="D12" s="8" t="s">
        <v>474</v>
      </c>
      <c r="E12" s="8" t="s">
        <v>708</v>
      </c>
      <c r="F12" s="10" t="s">
        <v>415</v>
      </c>
    </row>
    <row r="13" spans="2:16" x14ac:dyDescent="0.25">
      <c r="B13" s="172" t="s">
        <v>1130</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09/05/2024 às 09:42:51</v>
      </c>
      <c r="C31" s="261"/>
      <c r="D31" s="261"/>
      <c r="E31" s="261"/>
      <c r="F31" s="261"/>
      <c r="G31" s="45"/>
      <c r="H31" s="45"/>
      <c r="I31" s="45"/>
      <c r="J31" s="45"/>
      <c r="K31" s="45"/>
      <c r="L31" s="45"/>
      <c r="M31" s="45"/>
      <c r="N31" s="45"/>
      <c r="O31" s="45"/>
      <c r="P31" s="45"/>
    </row>
    <row r="32" spans="2:16" ht="45" customHeight="1" x14ac:dyDescent="0.25">
      <c r="B32" s="262" t="s">
        <v>1125</v>
      </c>
      <c r="C32" s="262"/>
      <c r="D32" s="262"/>
      <c r="E32" s="262"/>
      <c r="F32" s="262"/>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7:F7"/>
    <mergeCell ref="B9:E9"/>
    <mergeCell ref="B2:F2"/>
    <mergeCell ref="B3:F3"/>
    <mergeCell ref="B4:F4"/>
    <mergeCell ref="B5:F5"/>
    <mergeCell ref="B6:F6"/>
    <mergeCell ref="D10:F10"/>
    <mergeCell ref="D11:F11"/>
    <mergeCell ref="B31:F31"/>
    <mergeCell ref="B32:F32"/>
    <mergeCell ref="B35:F35"/>
  </mergeCells>
  <pageMargins left="0.25" right="0.25" top="0.75" bottom="0.75" header="0.3" footer="0.3"/>
  <pageSetup paperSize="9" scale="76"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853C0C"/>
    <pageSetUpPr fitToPage="1"/>
  </sheetPr>
  <dimension ref="B2:P42"/>
  <sheetViews>
    <sheetView workbookViewId="0">
      <selection activeCell="D25" sqref="D25"/>
    </sheetView>
  </sheetViews>
  <sheetFormatPr defaultRowHeight="15" x14ac:dyDescent="0.25"/>
  <cols>
    <col min="2" max="2" width="63.85546875" customWidth="1"/>
    <col min="3" max="3" width="23.140625" customWidth="1"/>
    <col min="4" max="4" width="28.28515625" customWidth="1"/>
    <col min="5" max="5" width="19.28515625" customWidth="1"/>
    <col min="6" max="6" width="19.140625" customWidth="1"/>
  </cols>
  <sheetData>
    <row r="2" spans="2:16" x14ac:dyDescent="0.25">
      <c r="B2" s="247" t="str">
        <f>paramEnte</f>
        <v>Município de Independência - RS</v>
      </c>
      <c r="C2" s="247"/>
      <c r="D2" s="247"/>
      <c r="E2" s="247"/>
      <c r="F2" s="247"/>
    </row>
    <row r="3" spans="2:16" x14ac:dyDescent="0.25">
      <c r="B3" s="247" t="s">
        <v>633</v>
      </c>
      <c r="C3" s="247"/>
      <c r="D3" s="247"/>
      <c r="E3" s="247"/>
      <c r="F3" s="247"/>
    </row>
    <row r="4" spans="2:16" x14ac:dyDescent="0.25">
      <c r="B4" s="247" t="s">
        <v>1094</v>
      </c>
      <c r="C4" s="247"/>
      <c r="D4" s="247"/>
      <c r="E4" s="247"/>
      <c r="F4" s="247"/>
    </row>
    <row r="5" spans="2:16" x14ac:dyDescent="0.25">
      <c r="B5" s="248" t="s">
        <v>1095</v>
      </c>
      <c r="C5" s="248"/>
      <c r="D5" s="248"/>
      <c r="E5" s="248"/>
      <c r="F5" s="248"/>
      <c r="G5" s="132"/>
      <c r="H5" s="132"/>
      <c r="I5" s="132"/>
      <c r="J5" s="132"/>
      <c r="K5" s="132"/>
      <c r="L5" s="132"/>
      <c r="M5" s="132"/>
      <c r="N5" s="132"/>
      <c r="O5" s="132"/>
      <c r="P5" s="132"/>
    </row>
    <row r="6" spans="2:16" x14ac:dyDescent="0.25">
      <c r="B6" s="247" t="s">
        <v>127</v>
      </c>
      <c r="C6" s="247"/>
      <c r="D6" s="247"/>
      <c r="E6" s="247"/>
      <c r="F6" s="247"/>
    </row>
    <row r="7" spans="2:16" x14ac:dyDescent="0.25">
      <c r="B7" s="249" t="str">
        <f>UPPER(TEXT(paramDataBase,"mmmm \d\e aaaa"))</f>
        <v>JANEIRO DE 1900</v>
      </c>
      <c r="C7" s="249"/>
      <c r="D7" s="249"/>
      <c r="E7" s="249"/>
      <c r="F7" s="249"/>
      <c r="G7" s="45"/>
      <c r="H7" s="45"/>
      <c r="I7" s="45"/>
      <c r="J7" s="45"/>
      <c r="K7" s="45"/>
      <c r="L7" s="45"/>
      <c r="M7" s="45"/>
      <c r="N7" s="45"/>
      <c r="O7" s="45"/>
      <c r="P7" s="45"/>
    </row>
    <row r="9" spans="2:16" ht="15.75" customHeight="1" x14ac:dyDescent="0.25">
      <c r="B9" s="250" t="s">
        <v>1126</v>
      </c>
      <c r="C9" s="250"/>
      <c r="D9" s="250"/>
      <c r="E9" s="250"/>
      <c r="F9" s="146">
        <v>1</v>
      </c>
      <c r="G9" s="170"/>
      <c r="H9" s="170"/>
      <c r="I9" s="170"/>
      <c r="J9" s="170"/>
      <c r="K9" s="170"/>
      <c r="L9" s="170"/>
      <c r="M9" s="170"/>
      <c r="N9" s="170"/>
      <c r="O9" s="170"/>
    </row>
    <row r="10" spans="2:16" x14ac:dyDescent="0.25">
      <c r="B10" s="171"/>
      <c r="C10" s="7"/>
      <c r="D10" s="253" t="s">
        <v>1098</v>
      </c>
      <c r="E10" s="253"/>
      <c r="F10" s="255"/>
    </row>
    <row r="11" spans="2:16" x14ac:dyDescent="0.25">
      <c r="B11" s="172" t="s">
        <v>1127</v>
      </c>
      <c r="C11" s="8" t="s">
        <v>1128</v>
      </c>
      <c r="D11" s="324" t="s">
        <v>1099</v>
      </c>
      <c r="E11" s="324"/>
      <c r="F11" s="325"/>
    </row>
    <row r="12" spans="2:16" x14ac:dyDescent="0.25">
      <c r="B12" s="172"/>
      <c r="C12" s="8" t="s">
        <v>1129</v>
      </c>
      <c r="D12" s="8" t="s">
        <v>474</v>
      </c>
      <c r="E12" s="8" t="s">
        <v>708</v>
      </c>
      <c r="F12" s="10" t="s">
        <v>415</v>
      </c>
    </row>
    <row r="13" spans="2:16" x14ac:dyDescent="0.25">
      <c r="B13" s="172" t="s">
        <v>1134</v>
      </c>
      <c r="C13" s="8" t="s">
        <v>1131</v>
      </c>
      <c r="D13" s="8"/>
      <c r="E13" s="8" t="s">
        <v>260</v>
      </c>
      <c r="F13" s="10"/>
    </row>
    <row r="14" spans="2:16" x14ac:dyDescent="0.25">
      <c r="B14" s="172"/>
      <c r="C14" s="8"/>
      <c r="D14" s="8"/>
      <c r="E14" s="8" t="s">
        <v>1100</v>
      </c>
      <c r="F14" s="10"/>
    </row>
    <row r="15" spans="2:16" x14ac:dyDescent="0.25">
      <c r="B15" s="173"/>
      <c r="C15" s="11"/>
      <c r="D15" s="11" t="s">
        <v>138</v>
      </c>
      <c r="E15" s="11" t="s">
        <v>139</v>
      </c>
      <c r="F15" s="12" t="s">
        <v>1132</v>
      </c>
    </row>
    <row r="16" spans="2:16" x14ac:dyDescent="0.25">
      <c r="B16" s="70" t="s">
        <v>1101</v>
      </c>
      <c r="C16" s="71">
        <f>C17+C20+C23+C24</f>
        <v>0</v>
      </c>
      <c r="D16" s="71">
        <f>D17+D20+D23+D24</f>
        <v>0</v>
      </c>
      <c r="E16" s="71">
        <f>E17+E20+E23+E24</f>
        <v>0</v>
      </c>
      <c r="F16" s="72">
        <f t="shared" ref="F16:F30" si="0">D16+E16</f>
        <v>0</v>
      </c>
    </row>
    <row r="17" spans="2:16" x14ac:dyDescent="0.25">
      <c r="B17" s="33" t="s">
        <v>1102</v>
      </c>
      <c r="C17" s="31">
        <f>SUM(C18:C19)</f>
        <v>0</v>
      </c>
      <c r="D17" s="31">
        <f>SUM(D18:D19)</f>
        <v>0</v>
      </c>
      <c r="E17" s="31">
        <f>SUM(E18:E19)</f>
        <v>0</v>
      </c>
      <c r="F17" s="32">
        <f t="shared" si="0"/>
        <v>0</v>
      </c>
    </row>
    <row r="18" spans="2:16" x14ac:dyDescent="0.25">
      <c r="B18" s="34" t="s">
        <v>1103</v>
      </c>
      <c r="C18" s="31"/>
      <c r="D18" s="31"/>
      <c r="E18" s="31"/>
      <c r="F18" s="32">
        <f t="shared" si="0"/>
        <v>0</v>
      </c>
    </row>
    <row r="19" spans="2:16" x14ac:dyDescent="0.25">
      <c r="B19" s="34" t="s">
        <v>1104</v>
      </c>
      <c r="C19" s="31"/>
      <c r="D19" s="31"/>
      <c r="E19" s="31"/>
      <c r="F19" s="32">
        <f t="shared" si="0"/>
        <v>0</v>
      </c>
    </row>
    <row r="20" spans="2:16" x14ac:dyDescent="0.25">
      <c r="B20" s="33" t="s">
        <v>1105</v>
      </c>
      <c r="C20" s="31">
        <f>SUM(C21:C22)</f>
        <v>0</v>
      </c>
      <c r="D20" s="31">
        <f>SUM(D21:D22)</f>
        <v>0</v>
      </c>
      <c r="E20" s="31">
        <f>SUM(E21:E22)</f>
        <v>0</v>
      </c>
      <c r="F20" s="32">
        <f t="shared" si="0"/>
        <v>0</v>
      </c>
    </row>
    <row r="21" spans="2:16" x14ac:dyDescent="0.25">
      <c r="B21" s="34" t="s">
        <v>1106</v>
      </c>
      <c r="C21" s="31"/>
      <c r="D21" s="31"/>
      <c r="E21" s="31"/>
      <c r="F21" s="32">
        <f t="shared" si="0"/>
        <v>0</v>
      </c>
    </row>
    <row r="22" spans="2:16" x14ac:dyDescent="0.25">
      <c r="B22" s="34" t="s">
        <v>1107</v>
      </c>
      <c r="C22" s="31"/>
      <c r="D22" s="31"/>
      <c r="E22" s="31"/>
      <c r="F22" s="32">
        <f t="shared" si="0"/>
        <v>0</v>
      </c>
    </row>
    <row r="23" spans="2:16" ht="28.5" customHeight="1" x14ac:dyDescent="0.25">
      <c r="B23" s="148" t="s">
        <v>1108</v>
      </c>
      <c r="C23" s="31"/>
      <c r="D23" s="31"/>
      <c r="E23" s="31"/>
      <c r="F23" s="32">
        <f t="shared" si="0"/>
        <v>0</v>
      </c>
    </row>
    <row r="24" spans="2:16" x14ac:dyDescent="0.25">
      <c r="B24" s="33" t="s">
        <v>1109</v>
      </c>
      <c r="C24" s="31"/>
      <c r="D24" s="31"/>
      <c r="E24" s="31"/>
      <c r="F24" s="32">
        <f t="shared" si="0"/>
        <v>0</v>
      </c>
    </row>
    <row r="25" spans="2:16" x14ac:dyDescent="0.25">
      <c r="B25" s="135" t="s">
        <v>1110</v>
      </c>
      <c r="C25" s="149">
        <f>SUM(C26:C29)</f>
        <v>0</v>
      </c>
      <c r="D25" s="149">
        <f>SUM(D26:D29)</f>
        <v>0</v>
      </c>
      <c r="E25" s="149">
        <f>SUM(E26:E29)</f>
        <v>0</v>
      </c>
      <c r="F25" s="150">
        <f t="shared" si="0"/>
        <v>0</v>
      </c>
    </row>
    <row r="26" spans="2:16" x14ac:dyDescent="0.25">
      <c r="B26" s="33" t="s">
        <v>1133</v>
      </c>
      <c r="C26" s="31"/>
      <c r="D26" s="31"/>
      <c r="E26" s="31"/>
      <c r="F26" s="32">
        <f t="shared" si="0"/>
        <v>0</v>
      </c>
    </row>
    <row r="27" spans="2:16" x14ac:dyDescent="0.25">
      <c r="B27" s="33" t="s">
        <v>1112</v>
      </c>
      <c r="C27" s="31"/>
      <c r="D27" s="31"/>
      <c r="E27" s="31"/>
      <c r="F27" s="32">
        <f t="shared" si="0"/>
        <v>0</v>
      </c>
    </row>
    <row r="28" spans="2:16" x14ac:dyDescent="0.25">
      <c r="B28" s="33" t="s">
        <v>1113</v>
      </c>
      <c r="C28" s="31"/>
      <c r="D28" s="31"/>
      <c r="E28" s="31"/>
      <c r="F28" s="32">
        <f t="shared" si="0"/>
        <v>0</v>
      </c>
    </row>
    <row r="29" spans="2:16" x14ac:dyDescent="0.25">
      <c r="B29" s="33" t="s">
        <v>1114</v>
      </c>
      <c r="C29" s="31"/>
      <c r="D29" s="31"/>
      <c r="E29" s="31"/>
      <c r="F29" s="32">
        <f t="shared" si="0"/>
        <v>0</v>
      </c>
    </row>
    <row r="30" spans="2:16" ht="15.75" customHeight="1" x14ac:dyDescent="0.25">
      <c r="B30" s="151" t="s">
        <v>1115</v>
      </c>
      <c r="C30" s="152">
        <f>C16-C25</f>
        <v>0</v>
      </c>
      <c r="D30" s="152">
        <f>D16-D25</f>
        <v>0</v>
      </c>
      <c r="E30" s="152">
        <f>E16-E25</f>
        <v>0</v>
      </c>
      <c r="F30" s="153">
        <f t="shared" si="0"/>
        <v>0</v>
      </c>
    </row>
    <row r="31" spans="2:16" x14ac:dyDescent="0.25">
      <c r="B31" s="261" t="str">
        <f ca="1">_xlfn.CONCAT("Fonte: ",paramFonte,". Emissão em ",TEXT(NOW(),"dd/mm/aaaa \à\s hh:mm:ss"))</f>
        <v>Fonte: Sistema MS Excel + SIAPC/PAD, Unidade Responsável: Secretaria da Fazenda / Setor de Contabilidade. Emissão em 09/05/2024 às 09:42:51</v>
      </c>
      <c r="C31" s="261"/>
      <c r="D31" s="261"/>
      <c r="E31" s="261"/>
      <c r="F31" s="261"/>
      <c r="G31" s="45"/>
      <c r="H31" s="45"/>
      <c r="I31" s="45"/>
      <c r="J31" s="45"/>
      <c r="K31" s="45"/>
      <c r="L31" s="45"/>
      <c r="M31" s="45"/>
      <c r="N31" s="45"/>
      <c r="O31" s="45"/>
      <c r="P31" s="45"/>
    </row>
    <row r="32" spans="2:16" ht="45" customHeight="1" x14ac:dyDescent="0.25">
      <c r="B32" s="262" t="s">
        <v>1125</v>
      </c>
      <c r="C32" s="262"/>
      <c r="D32" s="262"/>
      <c r="E32" s="262"/>
      <c r="F32" s="262"/>
      <c r="G32" s="14"/>
      <c r="H32" s="14"/>
      <c r="I32" s="14"/>
      <c r="J32" s="14"/>
      <c r="K32" s="14"/>
      <c r="L32" s="14"/>
      <c r="M32" s="14"/>
      <c r="N32" s="14"/>
      <c r="O32" s="14"/>
      <c r="P32" s="14"/>
    </row>
    <row r="34" spans="2:6" x14ac:dyDescent="0.25">
      <c r="B34" t="s">
        <v>253</v>
      </c>
    </row>
    <row r="35" spans="2:6" x14ac:dyDescent="0.25">
      <c r="B35" s="247" t="str">
        <f>IFERROR(_xlfn.CONCAT(_xlfn._xlws.FILTER(tblNotasExplicativas[Nota Com Separador],tblNotasExplicativas[Demonstrativo]="RGF A1 COFRON")),"")</f>
        <v/>
      </c>
      <c r="C35" s="247"/>
      <c r="D35" s="247"/>
      <c r="E35" s="247"/>
      <c r="F35" s="247"/>
    </row>
    <row r="40" spans="2:6" x14ac:dyDescent="0.25">
      <c r="B40" t="str">
        <f>paramNomeContador</f>
        <v>EVERTON DA ROSA</v>
      </c>
      <c r="C40" s="46" t="str">
        <f>paramNomeSecretario</f>
        <v>ANA PAULA RODRIGUES SCHNEIDER SCHMIDT</v>
      </c>
      <c r="D40" t="str">
        <f>paramNomeControleInterno</f>
        <v>JEAN LENON CORO MONTEIRO</v>
      </c>
      <c r="F40" t="str">
        <f>paramNomePrefeito</f>
        <v>JOÃO EDÉCIO GRAEF</v>
      </c>
    </row>
    <row r="41" spans="2:6" x14ac:dyDescent="0.25">
      <c r="B41" t="str">
        <f>paramCargoContador</f>
        <v>Contador</v>
      </c>
      <c r="C41" s="46" t="str">
        <f>paramCargoSecretario</f>
        <v>Secretária da Fazenda</v>
      </c>
      <c r="D41" t="str">
        <f>paramCargoControleInterno</f>
        <v>Controlador Interno</v>
      </c>
      <c r="F41" t="str">
        <f>paramCargoPrefeito</f>
        <v>Prefeito Municipal</v>
      </c>
    </row>
    <row r="42" spans="2:6" x14ac:dyDescent="0.25">
      <c r="B42" t="str">
        <f>_xlfn.CONCAT("CRC ",paramCRCContador)</f>
        <v>CRC 076595/O-3</v>
      </c>
    </row>
  </sheetData>
  <mergeCells count="12">
    <mergeCell ref="B35:F35"/>
    <mergeCell ref="B2:F2"/>
    <mergeCell ref="B3:F3"/>
    <mergeCell ref="B4:F4"/>
    <mergeCell ref="B5:F5"/>
    <mergeCell ref="B6:F6"/>
    <mergeCell ref="B7:F7"/>
    <mergeCell ref="B9:E9"/>
    <mergeCell ref="D10:F10"/>
    <mergeCell ref="D11:F11"/>
    <mergeCell ref="B31:F31"/>
    <mergeCell ref="B32:F32"/>
  </mergeCells>
  <pageMargins left="0.25" right="0.25" top="0.75" bottom="0.75" header="0.3" footer="0.3"/>
  <pageSetup paperSize="9" scale="76"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53C0C"/>
    <pageSetUpPr fitToPage="1"/>
  </sheetPr>
  <dimension ref="B2:E67"/>
  <sheetViews>
    <sheetView topLeftCell="A9" workbookViewId="0">
      <selection activeCell="A54" sqref="A54"/>
    </sheetView>
  </sheetViews>
  <sheetFormatPr defaultRowHeight="15" x14ac:dyDescent="0.25"/>
  <cols>
    <col min="1" max="1" width="13.28515625" customWidth="1"/>
    <col min="2" max="2" width="101.140625" customWidth="1"/>
    <col min="3" max="3" width="20.5703125" customWidth="1"/>
    <col min="4" max="4" width="28.28515625" customWidth="1"/>
    <col min="5" max="5" width="19.140625" customWidth="1"/>
  </cols>
  <sheetData>
    <row r="2" spans="2:5" x14ac:dyDescent="0.25">
      <c r="B2" s="247" t="str">
        <f>paramEnte</f>
        <v>Município de Independência - RS</v>
      </c>
      <c r="C2" s="247"/>
      <c r="D2" s="247"/>
      <c r="E2" s="247"/>
    </row>
    <row r="3" spans="2:5" x14ac:dyDescent="0.25">
      <c r="B3" s="247" t="s">
        <v>633</v>
      </c>
      <c r="C3" s="247"/>
      <c r="D3" s="247"/>
      <c r="E3" s="247"/>
    </row>
    <row r="4" spans="2:5" x14ac:dyDescent="0.25">
      <c r="B4" s="247" t="s">
        <v>1094</v>
      </c>
      <c r="C4" s="247"/>
      <c r="D4" s="247"/>
      <c r="E4" s="247"/>
    </row>
    <row r="5" spans="2:5" x14ac:dyDescent="0.25">
      <c r="B5" s="248" t="s">
        <v>1135</v>
      </c>
      <c r="C5" s="248"/>
      <c r="D5" s="248"/>
      <c r="E5" s="248"/>
    </row>
    <row r="6" spans="2:5" x14ac:dyDescent="0.25">
      <c r="B6" s="247" t="s">
        <v>127</v>
      </c>
      <c r="C6" s="247"/>
      <c r="D6" s="247"/>
      <c r="E6" s="247"/>
    </row>
    <row r="7" spans="2:5" x14ac:dyDescent="0.25">
      <c r="B7" s="249" t="str">
        <f>UPPER(TEXT(paramDataBase,"mmmm \d\e aaaa"))</f>
        <v>JANEIRO DE 1900</v>
      </c>
      <c r="C7" s="249"/>
      <c r="D7" s="249"/>
      <c r="E7" s="249"/>
    </row>
    <row r="9" spans="2:5" ht="15.75" customHeight="1" x14ac:dyDescent="0.25">
      <c r="B9" s="430" t="s">
        <v>1136</v>
      </c>
      <c r="C9" s="430"/>
      <c r="D9" s="430"/>
      <c r="E9" s="146">
        <v>1</v>
      </c>
    </row>
    <row r="10" spans="2:5" x14ac:dyDescent="0.25">
      <c r="B10" s="428" t="s">
        <v>1137</v>
      </c>
      <c r="C10" s="7" t="s">
        <v>1138</v>
      </c>
      <c r="D10" s="268" t="str">
        <f>"SALDO DO EXERCÍCIO DE "&amp;YEAR(paramDataBase)</f>
        <v>SALDO DO EXERCÍCIO DE 1900</v>
      </c>
      <c r="E10" s="317"/>
    </row>
    <row r="11" spans="2:5" x14ac:dyDescent="0.25">
      <c r="B11" s="429"/>
      <c r="C11" s="11" t="s">
        <v>1004</v>
      </c>
      <c r="D11" s="11" t="s">
        <v>1139</v>
      </c>
      <c r="E11" s="12" t="s">
        <v>1140</v>
      </c>
    </row>
    <row r="12" spans="2:5" x14ac:dyDescent="0.25">
      <c r="B12" s="70" t="s">
        <v>1141</v>
      </c>
      <c r="C12" s="71">
        <f>C13+C14+C29+C30</f>
        <v>0</v>
      </c>
      <c r="D12" s="71">
        <f>D13+D14+D29+D30</f>
        <v>0</v>
      </c>
      <c r="E12" s="72">
        <f>E13+E14+E29+E30</f>
        <v>0</v>
      </c>
    </row>
    <row r="13" spans="2:5" x14ac:dyDescent="0.25">
      <c r="B13" s="33" t="s">
        <v>246</v>
      </c>
      <c r="C13" s="31"/>
      <c r="D13" s="31"/>
      <c r="E13" s="32"/>
    </row>
    <row r="14" spans="2:5" x14ac:dyDescent="0.25">
      <c r="B14" s="33" t="s">
        <v>247</v>
      </c>
      <c r="C14" s="31">
        <f>C15+C18+C19+C22+C28</f>
        <v>0</v>
      </c>
      <c r="D14" s="31">
        <f>D15+D18+D19+D22+D28</f>
        <v>0</v>
      </c>
      <c r="E14" s="32">
        <f>E15+E18+E19+E22+E28</f>
        <v>0</v>
      </c>
    </row>
    <row r="15" spans="2:5" x14ac:dyDescent="0.25">
      <c r="B15" s="34" t="s">
        <v>1142</v>
      </c>
      <c r="C15" s="31">
        <f>SUM(C16:C17)</f>
        <v>0</v>
      </c>
      <c r="D15" s="31">
        <f>SUM(D16:D17)</f>
        <v>0</v>
      </c>
      <c r="E15" s="32">
        <f>SUM(E16:E17)</f>
        <v>0</v>
      </c>
    </row>
    <row r="16" spans="2:5" x14ac:dyDescent="0.25">
      <c r="B16" s="56" t="s">
        <v>1143</v>
      </c>
      <c r="C16" s="31"/>
      <c r="D16" s="31"/>
      <c r="E16" s="32"/>
    </row>
    <row r="17" spans="2:5" x14ac:dyDescent="0.25">
      <c r="B17" s="56" t="s">
        <v>1144</v>
      </c>
      <c r="C17" s="31"/>
      <c r="D17" s="31"/>
      <c r="E17" s="32"/>
    </row>
    <row r="18" spans="2:5" x14ac:dyDescent="0.25">
      <c r="B18" s="34" t="s">
        <v>1145</v>
      </c>
      <c r="C18" s="31"/>
      <c r="D18" s="31"/>
      <c r="E18" s="32"/>
    </row>
    <row r="19" spans="2:5" x14ac:dyDescent="0.25">
      <c r="B19" s="157" t="s">
        <v>1146</v>
      </c>
      <c r="C19" s="31">
        <f>SUM(C20:C21)</f>
        <v>0</v>
      </c>
      <c r="D19" s="31">
        <f>SUM(D20:D21)</f>
        <v>0</v>
      </c>
      <c r="E19" s="32">
        <f>SUM(E20:E21)</f>
        <v>0</v>
      </c>
    </row>
    <row r="20" spans="2:5" x14ac:dyDescent="0.25">
      <c r="B20" s="56" t="s">
        <v>1143</v>
      </c>
      <c r="C20" s="31"/>
      <c r="D20" s="31"/>
      <c r="E20" s="32"/>
    </row>
    <row r="21" spans="2:5" x14ac:dyDescent="0.25">
      <c r="B21" s="56" t="s">
        <v>1144</v>
      </c>
      <c r="C21" s="31"/>
      <c r="D21" s="31"/>
      <c r="E21" s="32"/>
    </row>
    <row r="22" spans="2:5" x14ac:dyDescent="0.25">
      <c r="B22" s="34" t="s">
        <v>1147</v>
      </c>
      <c r="C22" s="31">
        <f>SUM(C23:C27)</f>
        <v>0</v>
      </c>
      <c r="D22" s="31">
        <f>SUM(D23:D27)</f>
        <v>0</v>
      </c>
      <c r="E22" s="32">
        <f>SUM(E23:E27)</f>
        <v>0</v>
      </c>
    </row>
    <row r="23" spans="2:5" x14ac:dyDescent="0.25">
      <c r="B23" s="56" t="s">
        <v>1148</v>
      </c>
      <c r="C23" s="31"/>
      <c r="D23" s="31"/>
      <c r="E23" s="32"/>
    </row>
    <row r="24" spans="2:5" x14ac:dyDescent="0.25">
      <c r="B24" s="56" t="s">
        <v>1149</v>
      </c>
      <c r="C24" s="31"/>
      <c r="D24" s="31"/>
      <c r="E24" s="32"/>
    </row>
    <row r="25" spans="2:5" x14ac:dyDescent="0.25">
      <c r="B25" s="56" t="s">
        <v>1150</v>
      </c>
      <c r="C25" s="31"/>
      <c r="D25" s="31"/>
      <c r="E25" s="32"/>
    </row>
    <row r="26" spans="2:5" x14ac:dyDescent="0.25">
      <c r="B26" s="56" t="s">
        <v>1151</v>
      </c>
      <c r="C26" s="31"/>
      <c r="D26" s="31"/>
      <c r="E26" s="32"/>
    </row>
    <row r="27" spans="2:5" x14ac:dyDescent="0.25">
      <c r="B27" s="56" t="s">
        <v>1152</v>
      </c>
      <c r="C27" s="31"/>
      <c r="D27" s="31"/>
      <c r="E27" s="32"/>
    </row>
    <row r="28" spans="2:5" x14ac:dyDescent="0.25">
      <c r="B28" s="34" t="s">
        <v>1153</v>
      </c>
      <c r="C28" s="31"/>
      <c r="D28" s="31"/>
      <c r="E28" s="32"/>
    </row>
    <row r="29" spans="2:5" x14ac:dyDescent="0.25">
      <c r="B29" s="33" t="s">
        <v>1154</v>
      </c>
      <c r="C29" s="31"/>
      <c r="D29" s="31"/>
      <c r="E29" s="32"/>
    </row>
    <row r="30" spans="2:5" x14ac:dyDescent="0.25">
      <c r="B30" s="33" t="s">
        <v>1155</v>
      </c>
      <c r="C30" s="31"/>
      <c r="D30" s="31"/>
      <c r="E30" s="32"/>
    </row>
    <row r="31" spans="2:5" x14ac:dyDescent="0.25">
      <c r="B31" s="156" t="s">
        <v>442</v>
      </c>
      <c r="C31" s="149">
        <f>C32+C36</f>
        <v>0</v>
      </c>
      <c r="D31" s="149">
        <f>D32+D36</f>
        <v>0</v>
      </c>
      <c r="E31" s="150">
        <f>E32+E36</f>
        <v>0</v>
      </c>
    </row>
    <row r="32" spans="2:5" x14ac:dyDescent="0.25">
      <c r="B32" s="33" t="s">
        <v>1156</v>
      </c>
      <c r="C32" s="31">
        <f>C33-C34-C35</f>
        <v>0</v>
      </c>
      <c r="D32" s="31">
        <f>D33-D34-D35</f>
        <v>0</v>
      </c>
      <c r="E32" s="32">
        <f>E33-E34-E35</f>
        <v>0</v>
      </c>
    </row>
    <row r="33" spans="2:5" x14ac:dyDescent="0.25">
      <c r="B33" s="34" t="s">
        <v>594</v>
      </c>
      <c r="C33" s="31"/>
      <c r="D33" s="31"/>
      <c r="E33" s="32"/>
    </row>
    <row r="34" spans="2:5" x14ac:dyDescent="0.25">
      <c r="B34" s="34" t="s">
        <v>1157</v>
      </c>
      <c r="C34" s="31"/>
      <c r="D34" s="31"/>
      <c r="E34" s="32"/>
    </row>
    <row r="35" spans="2:5" x14ac:dyDescent="0.25">
      <c r="B35" s="34" t="s">
        <v>596</v>
      </c>
      <c r="C35" s="31"/>
      <c r="D35" s="31"/>
      <c r="E35" s="32"/>
    </row>
    <row r="36" spans="2:5" x14ac:dyDescent="0.25">
      <c r="B36" s="33" t="s">
        <v>597</v>
      </c>
      <c r="C36" s="31"/>
      <c r="D36" s="31"/>
      <c r="E36" s="32"/>
    </row>
    <row r="37" spans="2:5" x14ac:dyDescent="0.25">
      <c r="B37" s="137" t="s">
        <v>1158</v>
      </c>
      <c r="C37" s="158">
        <f>C12-C31</f>
        <v>0</v>
      </c>
      <c r="D37" s="158">
        <f>D12-D31</f>
        <v>0</v>
      </c>
      <c r="E37" s="159">
        <f>E12-E31</f>
        <v>0</v>
      </c>
    </row>
    <row r="38" spans="2:5" x14ac:dyDescent="0.25">
      <c r="B38" s="49" t="s">
        <v>1118</v>
      </c>
      <c r="C38" s="65">
        <f>paramRCLAnoAnterior</f>
        <v>44742424.130000003</v>
      </c>
      <c r="D38" s="65">
        <f>paramRCL1SemAtual</f>
        <v>0</v>
      </c>
      <c r="E38" s="66">
        <f>paramRCL2SemAtual</f>
        <v>0</v>
      </c>
    </row>
    <row r="39" spans="2:5" x14ac:dyDescent="0.25">
      <c r="B39" s="57" t="s">
        <v>1119</v>
      </c>
      <c r="C39" s="31">
        <f>paramEmendasIndividuaisAnoAnterior</f>
        <v>688856</v>
      </c>
      <c r="D39" s="31">
        <f>paramEmendasIndividuais1SemAtual</f>
        <v>0</v>
      </c>
      <c r="E39" s="32">
        <f>paramEmendasIndividuais2SemAtual</f>
        <v>0</v>
      </c>
    </row>
    <row r="40" spans="2:5" x14ac:dyDescent="0.25">
      <c r="B40" s="135" t="s">
        <v>1159</v>
      </c>
      <c r="C40" s="149">
        <f>C38-C39</f>
        <v>44053568.130000003</v>
      </c>
      <c r="D40" s="149">
        <f>D38-D39</f>
        <v>0</v>
      </c>
      <c r="E40" s="150">
        <f>E38-E39</f>
        <v>0</v>
      </c>
    </row>
    <row r="41" spans="2:5" x14ac:dyDescent="0.25">
      <c r="B41" s="57" t="s">
        <v>1160</v>
      </c>
      <c r="C41" s="75">
        <f>IFERROR(C12/C40,0)</f>
        <v>0</v>
      </c>
      <c r="D41" s="75">
        <f>IFERROR(D12/D40,0)</f>
        <v>0</v>
      </c>
      <c r="E41" s="83">
        <f>IFERROR(E12/E40,0)</f>
        <v>0</v>
      </c>
    </row>
    <row r="42" spans="2:5" x14ac:dyDescent="0.25">
      <c r="B42" s="137" t="s">
        <v>1161</v>
      </c>
      <c r="C42" s="160">
        <f>IFERROR(C37/C40,0)</f>
        <v>0</v>
      </c>
      <c r="D42" s="160">
        <f>IFERROR(D37/D40,0)</f>
        <v>0</v>
      </c>
      <c r="E42" s="161">
        <f>IFERROR(E37/E40,0)</f>
        <v>0</v>
      </c>
    </row>
    <row r="43" spans="2:5" x14ac:dyDescent="0.25">
      <c r="B43" s="57" t="s">
        <v>1162</v>
      </c>
      <c r="C43" s="31">
        <f>C40*1.2</f>
        <v>52864281.756000005</v>
      </c>
      <c r="D43" s="31">
        <f>D40*1.2</f>
        <v>0</v>
      </c>
      <c r="E43" s="32">
        <f>E40*1.2</f>
        <v>0</v>
      </c>
    </row>
    <row r="44" spans="2:5" ht="15.75" customHeight="1" x14ac:dyDescent="0.25">
      <c r="B44" s="21" t="s">
        <v>1163</v>
      </c>
      <c r="C44" s="22">
        <f>C40*1.08</f>
        <v>47577853.580400005</v>
      </c>
      <c r="D44" s="22">
        <f>D40*1.08</f>
        <v>0</v>
      </c>
      <c r="E44" s="23">
        <f>E40*1.08</f>
        <v>0</v>
      </c>
    </row>
    <row r="45" spans="2:5" ht="15.75" customHeight="1" x14ac:dyDescent="0.25">
      <c r="C45" s="133"/>
      <c r="D45" s="133"/>
      <c r="E45" s="133"/>
    </row>
    <row r="46" spans="2:5" x14ac:dyDescent="0.25">
      <c r="B46" s="428" t="s">
        <v>1164</v>
      </c>
      <c r="C46" s="7" t="s">
        <v>1138</v>
      </c>
      <c r="D46" s="268" t="str">
        <f>"SALDO DO EXERCÍCIO DE "&amp;YEAR(paramDataBase)</f>
        <v>SALDO DO EXERCÍCIO DE 1900</v>
      </c>
      <c r="E46" s="317"/>
    </row>
    <row r="47" spans="2:5" x14ac:dyDescent="0.25">
      <c r="B47" s="429"/>
      <c r="C47" s="11" t="s">
        <v>1004</v>
      </c>
      <c r="D47" s="11" t="s">
        <v>1139</v>
      </c>
      <c r="E47" s="12" t="s">
        <v>1140</v>
      </c>
    </row>
    <row r="48" spans="2:5" x14ac:dyDescent="0.25">
      <c r="B48" s="49" t="s">
        <v>1165</v>
      </c>
      <c r="C48" s="65"/>
      <c r="D48" s="65"/>
      <c r="E48" s="66"/>
    </row>
    <row r="49" spans="2:5" ht="15" customHeight="1" x14ac:dyDescent="0.25">
      <c r="B49" s="80" t="s">
        <v>1166</v>
      </c>
      <c r="C49" s="175"/>
      <c r="D49" s="175"/>
      <c r="E49" s="176"/>
    </row>
    <row r="50" spans="2:5" ht="15" customHeight="1" x14ac:dyDescent="0.25">
      <c r="B50" s="80" t="s">
        <v>1167</v>
      </c>
      <c r="C50" s="175"/>
      <c r="D50" s="175"/>
      <c r="E50" s="176"/>
    </row>
    <row r="51" spans="2:5" ht="15" customHeight="1" x14ac:dyDescent="0.25">
      <c r="B51" s="80" t="s">
        <v>1168</v>
      </c>
      <c r="C51" s="175"/>
      <c r="D51" s="175"/>
      <c r="E51" s="176"/>
    </row>
    <row r="52" spans="2:5" x14ac:dyDescent="0.25">
      <c r="B52" s="80" t="s">
        <v>1169</v>
      </c>
      <c r="C52" s="175"/>
      <c r="D52" s="175"/>
      <c r="E52" s="176"/>
    </row>
    <row r="53" spans="2:5" x14ac:dyDescent="0.25">
      <c r="B53" s="80" t="s">
        <v>1170</v>
      </c>
      <c r="C53" s="175"/>
      <c r="D53" s="175"/>
      <c r="E53" s="176"/>
    </row>
    <row r="54" spans="2:5" ht="15.75" customHeight="1" x14ac:dyDescent="0.25">
      <c r="B54" s="168" t="s">
        <v>1171</v>
      </c>
      <c r="C54" s="177"/>
      <c r="D54" s="177"/>
      <c r="E54" s="178"/>
    </row>
    <row r="55" spans="2:5" x14ac:dyDescent="0.25">
      <c r="B55" s="249" t="str">
        <f ca="1">_xlfn.CONCAT("Fonte: ",paramFonte,". Emissão em ",TEXT(NOW(),"dd/mm/aaaa \à\s hh:mm:ss"))</f>
        <v>Fonte: Sistema MS Excel + SIAPC/PAD, Unidade Responsável: Secretaria da Fazenda / Setor de Contabilidade. Emissão em 09/05/2024 às 09:42:51</v>
      </c>
      <c r="C55" s="249"/>
      <c r="D55" s="249"/>
      <c r="E55" s="249"/>
    </row>
    <row r="56" spans="2:5" ht="77.25" customHeight="1" x14ac:dyDescent="0.25">
      <c r="B56" s="262" t="s">
        <v>1172</v>
      </c>
      <c r="C56" s="262"/>
      <c r="D56" s="262"/>
      <c r="E56" s="262"/>
    </row>
    <row r="57" spans="2:5" ht="45.75" customHeight="1" x14ac:dyDescent="0.25">
      <c r="B57" s="262" t="s">
        <v>1173</v>
      </c>
      <c r="C57" s="262"/>
      <c r="D57" s="262"/>
      <c r="E57" s="262"/>
    </row>
    <row r="59" spans="2:5" x14ac:dyDescent="0.25">
      <c r="B59" t="s">
        <v>253</v>
      </c>
    </row>
    <row r="60" spans="2:5" x14ac:dyDescent="0.25">
      <c r="B60" s="247" t="str">
        <f>IFERROR(_xlfn.CONCAT(_xlfn._xlws.FILTER(tblNotasExplicativas[Nota Com Separador],tblNotasExplicativas[Demonstrativo]="RGF A2")),"")</f>
        <v/>
      </c>
      <c r="C60" s="247"/>
      <c r="D60" s="247"/>
      <c r="E60" s="247"/>
    </row>
    <row r="65" spans="2:5" x14ac:dyDescent="0.25">
      <c r="B65" t="str">
        <f>paramNomeContador</f>
        <v>EVERTON DA ROSA</v>
      </c>
      <c r="C65" t="str">
        <f>paramNomeSecretario</f>
        <v>ANA PAULA RODRIGUES SCHNEIDER SCHMIDT</v>
      </c>
      <c r="D65" t="str">
        <f>paramNomeControleInterno</f>
        <v>JEAN LENON CORO MONTEIRO</v>
      </c>
      <c r="E65" t="str">
        <f>paramNomePrefeito</f>
        <v>JOÃO EDÉCIO GRAEF</v>
      </c>
    </row>
    <row r="66" spans="2:5" x14ac:dyDescent="0.25">
      <c r="B66" t="str">
        <f>paramCargoContador</f>
        <v>Contador</v>
      </c>
      <c r="C66" t="str">
        <f>paramCargoSecretario</f>
        <v>Secretária da Fazenda</v>
      </c>
      <c r="D66" t="str">
        <f>paramCargoControleInterno</f>
        <v>Controlador Interno</v>
      </c>
      <c r="E66" t="str">
        <f>paramCargoPrefeito</f>
        <v>Prefeito Municipal</v>
      </c>
    </row>
    <row r="67" spans="2:5" x14ac:dyDescent="0.25">
      <c r="B67" t="str">
        <f>_xlfn.CONCAT("CRC ",paramCRCContador)</f>
        <v>CRC 076595/O-3</v>
      </c>
    </row>
  </sheetData>
  <mergeCells count="15">
    <mergeCell ref="B60:E60"/>
    <mergeCell ref="B2:E2"/>
    <mergeCell ref="B3:E3"/>
    <mergeCell ref="B4:E4"/>
    <mergeCell ref="B5:E5"/>
    <mergeCell ref="B6:E6"/>
    <mergeCell ref="B7:E7"/>
    <mergeCell ref="B10:B11"/>
    <mergeCell ref="D10:E10"/>
    <mergeCell ref="B46:B47"/>
    <mergeCell ref="D46:E46"/>
    <mergeCell ref="B57:E57"/>
    <mergeCell ref="B55:E55"/>
    <mergeCell ref="B56:E56"/>
    <mergeCell ref="B9:D9"/>
  </mergeCells>
  <pageMargins left="0.25" right="0.25" top="0.75" bottom="0.75" header="0.3" footer="0.3"/>
  <pageSetup paperSize="9" scale="58"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853C0C"/>
    <pageSetUpPr fitToPage="1"/>
  </sheetPr>
  <dimension ref="B2:P59"/>
  <sheetViews>
    <sheetView topLeftCell="A38" workbookViewId="0">
      <selection activeCell="E56" sqref="E56"/>
    </sheetView>
  </sheetViews>
  <sheetFormatPr defaultRowHeight="15" x14ac:dyDescent="0.25"/>
  <cols>
    <col min="2" max="2" width="96.5703125" customWidth="1"/>
    <col min="3" max="3" width="19.85546875" customWidth="1"/>
    <col min="4" max="5" width="17"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1174</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ht="15.75" customHeight="1" x14ac:dyDescent="0.25">
      <c r="B9" s="250" t="s">
        <v>1175</v>
      </c>
      <c r="C9" s="250"/>
      <c r="D9" s="250"/>
      <c r="E9" s="146">
        <v>1</v>
      </c>
      <c r="F9" s="170"/>
      <c r="G9" s="170"/>
      <c r="H9" s="170"/>
      <c r="I9" s="170"/>
      <c r="J9" s="170"/>
      <c r="K9" s="170"/>
      <c r="L9" s="170"/>
      <c r="M9" s="170"/>
      <c r="N9" s="170"/>
      <c r="O9" s="170"/>
    </row>
    <row r="10" spans="2:16" x14ac:dyDescent="0.25">
      <c r="B10" s="234" t="s">
        <v>1176</v>
      </c>
      <c r="C10" s="7" t="s">
        <v>1138</v>
      </c>
      <c r="D10" s="257" t="str">
        <f>"SALDOS DO EXERCÍCIO DE "&amp;YEAR(paramDataBase)</f>
        <v>SALDOS DO EXERCÍCIO DE 1900</v>
      </c>
      <c r="E10" s="268"/>
    </row>
    <row r="11" spans="2:16" x14ac:dyDescent="0.25">
      <c r="B11" s="229"/>
      <c r="C11" s="11" t="s">
        <v>1004</v>
      </c>
      <c r="D11" s="11" t="s">
        <v>1139</v>
      </c>
      <c r="E11" s="12" t="s">
        <v>1140</v>
      </c>
    </row>
    <row r="12" spans="2:16" x14ac:dyDescent="0.25">
      <c r="B12" s="57" t="s">
        <v>1177</v>
      </c>
      <c r="C12" s="31">
        <f>SUM(C13:C14)</f>
        <v>0</v>
      </c>
      <c r="D12" s="31">
        <f>SUM(D13:D14)</f>
        <v>0</v>
      </c>
      <c r="E12" s="32">
        <f>SUM(E13:E14)</f>
        <v>0</v>
      </c>
    </row>
    <row r="13" spans="2:16" x14ac:dyDescent="0.25">
      <c r="B13" s="33" t="s">
        <v>1178</v>
      </c>
      <c r="C13" s="31"/>
      <c r="D13" s="31"/>
      <c r="E13" s="32"/>
    </row>
    <row r="14" spans="2:16" x14ac:dyDescent="0.25">
      <c r="B14" s="33" t="s">
        <v>1179</v>
      </c>
      <c r="C14" s="31"/>
      <c r="D14" s="31"/>
      <c r="E14" s="32"/>
    </row>
    <row r="15" spans="2:16" x14ac:dyDescent="0.25">
      <c r="B15" s="57" t="s">
        <v>1180</v>
      </c>
      <c r="C15" s="31">
        <f>SUM(C16:C17)</f>
        <v>0</v>
      </c>
      <c r="D15" s="31">
        <f>SUM(D16:D17)</f>
        <v>0</v>
      </c>
      <c r="E15" s="32">
        <f>SUM(E16:E17)</f>
        <v>0</v>
      </c>
    </row>
    <row r="16" spans="2:16" x14ac:dyDescent="0.25">
      <c r="B16" s="33" t="s">
        <v>1178</v>
      </c>
      <c r="C16" s="31"/>
      <c r="D16" s="31"/>
      <c r="E16" s="32"/>
    </row>
    <row r="17" spans="2:5" x14ac:dyDescent="0.25">
      <c r="B17" s="33" t="s">
        <v>1179</v>
      </c>
      <c r="C17" s="31"/>
      <c r="D17" s="31"/>
      <c r="E17" s="32"/>
    </row>
    <row r="18" spans="2:5" x14ac:dyDescent="0.25">
      <c r="B18" s="57" t="s">
        <v>1181</v>
      </c>
      <c r="C18" s="31">
        <f>SUM(C19:C20)</f>
        <v>0</v>
      </c>
      <c r="D18" s="31">
        <f>SUM(D19:D20)</f>
        <v>0</v>
      </c>
      <c r="E18" s="32">
        <f>SUM(E19:E20)</f>
        <v>0</v>
      </c>
    </row>
    <row r="19" spans="2:5" x14ac:dyDescent="0.25">
      <c r="B19" s="33" t="s">
        <v>1178</v>
      </c>
      <c r="C19" s="31"/>
      <c r="D19" s="31"/>
      <c r="E19" s="32"/>
    </row>
    <row r="20" spans="2:5" x14ac:dyDescent="0.25">
      <c r="B20" s="33" t="s">
        <v>1179</v>
      </c>
      <c r="C20" s="31"/>
      <c r="D20" s="31"/>
      <c r="E20" s="32"/>
    </row>
    <row r="21" spans="2:5" x14ac:dyDescent="0.25">
      <c r="B21" s="57" t="s">
        <v>1182</v>
      </c>
      <c r="C21" s="31"/>
      <c r="D21" s="31"/>
      <c r="E21" s="32"/>
    </row>
    <row r="22" spans="2:5" x14ac:dyDescent="0.25">
      <c r="B22" s="105" t="s">
        <v>1183</v>
      </c>
      <c r="C22" s="40">
        <f>C12+C15+C18+C21</f>
        <v>0</v>
      </c>
      <c r="D22" s="40">
        <f>D12+D15+D18+D21</f>
        <v>0</v>
      </c>
      <c r="E22" s="95">
        <f>E12+E15+E18+E21</f>
        <v>0</v>
      </c>
    </row>
    <row r="23" spans="2:5" x14ac:dyDescent="0.25">
      <c r="B23" s="105" t="s">
        <v>1184</v>
      </c>
      <c r="C23" s="40">
        <f>paramRCLAnoAnterior</f>
        <v>44742424.130000003</v>
      </c>
      <c r="D23" s="40">
        <f>paramRCL1SemAtual</f>
        <v>0</v>
      </c>
      <c r="E23" s="95">
        <f>paramRCL2SemAtual</f>
        <v>0</v>
      </c>
    </row>
    <row r="24" spans="2:5" x14ac:dyDescent="0.25">
      <c r="B24" s="105" t="s">
        <v>1185</v>
      </c>
      <c r="C24" s="40">
        <f>paramEmendasIndividuaisAnoAnterior</f>
        <v>688856</v>
      </c>
      <c r="D24" s="40">
        <f>paramEmendasIndividuais1SemAtual</f>
        <v>0</v>
      </c>
      <c r="E24" s="95">
        <f>paramEmendasIndividuais2SemAtual</f>
        <v>0</v>
      </c>
    </row>
    <row r="25" spans="2:5" x14ac:dyDescent="0.25">
      <c r="B25" s="105" t="s">
        <v>1186</v>
      </c>
      <c r="C25" s="40">
        <f>C23-C24</f>
        <v>44053568.130000003</v>
      </c>
      <c r="D25" s="40">
        <f>D23-D24</f>
        <v>0</v>
      </c>
      <c r="E25" s="95">
        <f>E23-E24</f>
        <v>0</v>
      </c>
    </row>
    <row r="26" spans="2:5" x14ac:dyDescent="0.25">
      <c r="B26" s="105" t="s">
        <v>1187</v>
      </c>
      <c r="C26" s="198">
        <f>IFERROR(C22/C25,"")</f>
        <v>0</v>
      </c>
      <c r="D26" s="198" t="str">
        <f>IFERROR(D22/D25,"")</f>
        <v/>
      </c>
      <c r="E26" s="41" t="str">
        <f>IFERROR(E22/E25,"")</f>
        <v/>
      </c>
    </row>
    <row r="27" spans="2:5" x14ac:dyDescent="0.25">
      <c r="B27" s="105" t="str">
        <f>"LIMITE DEFINIDO POR RESOLUÇÃO DO SENADO FEDERAL - "&amp;TEXT(paramGarantiasLimiteSenado, "0,00%")</f>
        <v>LIMITE DEFINIDO POR RESOLUÇÃO DO SENADO FEDERAL - 32,00%</v>
      </c>
      <c r="C27" s="40">
        <f>C25*paramGarantiasLimiteSenado</f>
        <v>14097141.801600002</v>
      </c>
      <c r="D27" s="40">
        <f>D25*paramGarantiasLimiteSenado</f>
        <v>0</v>
      </c>
      <c r="E27" s="95">
        <f>E25*paramGarantiasLimiteSenado</f>
        <v>0</v>
      </c>
    </row>
    <row r="28" spans="2:5" ht="15.75" customHeight="1" x14ac:dyDescent="0.25">
      <c r="B28" s="186" t="str">
        <f>"LIMITE DE ALERTA (inciso III do § 1º do art. 59 da LRF) - "&amp;TEXT(paramGarantiasLimiteSenado*90%, "0,00%")</f>
        <v>LIMITE DE ALERTA (inciso III do § 1º do art. 59 da LRF) - 28,80%</v>
      </c>
      <c r="C28" s="26">
        <f>C27*90%</f>
        <v>12687427.621440003</v>
      </c>
      <c r="D28" s="26">
        <f>D27*90%</f>
        <v>0</v>
      </c>
      <c r="E28" s="96">
        <f>E27*90%</f>
        <v>0</v>
      </c>
    </row>
    <row r="29" spans="2:5" ht="15.75" customHeight="1" x14ac:dyDescent="0.25"/>
    <row r="30" spans="2:5" x14ac:dyDescent="0.25">
      <c r="B30" s="234" t="s">
        <v>1188</v>
      </c>
      <c r="C30" s="7" t="s">
        <v>1138</v>
      </c>
      <c r="D30" s="257" t="str">
        <f>"SALDOS DO EXERCÍCIO DE "&amp;YEAR(paramDataBase)</f>
        <v>SALDOS DO EXERCÍCIO DE 1900</v>
      </c>
      <c r="E30" s="268"/>
    </row>
    <row r="31" spans="2:5" x14ac:dyDescent="0.25">
      <c r="B31" s="229"/>
      <c r="C31" s="11" t="s">
        <v>1004</v>
      </c>
      <c r="D31" s="11" t="s">
        <v>1139</v>
      </c>
      <c r="E31" s="12" t="s">
        <v>1140</v>
      </c>
    </row>
    <row r="32" spans="2:5" x14ac:dyDescent="0.25">
      <c r="B32" s="57" t="s">
        <v>1189</v>
      </c>
      <c r="C32" s="31">
        <f>SUM(C33:C34)</f>
        <v>0</v>
      </c>
      <c r="D32" s="31">
        <f>SUM(D33:D34)</f>
        <v>0</v>
      </c>
      <c r="E32" s="32">
        <f>SUM(E33:E34)</f>
        <v>0</v>
      </c>
    </row>
    <row r="33" spans="2:16" x14ac:dyDescent="0.25">
      <c r="B33" s="33" t="s">
        <v>1190</v>
      </c>
      <c r="C33" s="31"/>
      <c r="D33" s="31"/>
      <c r="E33" s="32"/>
    </row>
    <row r="34" spans="2:16" x14ac:dyDescent="0.25">
      <c r="B34" s="33" t="s">
        <v>1191</v>
      </c>
      <c r="C34" s="31"/>
      <c r="D34" s="31"/>
      <c r="E34" s="32"/>
    </row>
    <row r="35" spans="2:16" x14ac:dyDescent="0.25">
      <c r="B35" s="57" t="s">
        <v>1192</v>
      </c>
      <c r="C35" s="31">
        <f>SUM(C36:C37)</f>
        <v>0</v>
      </c>
      <c r="D35" s="31">
        <f>SUM(D36:D37)</f>
        <v>0</v>
      </c>
      <c r="E35" s="32">
        <f>SUM(E36:E37)</f>
        <v>0</v>
      </c>
    </row>
    <row r="36" spans="2:16" x14ac:dyDescent="0.25">
      <c r="B36" s="33" t="s">
        <v>1190</v>
      </c>
      <c r="C36" s="31"/>
      <c r="D36" s="31"/>
      <c r="E36" s="32"/>
    </row>
    <row r="37" spans="2:16" x14ac:dyDescent="0.25">
      <c r="B37" s="33" t="s">
        <v>1191</v>
      </c>
      <c r="C37" s="31"/>
      <c r="D37" s="31"/>
      <c r="E37" s="32"/>
    </row>
    <row r="38" spans="2:16" x14ac:dyDescent="0.25">
      <c r="B38" s="57" t="s">
        <v>1193</v>
      </c>
      <c r="C38" s="31">
        <f>SUM(C39:C40)</f>
        <v>0</v>
      </c>
      <c r="D38" s="31">
        <f>SUM(D39:D40)</f>
        <v>0</v>
      </c>
      <c r="E38" s="32">
        <f>SUM(E39:E40)</f>
        <v>0</v>
      </c>
    </row>
    <row r="39" spans="2:16" x14ac:dyDescent="0.25">
      <c r="B39" s="33" t="s">
        <v>1190</v>
      </c>
      <c r="C39" s="31"/>
      <c r="D39" s="31"/>
      <c r="E39" s="32"/>
    </row>
    <row r="40" spans="2:16" x14ac:dyDescent="0.25">
      <c r="B40" s="33" t="s">
        <v>1191</v>
      </c>
      <c r="C40" s="31"/>
      <c r="D40" s="31"/>
      <c r="E40" s="32"/>
    </row>
    <row r="41" spans="2:16" x14ac:dyDescent="0.25">
      <c r="B41" s="57" t="s">
        <v>1194</v>
      </c>
      <c r="C41" s="31"/>
      <c r="D41" s="31"/>
      <c r="E41" s="32"/>
    </row>
    <row r="42" spans="2:16" x14ac:dyDescent="0.25">
      <c r="B42" s="105" t="s">
        <v>1195</v>
      </c>
      <c r="C42" s="40">
        <f>C32+C35+C38+C41</f>
        <v>0</v>
      </c>
      <c r="D42" s="40">
        <f>D32+D35+D38+D41</f>
        <v>0</v>
      </c>
      <c r="E42" s="95">
        <f>E32+E35+E38+E41</f>
        <v>0</v>
      </c>
    </row>
    <row r="43" spans="2:16" ht="15.75" customHeight="1" x14ac:dyDescent="0.25">
      <c r="B43" s="186" t="s">
        <v>1196</v>
      </c>
      <c r="C43" s="26"/>
      <c r="D43" s="26"/>
      <c r="E43" s="96"/>
    </row>
    <row r="44" spans="2:16" x14ac:dyDescent="0.25">
      <c r="B44" s="261" t="str">
        <f ca="1">_xlfn.CONCAT("Fonte: ",paramFonte,". Emissão em ",TEXT(NOW(),"dd/mm/aaaa \à\s hh:mm:ss"))</f>
        <v>Fonte: Sistema MS Excel + SIAPC/PAD, Unidade Responsável: Secretaria da Fazenda / Setor de Contabilidade. Emissão em 09/05/2024 às 09:42:51</v>
      </c>
      <c r="C44" s="261"/>
      <c r="D44" s="261"/>
      <c r="E44" s="261"/>
      <c r="F44" s="45"/>
      <c r="G44" s="45"/>
      <c r="H44" s="45"/>
      <c r="I44" s="45"/>
      <c r="J44" s="45"/>
      <c r="K44" s="45"/>
      <c r="L44" s="45"/>
      <c r="M44" s="45"/>
      <c r="N44" s="45"/>
      <c r="O44" s="45"/>
      <c r="P44" s="45"/>
    </row>
    <row r="46" spans="2:16" x14ac:dyDescent="0.25">
      <c r="B46" t="s">
        <v>253</v>
      </c>
    </row>
    <row r="47" spans="2:16" x14ac:dyDescent="0.25">
      <c r="B47" s="247" t="str">
        <f>IFERROR(_xlfn.CONCAT(_xlfn._xlws.FILTER(tblNotasExplicativas[Nota Com Separador],tblNotasExplicativas[Demonstrativo]="RGF A3")),"")</f>
        <v/>
      </c>
      <c r="C47" s="247"/>
      <c r="D47" s="247"/>
      <c r="E47" s="247"/>
    </row>
    <row r="52" spans="2:5" x14ac:dyDescent="0.25">
      <c r="B52" t="str">
        <f>paramNomeContador</f>
        <v>EVERTON DA ROSA</v>
      </c>
      <c r="C52" s="247" t="str">
        <f>paramNomeSecretario</f>
        <v>ANA PAULA RODRIGUES SCHNEIDER SCHMIDT</v>
      </c>
      <c r="D52" s="247"/>
      <c r="E52" s="247"/>
    </row>
    <row r="53" spans="2:5" x14ac:dyDescent="0.25">
      <c r="B53" t="str">
        <f>paramCargoContador</f>
        <v>Contador</v>
      </c>
      <c r="C53" s="247" t="str">
        <f>paramCargoSecretario</f>
        <v>Secretária da Fazenda</v>
      </c>
      <c r="D53" s="247"/>
      <c r="E53" s="247"/>
    </row>
    <row r="54" spans="2:5" x14ac:dyDescent="0.25">
      <c r="B54" t="str">
        <f>_xlfn.CONCAT("CRC ",paramCRCContador)</f>
        <v>CRC 076595/O-3</v>
      </c>
    </row>
    <row r="58" spans="2:5" x14ac:dyDescent="0.25">
      <c r="B58" t="str">
        <f>paramNomeControleInterno</f>
        <v>JEAN LENON CORO MONTEIRO</v>
      </c>
      <c r="C58" s="247" t="str">
        <f>paramNomePrefeito</f>
        <v>JOÃO EDÉCIO GRAEF</v>
      </c>
      <c r="D58" s="247"/>
      <c r="E58" s="247"/>
    </row>
    <row r="59" spans="2:5" x14ac:dyDescent="0.25">
      <c r="B59" t="str">
        <f>paramCargoControleInterno</f>
        <v>Controlador Interno</v>
      </c>
      <c r="C59" s="247" t="str">
        <f>paramCargoPrefeito</f>
        <v>Prefeito Municipal</v>
      </c>
      <c r="D59" s="247"/>
      <c r="E59" s="247"/>
    </row>
  </sheetData>
  <mergeCells count="17">
    <mergeCell ref="C59:E59"/>
    <mergeCell ref="B47:E47"/>
    <mergeCell ref="B44:E44"/>
    <mergeCell ref="C52:E52"/>
    <mergeCell ref="C53:E53"/>
    <mergeCell ref="B30:B31"/>
    <mergeCell ref="D30:E30"/>
    <mergeCell ref="C58:E58"/>
    <mergeCell ref="B10:B11"/>
    <mergeCell ref="D10:E10"/>
    <mergeCell ref="B3:E3"/>
    <mergeCell ref="B2:E2"/>
    <mergeCell ref="B9:D9"/>
    <mergeCell ref="B7:E7"/>
    <mergeCell ref="B6:E6"/>
    <mergeCell ref="B5:E5"/>
    <mergeCell ref="B4:E4"/>
  </mergeCells>
  <pageMargins left="0.25" right="0.25" top="0.75" bottom="0.75" header="0.3" footer="0.3"/>
  <pageSetup paperSize="9" scale="65"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53C0C"/>
    <pageSetUpPr fitToPage="1"/>
  </sheetPr>
  <dimension ref="B2:E69"/>
  <sheetViews>
    <sheetView topLeftCell="A39" workbookViewId="0">
      <selection activeCell="C34" sqref="C34:C42"/>
    </sheetView>
  </sheetViews>
  <sheetFormatPr defaultRowHeight="15" x14ac:dyDescent="0.25"/>
  <cols>
    <col min="2" max="2" width="109.140625" customWidth="1"/>
    <col min="3" max="3" width="13.42578125" customWidth="1"/>
    <col min="4" max="4" width="14.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1197</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1198</v>
      </c>
      <c r="C9" s="250"/>
      <c r="D9" s="146">
        <v>1</v>
      </c>
    </row>
    <row r="10" spans="2:5" x14ac:dyDescent="0.25">
      <c r="B10" s="234" t="s">
        <v>186</v>
      </c>
      <c r="C10" s="257" t="s">
        <v>1199</v>
      </c>
      <c r="D10" s="268"/>
    </row>
    <row r="11" spans="2:5" x14ac:dyDescent="0.25">
      <c r="B11" s="228"/>
      <c r="C11" s="8" t="s">
        <v>1200</v>
      </c>
      <c r="D11" s="10" t="s">
        <v>1201</v>
      </c>
    </row>
    <row r="12" spans="2:5" x14ac:dyDescent="0.25">
      <c r="B12" s="228"/>
      <c r="C12" s="8" t="s">
        <v>1202</v>
      </c>
      <c r="D12" s="10" t="s">
        <v>1202</v>
      </c>
    </row>
    <row r="13" spans="2:5" x14ac:dyDescent="0.25">
      <c r="B13" s="229"/>
      <c r="C13" s="11"/>
      <c r="D13" s="12" t="s">
        <v>138</v>
      </c>
    </row>
    <row r="14" spans="2:5" x14ac:dyDescent="0.25">
      <c r="B14" s="33" t="s">
        <v>205</v>
      </c>
      <c r="C14" s="31">
        <f>SUM(C15:C16)</f>
        <v>0</v>
      </c>
      <c r="D14" s="32">
        <f>SUM(D15:D16)</f>
        <v>0</v>
      </c>
    </row>
    <row r="15" spans="2:5" x14ac:dyDescent="0.25">
      <c r="B15" s="34" t="s">
        <v>1203</v>
      </c>
      <c r="C15" s="31"/>
      <c r="D15" s="32"/>
    </row>
    <row r="16" spans="2:5" x14ac:dyDescent="0.25">
      <c r="B16" s="34" t="s">
        <v>1204</v>
      </c>
      <c r="C16" s="31"/>
      <c r="D16" s="32"/>
    </row>
    <row r="17" spans="2:4" x14ac:dyDescent="0.25">
      <c r="B17" s="33" t="s">
        <v>206</v>
      </c>
      <c r="C17" s="31">
        <f>C18+C25</f>
        <v>0</v>
      </c>
      <c r="D17" s="32">
        <f>D18+D25</f>
        <v>0</v>
      </c>
    </row>
    <row r="18" spans="2:4" x14ac:dyDescent="0.25">
      <c r="B18" s="34" t="s">
        <v>1203</v>
      </c>
      <c r="C18" s="31">
        <f>SUM(C19:C23)</f>
        <v>0</v>
      </c>
      <c r="D18" s="32">
        <f>SUM(D19:D23)</f>
        <v>0</v>
      </c>
    </row>
    <row r="19" spans="2:4" x14ac:dyDescent="0.25">
      <c r="B19" s="56" t="s">
        <v>1142</v>
      </c>
      <c r="C19" s="31"/>
      <c r="D19" s="32"/>
    </row>
    <row r="20" spans="2:4" x14ac:dyDescent="0.25">
      <c r="B20" s="56" t="s">
        <v>1205</v>
      </c>
      <c r="C20" s="31"/>
      <c r="D20" s="32"/>
    </row>
    <row r="21" spans="2:4" x14ac:dyDescent="0.25">
      <c r="B21" s="56" t="s">
        <v>1206</v>
      </c>
      <c r="C21" s="31"/>
      <c r="D21" s="32"/>
    </row>
    <row r="22" spans="2:4" x14ac:dyDescent="0.25">
      <c r="B22" s="56" t="s">
        <v>1207</v>
      </c>
      <c r="C22" s="31"/>
      <c r="D22" s="32"/>
    </row>
    <row r="23" spans="2:4" x14ac:dyDescent="0.25">
      <c r="B23" s="56" t="s">
        <v>1208</v>
      </c>
      <c r="C23" s="31"/>
      <c r="D23" s="32"/>
    </row>
    <row r="24" spans="2:4" x14ac:dyDescent="0.25">
      <c r="B24" s="34" t="s">
        <v>1204</v>
      </c>
      <c r="C24" s="31">
        <f>SUM(C25:C29)</f>
        <v>0</v>
      </c>
      <c r="D24" s="32">
        <f>SUM(D25:D29)</f>
        <v>0</v>
      </c>
    </row>
    <row r="25" spans="2:4" x14ac:dyDescent="0.25">
      <c r="B25" s="56" t="s">
        <v>1142</v>
      </c>
      <c r="C25" s="31"/>
      <c r="D25" s="32"/>
    </row>
    <row r="26" spans="2:4" x14ac:dyDescent="0.25">
      <c r="B26" s="56" t="s">
        <v>1205</v>
      </c>
      <c r="C26" s="31"/>
      <c r="D26" s="32"/>
    </row>
    <row r="27" spans="2:4" x14ac:dyDescent="0.25">
      <c r="B27" s="56" t="s">
        <v>1206</v>
      </c>
      <c r="C27" s="31"/>
      <c r="D27" s="32"/>
    </row>
    <row r="28" spans="2:4" x14ac:dyDescent="0.25">
      <c r="B28" s="56" t="s">
        <v>1207</v>
      </c>
      <c r="C28" s="31"/>
      <c r="D28" s="32"/>
    </row>
    <row r="29" spans="2:4" x14ac:dyDescent="0.25">
      <c r="B29" s="56" t="s">
        <v>1209</v>
      </c>
      <c r="C29" s="31"/>
      <c r="D29" s="32"/>
    </row>
    <row r="30" spans="2:4" ht="15.75" customHeight="1" x14ac:dyDescent="0.25">
      <c r="B30" s="151" t="s">
        <v>1210</v>
      </c>
      <c r="C30" s="152">
        <f>C14+C17</f>
        <v>0</v>
      </c>
      <c r="D30" s="153">
        <f>D14+D17</f>
        <v>0</v>
      </c>
    </row>
    <row r="31" spans="2:4" ht="15.75" customHeight="1" x14ac:dyDescent="0.25"/>
    <row r="32" spans="2:4" x14ac:dyDescent="0.25">
      <c r="B32" s="259" t="s">
        <v>1211</v>
      </c>
      <c r="C32" s="241" t="s">
        <v>488</v>
      </c>
      <c r="D32" s="9" t="s">
        <v>1212</v>
      </c>
    </row>
    <row r="33" spans="2:4" x14ac:dyDescent="0.25">
      <c r="B33" s="260"/>
      <c r="C33" s="245"/>
      <c r="D33" s="12" t="s">
        <v>1213</v>
      </c>
    </row>
    <row r="34" spans="2:4" x14ac:dyDescent="0.25">
      <c r="B34" s="105" t="s">
        <v>1118</v>
      </c>
      <c r="C34" s="204">
        <f>'RREO A3'!O40</f>
        <v>0</v>
      </c>
      <c r="D34" s="41"/>
    </row>
    <row r="35" spans="2:4" x14ac:dyDescent="0.25">
      <c r="B35" s="105" t="s">
        <v>1119</v>
      </c>
      <c r="C35" s="204">
        <f>'RREO A3'!O41</f>
        <v>0</v>
      </c>
      <c r="D35" s="41"/>
    </row>
    <row r="36" spans="2:4" x14ac:dyDescent="0.25">
      <c r="B36" s="105" t="s">
        <v>1159</v>
      </c>
      <c r="C36" s="204">
        <f>C34-C35</f>
        <v>0</v>
      </c>
      <c r="D36" s="41"/>
    </row>
    <row r="37" spans="2:4" x14ac:dyDescent="0.25">
      <c r="B37" s="105" t="s">
        <v>1214</v>
      </c>
      <c r="C37" s="204"/>
      <c r="D37" s="41" t="str">
        <f>IFERROR(C37/$C$36,"")</f>
        <v/>
      </c>
    </row>
    <row r="38" spans="2:4" x14ac:dyDescent="0.25">
      <c r="B38" s="105" t="s">
        <v>1215</v>
      </c>
      <c r="C38" s="204">
        <f>D30+C37-D23-D29</f>
        <v>0</v>
      </c>
      <c r="D38" s="41" t="str">
        <f>IFERROR(C38/$C$36,"")</f>
        <v/>
      </c>
    </row>
    <row r="39" spans="2:4" x14ac:dyDescent="0.25">
      <c r="B39" s="105" t="s">
        <v>1216</v>
      </c>
      <c r="C39" s="204">
        <f>C36*paramOperacaoCreditoLimiteSenado</f>
        <v>0</v>
      </c>
      <c r="D39" s="41" t="str">
        <f>IFERROR(C39/$C$36,"")</f>
        <v/>
      </c>
    </row>
    <row r="40" spans="2:4" x14ac:dyDescent="0.25">
      <c r="B40" s="105" t="str">
        <f>"LIMITE DE ALERTA (inciso III do § 1º do art. 59 da LRF) - "&amp;TEXT(paramOperacaoCreditoLimiteSenado*90%,"00,00%")</f>
        <v>LIMITE DE ALERTA (inciso III do § 1º do art. 59 da LRF) - 14,40%</v>
      </c>
      <c r="C40" s="204">
        <f>C39*90%</f>
        <v>0</v>
      </c>
      <c r="D40" s="41" t="str">
        <f>IFERROR(C40/$C$36,"")</f>
        <v/>
      </c>
    </row>
    <row r="41" spans="2:4" x14ac:dyDescent="0.25">
      <c r="B41" s="105" t="s">
        <v>1217</v>
      </c>
      <c r="C41" s="204"/>
      <c r="D41" s="41" t="str">
        <f>IFERROR(C41/$C$36,"")</f>
        <v/>
      </c>
    </row>
    <row r="42" spans="2:4" ht="30.75" customHeight="1" x14ac:dyDescent="0.25">
      <c r="B42" s="168" t="s">
        <v>1218</v>
      </c>
      <c r="C42" s="62">
        <f>C36*D42</f>
        <v>0</v>
      </c>
      <c r="D42" s="102">
        <v>7.0000000000000007E-2</v>
      </c>
    </row>
    <row r="43" spans="2:4" ht="15.75" customHeight="1" x14ac:dyDescent="0.25"/>
    <row r="44" spans="2:4" x14ac:dyDescent="0.25">
      <c r="B44" s="234" t="s">
        <v>1219</v>
      </c>
      <c r="C44" s="257" t="s">
        <v>1199</v>
      </c>
      <c r="D44" s="268"/>
    </row>
    <row r="45" spans="2:4" x14ac:dyDescent="0.25">
      <c r="B45" s="228"/>
      <c r="C45" s="8" t="s">
        <v>1200</v>
      </c>
      <c r="D45" s="10" t="s">
        <v>1201</v>
      </c>
    </row>
    <row r="46" spans="2:4" x14ac:dyDescent="0.25">
      <c r="B46" s="228"/>
      <c r="C46" s="8" t="s">
        <v>1202</v>
      </c>
      <c r="D46" s="10" t="s">
        <v>1202</v>
      </c>
    </row>
    <row r="47" spans="2:4" x14ac:dyDescent="0.25">
      <c r="B47" s="229"/>
      <c r="C47" s="11"/>
      <c r="D47" s="12" t="s">
        <v>138</v>
      </c>
    </row>
    <row r="48" spans="2:4" x14ac:dyDescent="0.25">
      <c r="B48" s="33" t="s">
        <v>1220</v>
      </c>
      <c r="C48" s="31">
        <f>SUM(C49:C52)</f>
        <v>0</v>
      </c>
      <c r="D48" s="32">
        <f>SUM(D49:D52)</f>
        <v>0</v>
      </c>
    </row>
    <row r="49" spans="2:4" x14ac:dyDescent="0.25">
      <c r="B49" s="34" t="s">
        <v>1221</v>
      </c>
      <c r="C49" s="31"/>
      <c r="D49" s="32"/>
    </row>
    <row r="50" spans="2:4" x14ac:dyDescent="0.25">
      <c r="B50" s="34" t="s">
        <v>1222</v>
      </c>
      <c r="C50" s="31"/>
      <c r="D50" s="32"/>
    </row>
    <row r="51" spans="2:4" x14ac:dyDescent="0.25">
      <c r="B51" s="34" t="s">
        <v>1223</v>
      </c>
      <c r="C51" s="31"/>
      <c r="D51" s="32"/>
    </row>
    <row r="52" spans="2:4" x14ac:dyDescent="0.25">
      <c r="B52" s="34" t="s">
        <v>1224</v>
      </c>
      <c r="C52" s="31"/>
      <c r="D52" s="32"/>
    </row>
    <row r="53" spans="2:4" ht="15.75" customHeight="1" x14ac:dyDescent="0.25">
      <c r="B53" s="61" t="s">
        <v>1225</v>
      </c>
      <c r="C53" s="22"/>
      <c r="D53" s="23"/>
    </row>
    <row r="54" spans="2:4" x14ac:dyDescent="0.25">
      <c r="B54" s="261" t="str">
        <f ca="1">_xlfn.CONCAT("Fonte: ",paramFonte,". Emissão em ",TEXT(NOW(),"dd/mm/aaaa \à\s hh:mm:ss"))</f>
        <v>Fonte: Sistema MS Excel + SIAPC/PAD, Unidade Responsável: Secretaria da Fazenda / Setor de Contabilidade. Emissão em 09/05/2024 às 09:42:51</v>
      </c>
      <c r="C54" s="261"/>
      <c r="D54" s="261"/>
    </row>
    <row r="56" spans="2:4" x14ac:dyDescent="0.25">
      <c r="B56" t="s">
        <v>253</v>
      </c>
    </row>
    <row r="57" spans="2:4" x14ac:dyDescent="0.25">
      <c r="B57" s="247" t="str">
        <f>IFERROR(_xlfn.CONCAT(_xlfn._xlws.FILTER(tblNotasExplicativas[Nota Com Separador],tblNotasExplicativas[Demonstrativo]="RGF A4")),"")</f>
        <v/>
      </c>
      <c r="C57" s="247"/>
      <c r="D57" s="247"/>
    </row>
    <row r="62" spans="2:4" x14ac:dyDescent="0.25">
      <c r="B62" t="str">
        <f>paramNomeContador</f>
        <v>EVERTON DA ROSA</v>
      </c>
      <c r="C62" s="247" t="str">
        <f>paramNomeSecretario</f>
        <v>ANA PAULA RODRIGUES SCHNEIDER SCHMIDT</v>
      </c>
      <c r="D62" s="247"/>
    </row>
    <row r="63" spans="2:4" x14ac:dyDescent="0.25">
      <c r="B63" t="str">
        <f>paramCargoContador</f>
        <v>Contador</v>
      </c>
      <c r="C63" s="247" t="str">
        <f>paramCargoSecretario</f>
        <v>Secretária da Fazenda</v>
      </c>
      <c r="D63" s="247"/>
    </row>
    <row r="64" spans="2:4" x14ac:dyDescent="0.25">
      <c r="B64" t="str">
        <f>_xlfn.CONCAT("CRC ",paramCRCContador)</f>
        <v>CRC 076595/O-3</v>
      </c>
      <c r="C64" s="46"/>
      <c r="D64" s="46"/>
    </row>
    <row r="65" spans="2:4" x14ac:dyDescent="0.25">
      <c r="C65" s="46"/>
      <c r="D65" s="46"/>
    </row>
    <row r="66" spans="2:4" x14ac:dyDescent="0.25">
      <c r="C66" s="46"/>
      <c r="D66" s="46"/>
    </row>
    <row r="67" spans="2:4" x14ac:dyDescent="0.25">
      <c r="C67" s="46"/>
      <c r="D67" s="46"/>
    </row>
    <row r="68" spans="2:4" x14ac:dyDescent="0.25">
      <c r="B68" t="str">
        <f>paramNomeControleInterno</f>
        <v>JEAN LENON CORO MONTEIRO</v>
      </c>
      <c r="C68" s="247" t="str">
        <f>paramNomePrefeito</f>
        <v>JOÃO EDÉCIO GRAEF</v>
      </c>
      <c r="D68" s="247"/>
    </row>
    <row r="69" spans="2:4" x14ac:dyDescent="0.25">
      <c r="B69" t="str">
        <f>paramCargoControleInterno</f>
        <v>Controlador Interno</v>
      </c>
      <c r="C69" s="247" t="str">
        <f>paramCargoPrefeito</f>
        <v>Prefeito Municipal</v>
      </c>
      <c r="D69" s="247"/>
    </row>
  </sheetData>
  <mergeCells count="19">
    <mergeCell ref="B9:C9"/>
    <mergeCell ref="B2:D2"/>
    <mergeCell ref="B3:D3"/>
    <mergeCell ref="B4:D4"/>
    <mergeCell ref="B5:D5"/>
    <mergeCell ref="B6:D6"/>
    <mergeCell ref="B7:D7"/>
    <mergeCell ref="B10:B13"/>
    <mergeCell ref="C10:D10"/>
    <mergeCell ref="C32:C33"/>
    <mergeCell ref="B32:B33"/>
    <mergeCell ref="B44:B47"/>
    <mergeCell ref="C44:D44"/>
    <mergeCell ref="C68:D68"/>
    <mergeCell ref="C69:D69"/>
    <mergeCell ref="B54:D54"/>
    <mergeCell ref="B57:D57"/>
    <mergeCell ref="C62:D62"/>
    <mergeCell ref="C63:D63"/>
  </mergeCells>
  <pageMargins left="0.25" right="0.25" top="0.75" bottom="0.75" header="0.3" footer="0.3"/>
  <pageSetup paperSize="9" scale="72" fitToHeight="0"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853C0C"/>
    <pageSetUpPr fitToPage="1"/>
  </sheetPr>
  <dimension ref="B2:P60"/>
  <sheetViews>
    <sheetView topLeftCell="E24" workbookViewId="0">
      <selection activeCell="C16" sqref="C16:L42"/>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633</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SUM(SUMIFS(#REF!,#REF!,"S",#REF!,"pm",#REF!,"F",#REF!,{"11111*";"1121*";"11131*";"114*"},#REF!,500))</f>
        <v>#REF!</v>
      </c>
      <c r="D17" s="31" t="e">
        <f>SUMIFS(#REF!,#REF!,"&lt;"&amp;YEAR(paramDataBase),#REF!,"pm",#REF!,500)+SUMIFS(#REF!,#REF!,"&lt;"&amp;YEAR(paramDataBase),#REF!,"pm",#REF!,500)</f>
        <v>#REF!</v>
      </c>
      <c r="E17" s="31" t="e">
        <f>SUMIFS(#REF!,#REF!,YEAR(paramDataBase),#REF!,"pm",#REF!,500)-SUMIFS(#REF!,#REF!,YEAR(paramDataBase),#REF!,"pm",#REF!,500)</f>
        <v>#REF!</v>
      </c>
      <c r="F17" s="31" t="e">
        <f>SUMIFS(#REF!,#REF!,"&lt;"&amp;YEAR(paramDataBase),#REF!,"pm",#REF!,500)</f>
        <v>#REF!</v>
      </c>
      <c r="G17" s="31"/>
      <c r="H17" s="31"/>
      <c r="I17" s="31" t="e">
        <f t="shared" si="1"/>
        <v>#REF!</v>
      </c>
      <c r="J17" s="31" t="e">
        <f>SUMIFS(#REF!,#REF!,YEAR(paramDataBase),#REF!,"pm",#REF!,500)-SUMIFS(#REF!,#REF!,YEAR(paramDataBase),#REF!,"pm",#REF!,500)</f>
        <v>#REF!</v>
      </c>
      <c r="K17" s="31"/>
      <c r="L17" s="32" t="e">
        <f t="shared" si="2"/>
        <v>#REF!</v>
      </c>
    </row>
    <row r="18" spans="2:12" x14ac:dyDescent="0.25">
      <c r="B18" s="33" t="s">
        <v>1263</v>
      </c>
      <c r="C18" s="31" t="e">
        <f>SUM(SUMIFS(#REF!,#REF!,"S",#REF!,"pm",#REF!,"F",#REF!,{"11111*";"1121*";"11131*";"114*"},#REF!,"&gt;=501",#REF!,"&lt;=502"))</f>
        <v>#REF!</v>
      </c>
      <c r="D18" s="31" t="e">
        <f>SUMIFS(#REF!,#REF!,"&lt;"&amp;YEAR(paramDataBase),#REF!,"pm",#REF!,"&gt;=501",#REF!,"&lt;=502")+SUMIFS(#REF!,#REF!,"&lt;"&amp;YEAR(paramDataBase),#REF!,"pm",#REF!,"&gt;=501",#REF!,"&lt;=502")</f>
        <v>#REF!</v>
      </c>
      <c r="E18" s="31" t="e">
        <f>SUMIFS(#REF!,#REF!,YEAR(paramDataBase),#REF!,"pm",#REF!,"&gt;=501",#REF!,"&lt;=502")-SUMIFS(#REF!,#REF!,YEAR(paramDataBase),#REF!,"pm",#REF!,"&gt;=501",#REF!,"&lt;=502")</f>
        <v>#REF!</v>
      </c>
      <c r="F18" s="31" t="e">
        <f>SUMIFS(#REF!,#REF!,"&lt;"&amp;YEAR(paramDataBase),#REF!,"pm",#REF!,"&gt;=501",#REF!,"&lt;=502")</f>
        <v>#REF!</v>
      </c>
      <c r="G18" s="31"/>
      <c r="H18" s="31"/>
      <c r="I18" s="31" t="e">
        <f t="shared" si="1"/>
        <v>#REF!</v>
      </c>
      <c r="J18" s="31" t="e">
        <f>SUMIFS(#REF!,#REF!,YEAR(paramDataBase),#REF!,"pm",#REF!,"&gt;=501",#REF!,"&lt;=502")-SUMIFS(#REF!,#REF!,YEAR(paramDataBase),#REF!,"pm",#REF!,"&gt;=501",#REF!,"&lt;=502")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SUM(SUMIFS(#REF!,#REF!,"S",#REF!,"pm",#REF!,"F",#REF!,{"11111*";"1121*";"11131*";"114*"},#REF!,"&gt;=540",#REF!,"&lt;=543"))</f>
        <v>#REF!</v>
      </c>
      <c r="D21" s="31" t="e">
        <f>SUMIFS(#REF!,#REF!,"&lt;"&amp;YEAR(paramDataBase),#REF!,"pm",#REF!,"&gt;=540",#REF!,"&lt;=543")+SUMIFS(#REF!,#REF!,"&lt;"&amp;YEAR(paramDataBase),#REF!,"pm",#REF!,"&gt;=540",#REF!,"&lt;=543")</f>
        <v>#REF!</v>
      </c>
      <c r="E21" s="31" t="e">
        <f>SUMIFS(#REF!,#REF!,YEAR(paramDataBase),#REF!,"pm",#REF!,"&gt;=540",#REF!,"&lt;=543")-SUMIFS(#REF!,#REF!,YEAR(paramDataBase),#REF!,"pm",#REF!,"&gt;=540",#REF!,"&lt;=543")</f>
        <v>#REF!</v>
      </c>
      <c r="F21" s="31" t="e">
        <f>SUMIFS(#REF!,#REF!,"&lt;"&amp;YEAR(paramDataBase),#REF!,"pm",#REF!,"&gt;=540",#REF!,"&lt;=543")</f>
        <v>#REF!</v>
      </c>
      <c r="G21" s="31"/>
      <c r="H21" s="31"/>
      <c r="I21" s="31" t="e">
        <f t="shared" si="1"/>
        <v>#REF!</v>
      </c>
      <c r="J21" s="31" t="e">
        <f>SUMIFS(#REF!,#REF!,YEAR(paramDataBase),#REF!,"pm",#REF!,"&gt;=540",#REF!,"&lt;=543")-SUMIFS(#REF!,#REF!,YEAR(paramDataBase),#REF!,"pm",#REF!,"&gt;=540",#REF!,"&lt;=543")</f>
        <v>#REF!</v>
      </c>
      <c r="K21" s="31"/>
      <c r="L21" s="32" t="e">
        <f t="shared" si="2"/>
        <v>#REF!</v>
      </c>
    </row>
    <row r="22" spans="2:12" x14ac:dyDescent="0.25">
      <c r="B22" s="34" t="s">
        <v>1266</v>
      </c>
      <c r="C22" s="31" t="e">
        <f>SUM(SUMIFS(#REF!,#REF!,"S",#REF!,"pm",#REF!,"F",#REF!,{"11111*";"1121*";"11131*";"114*"},#REF!,"&gt;=544",#REF!,"&lt;=599"))</f>
        <v>#REF!</v>
      </c>
      <c r="D22" s="31" t="e">
        <f>SUMIFS(#REF!,#REF!,"&lt;"&amp;YEAR(paramDataBase),#REF!,"pm",#REF!,"&gt;=544",#REF!,"&lt;=599")+SUMIFS(#REF!,#REF!,"&lt;"&amp;YEAR(paramDataBase),#REF!,"pm",#REF!,"&gt;=544",#REF!,"&lt;=599")</f>
        <v>#REF!</v>
      </c>
      <c r="E22" s="31" t="e">
        <f>SUMIFS(#REF!,#REF!,YEAR(paramDataBase),#REF!,"pm",#REF!,"&gt;=544",#REF!,"&lt;=599")-SUMIFS(#REF!,#REF!,YEAR(paramDataBase),#REF!,"pm",#REF!,"&gt;=544",#REF!,"&lt;=599")</f>
        <v>#REF!</v>
      </c>
      <c r="F22" s="31" t="e">
        <f>SUMIFS(#REF!,#REF!,"&lt;"&amp;YEAR(paramDataBase),#REF!,"pm",#REF!,"&gt;=544",#REF!,"&lt;=599")</f>
        <v>#REF!</v>
      </c>
      <c r="G22" s="31"/>
      <c r="H22" s="31"/>
      <c r="I22" s="31" t="e">
        <f t="shared" si="1"/>
        <v>#REF!</v>
      </c>
      <c r="J22" s="31" t="e">
        <f>SUMIFS(#REF!,#REF!,YEAR(paramDataBase),#REF!,"pm",#REF!,"&gt;=544",#REF!,"&lt;=599")-SUMIFS(#REF!,#REF!,YEAR(paramDataBase),#REF!,"pm",#REF!,"&gt;=544",#REF!,"&lt;=599")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SUM(SUMIFS(#REF!,#REF!,"S",#REF!,"pm",#REF!,"F",#REF!,{"11111*";"1121*";"11131*";"114*"},#REF!,"&gt;=600",#REF!,"&lt;=622"))</f>
        <v>#REF!</v>
      </c>
      <c r="D24" s="31" t="e">
        <f>SUMIFS(#REF!,#REF!,"&lt;"&amp;YEAR(paramDataBase),#REF!,"pm",#REF!,"&gt;=600",#REF!,"&lt;=622")+SUMIFS(#REF!,#REF!,"&lt;"&amp;YEAR(paramDataBase),#REF!,"pm",#REF!,"&gt;=600",#REF!,"&lt;=622")</f>
        <v>#REF!</v>
      </c>
      <c r="E24" s="31" t="e">
        <f>SUMIFS(#REF!,#REF!,YEAR(paramDataBase),#REF!,"pm",#REF!,"&gt;=600",#REF!,"&lt;=622")-SUMIFS(#REF!,#REF!,YEAR(paramDataBase),#REF!,"pm",#REF!,"&gt;=600",#REF!,"&lt;=622")</f>
        <v>#REF!</v>
      </c>
      <c r="F24" s="31" t="e">
        <f>SUMIFS(#REF!,#REF!,"&lt;"&amp;YEAR(paramDataBase),#REF!,"pm",#REF!,"&gt;=600",#REF!,"&lt;=622")</f>
        <v>#REF!</v>
      </c>
      <c r="G24" s="31"/>
      <c r="H24" s="31"/>
      <c r="I24" s="31" t="e">
        <f t="shared" si="1"/>
        <v>#REF!</v>
      </c>
      <c r="J24" s="31" t="e">
        <f>SUMIFS(#REF!,#REF!,YEAR(paramDataBase),#REF!,"pm",#REF!,"&gt;=600",#REF!,"&lt;=622")-SUMIFS(#REF!,#REF!,YEAR(paramDataBase),#REF!,"pm",#REF!,"&gt;=600",#REF!,"&lt;=622")</f>
        <v>#REF!</v>
      </c>
      <c r="K24" s="31"/>
      <c r="L24" s="32" t="e">
        <f t="shared" si="2"/>
        <v>#REF!</v>
      </c>
    </row>
    <row r="25" spans="2:12" x14ac:dyDescent="0.25">
      <c r="B25" s="34" t="s">
        <v>1269</v>
      </c>
      <c r="C25" s="31" t="e">
        <f>SUM(SUMIFS(#REF!,#REF!,"S",#REF!,"pm",#REF!,"F",#REF!,{"11111*";"1121*";"11131*";"114*"},#REF!,"&gt;=631",#REF!,"&lt;=659"))</f>
        <v>#REF!</v>
      </c>
      <c r="D25" s="31" t="e">
        <f>SUMIFS(#REF!,#REF!,"&lt;"&amp;YEAR(paramDataBase),#REF!,"pm",#REF!,"&gt;=631",#REF!,"&lt;=659")+SUMIFS(#REF!,#REF!,"&lt;"&amp;YEAR(paramDataBase),#REF!,"pm",#REF!,"&gt;=631",#REF!,"&lt;=659")</f>
        <v>#REF!</v>
      </c>
      <c r="E25" s="31" t="e">
        <f>SUMIFS(#REF!,#REF!,YEAR(paramDataBase),#REF!,"pm",#REF!,"&gt;=631",#REF!,"&lt;=659")-SUMIFS(#REF!,#REF!,YEAR(paramDataBase),#REF!,"pm",#REF!,"&gt;=631",#REF!,"&lt;=659")</f>
        <v>#REF!</v>
      </c>
      <c r="F25" s="31" t="e">
        <f>SUMIFS(#REF!,#REF!,"&lt;"&amp;YEAR(paramDataBase),#REF!,"pm",#REF!,"&gt;=631",#REF!,"&lt;=659")</f>
        <v>#REF!</v>
      </c>
      <c r="G25" s="31"/>
      <c r="H25" s="31"/>
      <c r="I25" s="31" t="e">
        <f t="shared" si="1"/>
        <v>#REF!</v>
      </c>
      <c r="J25" s="31" t="e">
        <f>SUMIFS(#REF!,#REF!,YEAR(paramDataBase),#REF!,"pm",#REF!,"&gt;=631",#REF!,"&lt;=659")-SUMIFS(#REF!,#REF!,YEAR(paramDataBase),#REF!,"pm",#REF!,"&gt;=631",#REF!,"&lt;=659")</f>
        <v>#REF!</v>
      </c>
      <c r="K25" s="31"/>
      <c r="L25" s="32" t="e">
        <f t="shared" si="2"/>
        <v>#REF!</v>
      </c>
    </row>
    <row r="26" spans="2:12" x14ac:dyDescent="0.25">
      <c r="B26" s="219" t="s">
        <v>1270</v>
      </c>
      <c r="C26" s="149" t="e">
        <f>SUM(SUMIFS(#REF!,#REF!,"S",#REF!,"pm",#REF!,"F",#REF!,{"11111*";"1121*";"11131*";"114*"},#REF!,"&gt;=660",#REF!,"&lt;=669"))</f>
        <v>#REF!</v>
      </c>
      <c r="D26" s="149" t="e">
        <f>SUMIFS(#REF!,#REF!,"&lt;"&amp;YEAR(paramDataBase),#REF!,"pm",#REF!,"&gt;=660",#REF!,"&lt;=669")+SUMIFS(#REF!,#REF!,"&lt;"&amp;YEAR(paramDataBase),#REF!,"pm",#REF!,"&gt;=660",#REF!,"&lt;=669")</f>
        <v>#REF!</v>
      </c>
      <c r="E26" s="149" t="e">
        <f>SUMIFS(#REF!,#REF!,YEAR(paramDataBase),#REF!,"pm",#REF!,"&gt;=660",#REF!,"&lt;=669")-SUMIFS(#REF!,#REF!,YEAR(paramDataBase),#REF!,"pm",#REF!,"&gt;=660",#REF!,"&lt;=669")</f>
        <v>#REF!</v>
      </c>
      <c r="F26" s="149" t="e">
        <f>SUMIFS(#REF!,#REF!,"&lt;"&amp;YEAR(paramDataBase),#REF!,"pm",#REF!,"&gt;=660",#REF!,"&lt;=669")</f>
        <v>#REF!</v>
      </c>
      <c r="G26" s="149"/>
      <c r="H26" s="149"/>
      <c r="I26" s="149" t="e">
        <f t="shared" si="1"/>
        <v>#REF!</v>
      </c>
      <c r="J26" s="149" t="e">
        <f>SUMIFS(#REF!,#REF!,YEAR(paramDataBase),#REF!,"pm",#REF!,"&gt;=660",#REF!,"&lt;=669")-SUMIFS(#REF!,#REF!,YEAR(paramDataBase),#REF!,"pm",#REF!,"&gt;=660",#REF!,"&lt;=669")</f>
        <v>#REF!</v>
      </c>
      <c r="K26" s="149"/>
      <c r="L26" s="150" t="e">
        <f t="shared" si="2"/>
        <v>#REF!</v>
      </c>
    </row>
    <row r="27" spans="2:12" x14ac:dyDescent="0.25">
      <c r="B27" s="219" t="s">
        <v>1271</v>
      </c>
      <c r="C27" s="149" t="e">
        <f>SUM(SUMIFS(#REF!,#REF!,"S",#REF!,"pm",#REF!,"F",#REF!,{"11111*";"1121*";"11131*";"114*"},#REF!,803))</f>
        <v>#REF!</v>
      </c>
      <c r="D27" s="149" t="e">
        <f>SUMIFS(#REF!,#REF!,"&lt;"&amp;YEAR(paramDataBase),#REF!,"pm",#REF!,803)+SUMIFS(#REF!,#REF!,"&lt;"&amp;YEAR(paramDataBase),#REF!,"pm",#REF!,803)</f>
        <v>#REF!</v>
      </c>
      <c r="E27" s="149" t="e">
        <f>SUMIFS(#REF!,#REF!,YEAR(paramDataBase),#REF!,"pm",#REF!,803)-SUMIFS(#REF!,#REF!,YEAR(paramDataBase),#REF!,"pm",#REF!,803)</f>
        <v>#REF!</v>
      </c>
      <c r="F27" s="149" t="e">
        <f>SUMIFS(#REF!,#REF!,"&lt;"&amp;YEAR(paramDataBase),#REF!,"pm",#REF!,803)</f>
        <v>#REF!</v>
      </c>
      <c r="G27" s="149"/>
      <c r="H27" s="149"/>
      <c r="I27" s="149" t="e">
        <f t="shared" si="1"/>
        <v>#REF!</v>
      </c>
      <c r="J27" s="149" t="e">
        <f>SUMIFS(#REF!,#REF!,YEAR(paramDataBase),#REF!,"pm",#REF!,803)-SUMIFS(#REF!,#REF!,YEAR(paramDataBase),#REF!,"pm",#REF!,803)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SUM(SUMIFS(#REF!,#REF!,"S",#REF!,"pm",#REF!,"F",#REF!,{"11111*";"1121*";"11131*";"114*"},#REF!,"&gt;=700",#REF!,"&lt;=703"))</f>
        <v>#REF!</v>
      </c>
      <c r="D29" s="31" t="e">
        <f>SUMIFS(#REF!,#REF!,"&lt;"&amp;YEAR(paramDataBase),#REF!,"pm",#REF!,803)+SUMIFS(#REF!,#REF!,"&lt;"&amp;YEAR(paramDataBase),#REF!,"pm",#REF!,803)</f>
        <v>#REF!</v>
      </c>
      <c r="E29" s="31" t="e">
        <f>SUMIFS(#REF!,#REF!,YEAR(paramDataBase),#REF!,"pm",#REF!,"&gt;=700",#REF!,"&lt;=703")-SUMIFS(#REF!,#REF!,YEAR(paramDataBase),#REF!,"pm",#REF!,"&gt;=700",#REF!,"&lt;=703")</f>
        <v>#REF!</v>
      </c>
      <c r="F29" s="31" t="e">
        <f>SUMIFS(#REF!,#REF!,"&lt;"&amp;YEAR(paramDataBase),#REF!,"pm",#REF!,803)</f>
        <v>#REF!</v>
      </c>
      <c r="G29" s="31"/>
      <c r="H29" s="31"/>
      <c r="I29" s="31" t="e">
        <f t="shared" si="1"/>
        <v>#REF!</v>
      </c>
      <c r="J29" s="31" t="e">
        <f>SUMIFS(#REF!,#REF!,YEAR(paramDataBase),#REF!,"pm",#REF!,"&gt;=700",#REF!,"&lt;=703")-SUMIFS(#REF!,#REF!,YEAR(paramDataBase),#REF!,"pm",#REF!,"&gt;=700",#REF!,"&lt;=703")</f>
        <v>#REF!</v>
      </c>
      <c r="K29" s="31"/>
      <c r="L29" s="32" t="e">
        <f t="shared" si="2"/>
        <v>#REF!</v>
      </c>
    </row>
    <row r="30" spans="2:12" x14ac:dyDescent="0.25">
      <c r="B30" s="34" t="s">
        <v>1274</v>
      </c>
      <c r="C30" s="31" t="e">
        <f>SUM(SUMIFS(#REF!,#REF!,"S",#REF!,"pm",#REF!,"F",#REF!,{"11111*";"1121*";"11131*";"114*"},#REF!,"&gt;=704",#REF!,"&lt;=749"))</f>
        <v>#REF!</v>
      </c>
      <c r="D30" s="31" t="e">
        <f>SUMIFS(#REF!,#REF!,"&lt;"&amp;YEAR(paramDataBase),#REF!,"pm",#REF!,"&gt;=700",#REF!,"&lt;=703")+SUMIFS(#REF!,#REF!,"&lt;"&amp;YEAR(paramDataBase),#REF!,"pm",#REF!,"&gt;=700",#REF!,"&lt;=703")</f>
        <v>#REF!</v>
      </c>
      <c r="E30" s="31" t="e">
        <f>SUMIFS(#REF!,#REF!,YEAR(paramDataBase),#REF!,"pm",#REF!,"&gt;=704",#REF!,"&lt;=749")-SUMIFS(#REF!,#REF!,YEAR(paramDataBase),#REF!,"pm",#REF!,"&gt;=704",#REF!,"&lt;=749")</f>
        <v>#REF!</v>
      </c>
      <c r="F30" s="31" t="e">
        <f>SUMIFS(#REF!,#REF!,"&lt;"&amp;YEAR(paramDataBase),#REF!,"pm",#REF!,"&gt;=700",#REF!,"&lt;=703")</f>
        <v>#REF!</v>
      </c>
      <c r="G30" s="31"/>
      <c r="H30" s="31"/>
      <c r="I30" s="31" t="e">
        <f t="shared" si="1"/>
        <v>#REF!</v>
      </c>
      <c r="J30" s="31" t="e">
        <f>SUMIFS(#REF!,#REF!,YEAR(paramDataBase),#REF!,"pm",#REF!,"&gt;=704",#REF!,"&lt;=749")-SUMIFS(#REF!,#REF!,YEAR(paramDataBase),#REF!,"pm",#REF!,"&gt;=704",#REF!,"&lt;=749")</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SUM(SUMIFS(#REF!,#REF!,"S",#REF!,"pm",#REF!,"F",#REF!,{"11111*";"1121*";"11131*";"114*"},#REF!,754))</f>
        <v>#REF!</v>
      </c>
      <c r="D32" s="31" t="e">
        <f>SUMIFS(#REF!,#REF!,"&lt;"&amp;YEAR(paramDataBase),#REF!,"pm",#REF!,754)+SUMIFS(#REF!,#REF!,"&lt;"&amp;YEAR(paramDataBase),#REF!,"pm",#REF!,754)</f>
        <v>#REF!</v>
      </c>
      <c r="E32" s="31" t="e">
        <f>SUMIFS(#REF!,#REF!,YEAR(paramDataBase),#REF!,"pm",#REF!,754)-SUMIFS(#REF!,#REF!,YEAR(paramDataBase),#REF!,"pm",#REF!,754)</f>
        <v>#REF!</v>
      </c>
      <c r="F32" s="31" t="e">
        <f>SUMIFS(#REF!,#REF!,"&lt;"&amp;YEAR(paramDataBase),#REF!,"pm",#REF!,754)</f>
        <v>#REF!</v>
      </c>
      <c r="G32" s="31"/>
      <c r="H32" s="31"/>
      <c r="I32" s="31" t="e">
        <f t="shared" si="1"/>
        <v>#REF!</v>
      </c>
      <c r="J32" s="31" t="e">
        <f>SUMIFS(#REF!,#REF!,YEAR(paramDataBase),#REF!,"pm",#REF!,754)-SUMIFS(#REF!,#REF!,YEAR(paramDataBase),#REF!,"pm",#REF!,754)</f>
        <v>#REF!</v>
      </c>
      <c r="K32" s="31"/>
      <c r="L32" s="32" t="e">
        <f t="shared" si="2"/>
        <v>#REF!</v>
      </c>
    </row>
    <row r="33" spans="2:16" x14ac:dyDescent="0.25">
      <c r="B33" s="34" t="s">
        <v>1277</v>
      </c>
      <c r="C33" s="31" t="e">
        <f>SUM(SUMIFS(#REF!,#REF!,"S",#REF!,"pm",#REF!,"F",#REF!,{"11111*";"1121*";"11131*";"114*"},#REF!,"&gt;=755",#REF!,"&lt;=756"))</f>
        <v>#REF!</v>
      </c>
      <c r="D33" s="31" t="e">
        <f>SUMIFS(#REF!,#REF!,"&lt;"&amp;YEAR(paramDataBase),#REF!,"pm",#REF!,"&gt;=755",#REF!,"&lt;=756")+SUMIFS(#REF!,#REF!,"&lt;"&amp;YEAR(paramDataBase),#REF!,"pm",#REF!,"&gt;=755",#REF!,"&lt;=756")</f>
        <v>#REF!</v>
      </c>
      <c r="E33" s="31" t="e">
        <f>SUMIFS(#REF!,#REF!,YEAR(paramDataBase),#REF!,"pm",#REF!,"&gt;=755",#REF!,"&lt;=756")-SUMIFS(#REF!,#REF!,YEAR(paramDataBase),#REF!,"pm",#REF!,"&gt;=755",#REF!,"&lt;=756")</f>
        <v>#REF!</v>
      </c>
      <c r="F33" s="31" t="e">
        <f>SUMIFS(#REF!,#REF!,"&lt;"&amp;YEAR(paramDataBase),#REF!,"pm",#REF!,"&gt;=755",#REF!,"&lt;=756")</f>
        <v>#REF!</v>
      </c>
      <c r="G33" s="31"/>
      <c r="H33" s="31"/>
      <c r="I33" s="31" t="e">
        <f t="shared" si="1"/>
        <v>#REF!</v>
      </c>
      <c r="J33" s="31" t="e">
        <f>SUMIFS(#REF!,#REF!,YEAR(paramDataBase),#REF!,"pm",#REF!,"&gt;=755",#REF!,"&lt;=756")-SUMIFS(#REF!,#REF!,YEAR(paramDataBase),#REF!,"pm",#REF!,"&gt;=755",#REF!,"&lt;=756")</f>
        <v>#REF!</v>
      </c>
      <c r="K33" s="31"/>
      <c r="L33" s="32" t="e">
        <f t="shared" si="2"/>
        <v>#REF!</v>
      </c>
    </row>
    <row r="34" spans="2:16" x14ac:dyDescent="0.25">
      <c r="B34" s="34" t="s">
        <v>1278</v>
      </c>
      <c r="C34" s="31" t="e">
        <f>SUM(SUMIFS(#REF!,#REF!,"S",#REF!,"pm",#REF!,"F",#REF!,{"11111*";"1121*";"11131*";"114*"},#REF!,759))</f>
        <v>#REF!</v>
      </c>
      <c r="D34" s="31" t="e">
        <f>SUMIFS(#REF!,#REF!,"&lt;"&amp;YEAR(paramDataBase),#REF!,"pm",#REF!,759)+SUMIFS(#REF!,#REF!,"&lt;"&amp;YEAR(paramDataBase),#REF!,"pm",#REF!,759)</f>
        <v>#REF!</v>
      </c>
      <c r="E34" s="31" t="e">
        <f>SUMIFS(#REF!,#REF!,YEAR(paramDataBase),#REF!,"pm",#REF!,760)-SUMIFS(#REF!,#REF!,YEAR(paramDataBase),#REF!,"pm",#REF!,760)</f>
        <v>#REF!</v>
      </c>
      <c r="F34" s="31" t="e">
        <f>SUMIFS(#REF!,#REF!,"&lt;"&amp;YEAR(paramDataBase),#REF!,"pm",#REF!,759)</f>
        <v>#REF!</v>
      </c>
      <c r="G34" s="31"/>
      <c r="H34" s="31"/>
      <c r="I34" s="31" t="e">
        <f t="shared" si="1"/>
        <v>#REF!</v>
      </c>
      <c r="J34" s="31" t="e">
        <f>SUMIFS(#REF!,#REF!,YEAR(paramDataBase),#REF!,"pm",#REF!,760)-SUMIFS(#REF!,#REF!,YEAR(paramDataBase),#REF!,"pm",#REF!,760)</f>
        <v>#REF!</v>
      </c>
      <c r="K34" s="31"/>
      <c r="L34" s="32" t="e">
        <f t="shared" si="2"/>
        <v>#REF!</v>
      </c>
    </row>
    <row r="35" spans="2:16" x14ac:dyDescent="0.25">
      <c r="B35" s="34" t="s">
        <v>1279</v>
      </c>
      <c r="C35" s="31" t="e">
        <f>SUM(SUMIFS(#REF!,#REF!,"S",#REF!,"pm",#REF!,"F",#REF!,{"11111*";"1121*";"11131*";"114*"},#REF!,"&gt;=750",#REF!,"&lt;=799",#REF!,"&lt;&gt;759",#REF!,"&lt;&gt;754",#REF!,"&lt;&gt;755",#REF!,"&lt;&gt;756"))</f>
        <v>#REF!</v>
      </c>
      <c r="D35" s="31" t="e">
        <f>SUMIFS(#REF!,#REF!,"&lt;"&amp;YEAR(paramDataBase),#REF!,"pm",#REF!,"&gt;=750",#REF!,"&lt;=799",#REF!,"&lt;&gt;754",#REF!,"&lt;&gt;755",#REF!,"&lt;&gt;756",#REF!,"&lt;&gt;759")+SUMIFS(#REF!,#REF!,"&lt;"&amp;YEAR(paramDataBase),#REF!,"pm",#REF!,"&gt;=750",#REF!,"&lt;=799",#REF!,"&lt;&gt;754",#REF!,"&lt;&gt;755",#REF!,"&lt;&gt;756",#REF!,"&lt;&gt;759")</f>
        <v>#REF!</v>
      </c>
      <c r="E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F35" s="31" t="e">
        <f>SUMIFS(#REF!,#REF!,"&lt;"&amp;YEAR(paramDataBase),#REF!,"pm",#REF!,"&gt;=750",#REF!,"&lt;=799",#REF!,"&lt;&gt;754",#REF!,"&lt;&gt;755",#REF!,"&lt;&gt;756",#REF!,"&lt;&gt;759")</f>
        <v>#REF!</v>
      </c>
      <c r="G35" s="31"/>
      <c r="H35" s="31"/>
      <c r="I35" s="31" t="e">
        <f t="shared" si="1"/>
        <v>#REF!</v>
      </c>
      <c r="J35" s="31" t="e">
        <f>(SUMIFS(#REF!,#REF!,YEAR(paramDataBase),#REF!,"pm",#REF!,"&gt;=750",#REF!,"&lt;=753")-SUMIFS(#REF!,#REF!,YEAR(paramDataBase),#REF!,"pm",#REF!,"&gt;=750",#REF!,"&lt;=753"))+(SUMIFS(#REF!,#REF!,YEAR(paramDataBase),#REF!,"pm",#REF!,"&gt;=757",#REF!,"&lt;=758")-SUMIFS(#REF!,#REF!,YEAR(paramDataBase),#REF!,"pm",#REF!,"&gt;=757",#REF!,"&lt;=758"))+(SUMIFS(#REF!,#REF!,YEAR(paramDataBase),#REF!,"pm",#REF!,"&gt;=760",#REF!,"&lt;=799")-SUMIFS(#REF!,#REF!,YEAR(paramDataBase),#REF!,"pm",#REF!,"&gt;=760",#REF!,"&lt;=799"))</f>
        <v>#REF!</v>
      </c>
      <c r="K35" s="31"/>
      <c r="L35" s="32" t="e">
        <f t="shared" si="2"/>
        <v>#REF!</v>
      </c>
    </row>
    <row r="36" spans="2:16" x14ac:dyDescent="0.25">
      <c r="B36" s="219" t="s">
        <v>1280</v>
      </c>
      <c r="C36" s="149" t="e">
        <f>SUM(SUMIFS(#REF!,#REF!,"S",#REF!,"pm",#REF!,"F",#REF!,{"11111*";"1121*";"11131*";"114*"},#REF!,"&gt;=860",#REF!,"&lt;=869"))</f>
        <v>#REF!</v>
      </c>
      <c r="D36" s="149" t="e">
        <f>SUMIFS(#REF!,#REF!,"&lt;"&amp;YEAR(paramDataBase),#REF!,"pm",#REF!,"&gt;=860",#REF!,"&lt;=869")+SUMIFS(#REF!,#REF!,"&lt;"&amp;YEAR(paramDataBase),#REF!,"pm",#REF!,"&gt;=860",#REF!,"&lt;=869")</f>
        <v>#REF!</v>
      </c>
      <c r="E36" s="149" t="e">
        <f>SUMIFS(#REF!,#REF!,YEAR(paramDataBase),#REF!,"pm",#REF!,"&gt;=860",#REF!,"&lt;=869")</f>
        <v>#REF!</v>
      </c>
      <c r="F36" s="149" t="e">
        <f>SUMIFS(#REF!,#REF!,"&lt;"&amp;YEAR(paramDataBase),#REF!,"pm",#REF!,"&gt;=860",#REF!,"&lt;=869")</f>
        <v>#REF!</v>
      </c>
      <c r="G36" s="149"/>
      <c r="H36" s="149"/>
      <c r="I36" s="149" t="e">
        <f t="shared" si="1"/>
        <v>#REF!</v>
      </c>
      <c r="J36" s="149" t="e">
        <f>SUMIFS(#REF!,#REF!,YEAR(paramDataBase),#REF!,"pm",#REF!,"&gt;=860",#REF!,"&lt;=869")</f>
        <v>#REF!</v>
      </c>
      <c r="K36" s="149"/>
      <c r="L36" s="150" t="e">
        <f t="shared" si="2"/>
        <v>#REF!</v>
      </c>
    </row>
    <row r="37" spans="2:16" x14ac:dyDescent="0.25">
      <c r="B37" s="219" t="s">
        <v>1281</v>
      </c>
      <c r="C37" s="149" t="e">
        <f>SUM(SUMIFS(#REF!,#REF!,"S",#REF!,"pm",#REF!,"F",#REF!,{"11111*";"1121*";"11131*";"114*"},#REF!,"&gt;=880",#REF!,"&lt;=899"))</f>
        <v>#REF!</v>
      </c>
      <c r="D37" s="149" t="e">
        <f>SUMIFS(#REF!,#REF!,"&lt;"&amp;YEAR(paramDataBase),#REF!,"pm",#REF!,"&gt;=880",#REF!,"&lt;=899")+SUMIFS(#REF!,#REF!,"&lt;"&amp;YEAR(paramDataBase),#REF!,"pm",#REF!,"&gt;=880",#REF!,"&lt;=899")</f>
        <v>#REF!</v>
      </c>
      <c r="E37" s="149" t="e">
        <f>SUMIFS(#REF!,#REF!,YEAR(paramDataBase),#REF!,"pm",#REF!,"&gt;=880",#REF!,"&lt;=899")</f>
        <v>#REF!</v>
      </c>
      <c r="F37" s="149" t="e">
        <f>SUMIFS(#REF!,#REF!,"&lt;"&amp;YEAR(paramDataBase),#REF!,"pm",#REF!,"&gt;=880",#REF!,"&lt;=899")</f>
        <v>#REF!</v>
      </c>
      <c r="G37" s="149" t="e">
        <f>SUMIFS(#REF!,#REF!,"pm",#REF!,"S",#REF!,"2188*",#REF!,"&gt;="&amp;860,#REF!,"&lt;="&amp;869)</f>
        <v>#REF!</v>
      </c>
      <c r="H37" s="149"/>
      <c r="I37" s="149" t="e">
        <f t="shared" si="1"/>
        <v>#REF!</v>
      </c>
      <c r="J37" s="149" t="e">
        <f>SUMIFS(#REF!,#REF!,YEAR(paramDataBase),#REF!,"pm",#REF!,"&gt;=880",#REF!,"&lt;=899")</f>
        <v>#REF!</v>
      </c>
      <c r="K37" s="149"/>
      <c r="L37" s="150" t="e">
        <f t="shared" si="2"/>
        <v>#REF!</v>
      </c>
    </row>
    <row r="38" spans="2:16" x14ac:dyDescent="0.25">
      <c r="B38" s="220" t="s">
        <v>1282</v>
      </c>
      <c r="C38" s="90" t="e">
        <f t="shared" ref="C38:H38" si="8">SUM(C39:C41)</f>
        <v>#REF!</v>
      </c>
      <c r="D38" s="90" t="e">
        <f t="shared" si="8"/>
        <v>#REF!</v>
      </c>
      <c r="E38" s="90" t="e">
        <f t="shared" si="8"/>
        <v>#REF!</v>
      </c>
      <c r="F38" s="90" t="e">
        <f t="shared" si="8"/>
        <v>#REF!</v>
      </c>
      <c r="G38" s="90">
        <f t="shared" si="8"/>
        <v>0</v>
      </c>
      <c r="H38" s="90">
        <f t="shared" si="8"/>
        <v>0</v>
      </c>
      <c r="I38" s="90" t="e">
        <f t="shared" si="1"/>
        <v>#REF!</v>
      </c>
      <c r="J38" s="90" t="e">
        <f>SUM(J39:J41)</f>
        <v>#REF!</v>
      </c>
      <c r="K38" s="90">
        <f>SUM(K39:K41)</f>
        <v>0</v>
      </c>
      <c r="L38" s="91" t="e">
        <f t="shared" si="2"/>
        <v>#REF!</v>
      </c>
    </row>
    <row r="39" spans="2:16" x14ac:dyDescent="0.25">
      <c r="B39" s="33" t="s">
        <v>1283</v>
      </c>
      <c r="C39" s="31" t="e">
        <f>SUM(SUMIFS(#REF!,#REF!,"S",#REF!,"fpsm",#REF!,"F",#REF!,{"11111*";"1121*";"11131*";"114*"},#REF!,800))</f>
        <v>#REF!</v>
      </c>
      <c r="D39" s="31" t="e">
        <f>SUMIFS(#REF!,#REF!,"&lt;"&amp;YEAR(paramDataBase),#REF!,"fpsm",#REF!,800)+SUMIFS(#REF!,#REF!,"&lt;"&amp;YEAR(paramDataBase),#REF!,"fpsm",#REF!,800)</f>
        <v>#REF!</v>
      </c>
      <c r="E39" s="31" t="e">
        <f>SUMIFS(#REF!,#REF!,YEAR(paramDataBase),#REF!,"fpsm",#REF!,800)-SUMIFS(#REF!,#REF!,YEAR(paramDataBase),#REF!,"fpsm",#REF!,800)</f>
        <v>#REF!</v>
      </c>
      <c r="F39" s="31" t="e">
        <f>SUMIFS(#REF!,#REF!,"&lt;"&amp;YEAR(paramDataBase),#REF!,"fpsm",#REF!,800)</f>
        <v>#REF!</v>
      </c>
      <c r="G39" s="31"/>
      <c r="H39" s="31"/>
      <c r="I39" s="31" t="e">
        <f t="shared" si="1"/>
        <v>#REF!</v>
      </c>
      <c r="J39" s="31" t="e">
        <f>SUMIFS(#REF!,#REF!,YEAR(paramDataBase),#REF!,"fpsm",#REF!,800)-SUMIFS(#REF!,#REF!,YEAR(paramDataBase),#REF!,"fpsm",#REF!,800)</f>
        <v>#REF!</v>
      </c>
      <c r="K39" s="31"/>
      <c r="L39" s="32" t="e">
        <f t="shared" si="2"/>
        <v>#REF!</v>
      </c>
    </row>
    <row r="40" spans="2:16" x14ac:dyDescent="0.25">
      <c r="B40" s="33" t="s">
        <v>1284</v>
      </c>
      <c r="C40" s="31" t="e">
        <f>SUM(SUMIFS(#REF!,#REF!,"S",#REF!,"fpsm",#REF!,"F",#REF!,{"11111*";"1121*";"11131*";"114*"},#REF!,801))</f>
        <v>#REF!</v>
      </c>
      <c r="D40" s="31" t="e">
        <f>SUMIFS(#REF!,#REF!,"&lt;"&amp;YEAR(paramDataBase),#REF!,"fpsm",#REF!,801)+SUMIFS(#REF!,#REF!,"&lt;"&amp;YEAR(paramDataBase),#REF!,"fpsm",#REF!,801)</f>
        <v>#REF!</v>
      </c>
      <c r="E40" s="31" t="e">
        <f>SUMIFS(#REF!,#REF!,YEAR(paramDataBase),#REF!,"fpsm",#REF!,801)-SUMIFS(#REF!,#REF!,YEAR(paramDataBase),#REF!,"fpsm",#REF!,801)</f>
        <v>#REF!</v>
      </c>
      <c r="F40" s="31" t="e">
        <f>SUMIFS(#REF!,#REF!,"&lt;"&amp;YEAR(paramDataBase),#REF!,"fpsm",#REF!,801)</f>
        <v>#REF!</v>
      </c>
      <c r="G40" s="31"/>
      <c r="H40" s="31"/>
      <c r="I40" s="31" t="e">
        <f t="shared" si="1"/>
        <v>#REF!</v>
      </c>
      <c r="J40" s="31" t="e">
        <f>SUMIFS(#REF!,#REF!,YEAR(paramDataBase),#REF!,"fpsm",#REF!,801)-SUMIFS(#REF!,#REF!,YEAR(paramDataBase),#REF!,"fpsm",#REF!,801)</f>
        <v>#REF!</v>
      </c>
      <c r="K40" s="31"/>
      <c r="L40" s="32" t="e">
        <f t="shared" si="2"/>
        <v>#REF!</v>
      </c>
    </row>
    <row r="41" spans="2:16" x14ac:dyDescent="0.25">
      <c r="B41" s="33" t="s">
        <v>1285</v>
      </c>
      <c r="C41" s="31" t="e">
        <f>SUM(SUMIFS(#REF!,#REF!,"S",#REF!,"fpsm",#REF!,"F",#REF!,{"11111*";"1121*";"11131*";"114*"},#REF!,802))</f>
        <v>#REF!</v>
      </c>
      <c r="D41" s="31" t="e">
        <f>SUMIFS(#REF!,#REF!,"&lt;"&amp;YEAR(paramDataBase),#REF!,"fpsm",#REF!,802)+SUMIFS(#REF!,#REF!,"&lt;"&amp;YEAR(paramDataBase),#REF!,"fpsm",#REF!,802)</f>
        <v>#REF!</v>
      </c>
      <c r="E41" s="31" t="e">
        <f>SUMIFS(#REF!,#REF!,YEAR(paramDataBase),#REF!,"fpsm",#REF!,802)-SUMIFS(#REF!,#REF!,YEAR(paramDataBase),#REF!,"fpsm",#REF!,802)</f>
        <v>#REF!</v>
      </c>
      <c r="F41" s="31" t="e">
        <f>SUMIFS(#REF!,#REF!,"&lt;"&amp;YEAR(paramDataBase),#REF!,"fpsm",#REF!,802)</f>
        <v>#REF!</v>
      </c>
      <c r="G41" s="31"/>
      <c r="H41" s="31"/>
      <c r="I41" s="31" t="e">
        <f t="shared" si="1"/>
        <v>#REF!</v>
      </c>
      <c r="J41" s="31" t="e">
        <f>SUMIFS(#REF!,#REF!,YEAR(paramDataBase),#REF!,"fpsm",#REF!,802)-SUMIFS(#REF!,#REF!,YEAR(paramDataBase),#REF!,"fpsm",#REF!,802)</f>
        <v>#REF!</v>
      </c>
      <c r="K41" s="31"/>
      <c r="L41" s="32" t="e">
        <f t="shared" si="2"/>
        <v>#REF!</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09/05/2024 às 09:42:51</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46:E46"/>
    <mergeCell ref="B48:L48"/>
    <mergeCell ref="B10:B15"/>
    <mergeCell ref="D10:G10"/>
    <mergeCell ref="D11:E11"/>
    <mergeCell ref="C53:E53"/>
    <mergeCell ref="C54:E54"/>
    <mergeCell ref="C59:E59"/>
    <mergeCell ref="C60:E60"/>
    <mergeCell ref="B47:E47"/>
    <mergeCell ref="B9:D9"/>
    <mergeCell ref="B43:E43"/>
    <mergeCell ref="B2:E2"/>
    <mergeCell ref="B3:E3"/>
    <mergeCell ref="B4:E4"/>
    <mergeCell ref="B5:E5"/>
    <mergeCell ref="B6:E6"/>
    <mergeCell ref="B7:E7"/>
  </mergeCells>
  <pageMargins left="0.23622047244093999" right="0.23622047244093999" top="0.74803149606299002" bottom="0.74803149606299002" header="0.31496062992126" footer="0.31496062992126"/>
  <pageSetup paperSize="9" scale="89" fitToHeight="0"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853C0C"/>
    <pageSetUpPr fitToPage="1"/>
  </sheetPr>
  <dimension ref="B2:E49"/>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x14ac:dyDescent="0.25">
      <c r="B34" s="249" t="str">
        <f ca="1">_xlfn.CONCAT("Fonte: ",paramFonte,". Emissão em ",TEXT(NOW(),"dd/mm/aaaa \à\s hh:mm:ss"))</f>
        <v>Fonte: Sistema MS Excel + SIAPC/PAD, Unidade Responsável: Secretaria da Fazenda / Setor de Contabilidade. Emissão em 09/05/2024 às 09:42:51</v>
      </c>
      <c r="C34" s="249"/>
      <c r="D34" s="249"/>
    </row>
    <row r="36" spans="2:4" x14ac:dyDescent="0.25">
      <c r="B36" t="s">
        <v>253</v>
      </c>
    </row>
    <row r="37" spans="2:4" x14ac:dyDescent="0.25">
      <c r="B37" s="247" t="str">
        <f>IFERROR(_xlfn.CONCAT(_xlfn._xlws.FILTER(tblNotasExplicativas[Nota Com Separador],tblNotasExplicativas[Demonstrativo]="RGF A6 Exec 1Sem")),"")</f>
        <v/>
      </c>
      <c r="C37" s="247"/>
      <c r="D37" s="247"/>
    </row>
    <row r="42" spans="2:4" x14ac:dyDescent="0.25">
      <c r="B42" t="str">
        <f>paramNomeContador</f>
        <v>EVERTON DA ROSA</v>
      </c>
      <c r="C42" s="247" t="str">
        <f>paramNomeSecretario</f>
        <v>ANA PAULA RODRIGUES SCHNEIDER SCHMIDT</v>
      </c>
      <c r="D42" s="247"/>
    </row>
    <row r="43" spans="2:4" x14ac:dyDescent="0.25">
      <c r="B43" t="str">
        <f>paramCargoContador</f>
        <v>Contador</v>
      </c>
      <c r="C43" s="247" t="str">
        <f>paramCargoSecretario</f>
        <v>Secretária da Fazenda</v>
      </c>
      <c r="D43" s="247"/>
    </row>
    <row r="44" spans="2:4" x14ac:dyDescent="0.25">
      <c r="B44" t="str">
        <f>_xlfn.CONCAT("CRC ",paramCRCContador)</f>
        <v>CRC 076595/O-3</v>
      </c>
      <c r="C44" s="46"/>
      <c r="D44" s="46"/>
    </row>
    <row r="45" spans="2:4" x14ac:dyDescent="0.25">
      <c r="C45" s="46"/>
      <c r="D45" s="46"/>
    </row>
    <row r="46" spans="2:4" x14ac:dyDescent="0.25">
      <c r="C46" s="46"/>
      <c r="D46" s="46"/>
    </row>
    <row r="47" spans="2:4" x14ac:dyDescent="0.25">
      <c r="C47" s="46"/>
      <c r="D47" s="46"/>
    </row>
    <row r="48" spans="2:4" x14ac:dyDescent="0.25">
      <c r="B48" t="str">
        <f>paramNomeControleInterno</f>
        <v>JEAN LENON CORO MONTEIRO</v>
      </c>
      <c r="C48" s="247" t="str">
        <f>paramNomePrefeito</f>
        <v>JOÃO EDÉCIO GRAEF</v>
      </c>
      <c r="D48" s="247"/>
    </row>
    <row r="49" spans="2:4" x14ac:dyDescent="0.25">
      <c r="B49" t="str">
        <f>paramCargoControleInterno</f>
        <v>Controlador Interno</v>
      </c>
      <c r="C49" s="247" t="str">
        <f>paramCargoPrefeito</f>
        <v>Prefeito Municipal</v>
      </c>
      <c r="D49" s="247"/>
    </row>
  </sheetData>
  <mergeCells count="17">
    <mergeCell ref="B10:C10"/>
    <mergeCell ref="B11:C11"/>
    <mergeCell ref="B12:C12"/>
    <mergeCell ref="B13:C13"/>
    <mergeCell ref="B34:D34"/>
    <mergeCell ref="B37:D37"/>
    <mergeCell ref="C42:D42"/>
    <mergeCell ref="C43:D43"/>
    <mergeCell ref="C48:D48"/>
    <mergeCell ref="C49:D49"/>
    <mergeCell ref="B9:C9"/>
    <mergeCell ref="B2:D2"/>
    <mergeCell ref="B3:D3"/>
    <mergeCell ref="B4:D4"/>
    <mergeCell ref="B5:D5"/>
    <mergeCell ref="B6:D6"/>
    <mergeCell ref="B7:D7"/>
  </mergeCells>
  <pageMargins left="0.25" right="0.25" top="0.75" bottom="0.75" header="0.3" footer="0.3"/>
  <pageSetup paperSize="9" scale="64"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53C0C"/>
    <pageSetUpPr fitToPage="1"/>
  </sheetPr>
  <dimension ref="B2:E52"/>
  <sheetViews>
    <sheetView topLeftCell="A24" workbookViewId="0">
      <selection activeCell="C36" sqref="C36:D36"/>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633</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'RGF A1 Exec'!K42</f>
        <v>0</v>
      </c>
      <c r="D16" s="83" t="e">
        <f>'RGF A1 Exec'!O42</f>
        <v>#DIV/0!</v>
      </c>
    </row>
    <row r="17" spans="2:4" x14ac:dyDescent="0.25">
      <c r="B17" s="57" t="s">
        <v>1294</v>
      </c>
      <c r="C17" s="31">
        <f>'RGF A1 Exec'!K43</f>
        <v>0</v>
      </c>
      <c r="D17" s="83">
        <f>'RGF A1 Exec'!O43</f>
        <v>0.54</v>
      </c>
    </row>
    <row r="18" spans="2:4" x14ac:dyDescent="0.25">
      <c r="B18" s="57" t="s">
        <v>1295</v>
      </c>
      <c r="C18" s="31">
        <f>'RGF A1 Exec'!K44</f>
        <v>0</v>
      </c>
      <c r="D18" s="83">
        <f>'RGF A1 Exec'!O44</f>
        <v>0.51300000000000001</v>
      </c>
    </row>
    <row r="19" spans="2:4" ht="15.75" customHeight="1" x14ac:dyDescent="0.25">
      <c r="B19" s="21" t="s">
        <v>1296</v>
      </c>
      <c r="C19" s="22">
        <f>'RGF A1 Exec'!K45</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Exec 2 Sem'!J42</f>
        <v>#REF!</v>
      </c>
      <c r="D36" s="23" t="e">
        <f>'RGF A5 Exec 2 Sem'!L42</f>
        <v>#REF!</v>
      </c>
    </row>
    <row r="37" spans="2:4" x14ac:dyDescent="0.25">
      <c r="B37" s="249" t="str">
        <f ca="1">_xlfn.CONCAT("Fonte: ",paramFonte,". Emissão em ",TEXT(NOW(),"dd/mm/aaaa \à\s hh:mm:ss"))</f>
        <v>Fonte: Sistema MS Excel + SIAPC/PAD, Unidade Responsável: Secretaria da Fazenda / Setor de Contabilidade. Emissão em 09/05/2024 às 09:42:51</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853C0C"/>
    <pageSetUpPr fitToPage="1"/>
  </sheetPr>
  <dimension ref="B2:P54"/>
  <sheetViews>
    <sheetView topLeftCell="A9" workbookViewId="0">
      <selection activeCell="C25" sqref="C25"/>
    </sheetView>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634</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c r="D15" s="147"/>
      <c r="E15" s="147"/>
      <c r="F15" s="147"/>
      <c r="G15" s="147"/>
      <c r="H15" s="147"/>
      <c r="I15" s="147"/>
      <c r="J15" s="147"/>
      <c r="K15" s="147"/>
      <c r="L15" s="147"/>
      <c r="M15" s="147"/>
      <c r="N15" s="147"/>
      <c r="O15" s="11" t="s">
        <v>138</v>
      </c>
      <c r="P15" s="12" t="s">
        <v>139</v>
      </c>
    </row>
    <row r="16" spans="2:16" x14ac:dyDescent="0.25">
      <c r="B16" s="70" t="s">
        <v>1101</v>
      </c>
      <c r="C16" s="71">
        <f t="shared" ref="C16:N16" si="0">C17+C20+C23+C24</f>
        <v>0</v>
      </c>
      <c r="D16" s="71">
        <f t="shared" si="0"/>
        <v>0</v>
      </c>
      <c r="E16" s="71">
        <f t="shared" si="0"/>
        <v>0</v>
      </c>
      <c r="F16" s="71">
        <f t="shared" si="0"/>
        <v>0</v>
      </c>
      <c r="G16" s="71">
        <f t="shared" si="0"/>
        <v>0</v>
      </c>
      <c r="H16" s="71">
        <f t="shared" si="0"/>
        <v>0</v>
      </c>
      <c r="I16" s="71">
        <f t="shared" si="0"/>
        <v>0</v>
      </c>
      <c r="J16" s="71">
        <f t="shared" si="0"/>
        <v>0</v>
      </c>
      <c r="K16" s="71">
        <f t="shared" si="0"/>
        <v>0</v>
      </c>
      <c r="L16" s="71">
        <f t="shared" si="0"/>
        <v>0</v>
      </c>
      <c r="M16" s="71">
        <f t="shared" si="0"/>
        <v>0</v>
      </c>
      <c r="N16" s="71">
        <f t="shared" si="0"/>
        <v>0</v>
      </c>
      <c r="O16" s="71">
        <f t="shared" ref="O16:O30" si="1">SUM(C16:N16)</f>
        <v>0</v>
      </c>
      <c r="P16" s="72">
        <f>P17+P20+P23+P24</f>
        <v>0</v>
      </c>
    </row>
    <row r="17" spans="2:16" x14ac:dyDescent="0.25">
      <c r="B17" s="33" t="s">
        <v>1102</v>
      </c>
      <c r="C17" s="31">
        <f t="shared" ref="C17:N17" si="2">SUM(C18:C19)</f>
        <v>0</v>
      </c>
      <c r="D17" s="31">
        <f t="shared" si="2"/>
        <v>0</v>
      </c>
      <c r="E17" s="31">
        <f t="shared" si="2"/>
        <v>0</v>
      </c>
      <c r="F17" s="31">
        <f t="shared" si="2"/>
        <v>0</v>
      </c>
      <c r="G17" s="31">
        <f t="shared" si="2"/>
        <v>0</v>
      </c>
      <c r="H17" s="31">
        <f t="shared" si="2"/>
        <v>0</v>
      </c>
      <c r="I17" s="31">
        <f t="shared" si="2"/>
        <v>0</v>
      </c>
      <c r="J17" s="31">
        <f t="shared" si="2"/>
        <v>0</v>
      </c>
      <c r="K17" s="31">
        <f t="shared" si="2"/>
        <v>0</v>
      </c>
      <c r="L17" s="31">
        <f t="shared" si="2"/>
        <v>0</v>
      </c>
      <c r="M17" s="31">
        <f t="shared" si="2"/>
        <v>0</v>
      </c>
      <c r="N17" s="31">
        <f t="shared" si="2"/>
        <v>0</v>
      </c>
      <c r="O17" s="31">
        <f t="shared" si="1"/>
        <v>0</v>
      </c>
      <c r="P17" s="32">
        <f>SUM(P18:P19)</f>
        <v>0</v>
      </c>
    </row>
    <row r="18" spans="2:16" x14ac:dyDescent="0.25">
      <c r="B18" s="34" t="s">
        <v>1103</v>
      </c>
      <c r="C18" s="31"/>
      <c r="D18" s="31"/>
      <c r="E18" s="31"/>
      <c r="F18" s="31"/>
      <c r="G18" s="31"/>
      <c r="H18" s="31"/>
      <c r="I18" s="31"/>
      <c r="J18" s="31"/>
      <c r="K18" s="31"/>
      <c r="L18" s="31"/>
      <c r="M18" s="31"/>
      <c r="N18" s="31"/>
      <c r="O18" s="31">
        <f t="shared" si="1"/>
        <v>0</v>
      </c>
      <c r="P18" s="32"/>
    </row>
    <row r="19" spans="2:16" x14ac:dyDescent="0.25">
      <c r="B19" s="34" t="s">
        <v>1104</v>
      </c>
      <c r="C19" s="31"/>
      <c r="D19" s="31"/>
      <c r="E19" s="31"/>
      <c r="F19" s="31"/>
      <c r="G19" s="31"/>
      <c r="H19" s="31"/>
      <c r="I19" s="31"/>
      <c r="J19" s="31"/>
      <c r="K19" s="31"/>
      <c r="L19" s="31"/>
      <c r="M19" s="31"/>
      <c r="N19" s="31"/>
      <c r="O19" s="31">
        <f t="shared" si="1"/>
        <v>0</v>
      </c>
      <c r="P19" s="32"/>
    </row>
    <row r="20" spans="2:16" x14ac:dyDescent="0.25">
      <c r="B20" s="33" t="s">
        <v>1105</v>
      </c>
      <c r="C20" s="31">
        <f t="shared" ref="C20:N20" si="3">SUM(C21:C22)</f>
        <v>0</v>
      </c>
      <c r="D20" s="31">
        <f t="shared" si="3"/>
        <v>0</v>
      </c>
      <c r="E20" s="31">
        <f t="shared" si="3"/>
        <v>0</v>
      </c>
      <c r="F20" s="31">
        <f t="shared" si="3"/>
        <v>0</v>
      </c>
      <c r="G20" s="31">
        <f t="shared" si="3"/>
        <v>0</v>
      </c>
      <c r="H20" s="31">
        <f t="shared" si="3"/>
        <v>0</v>
      </c>
      <c r="I20" s="31">
        <f t="shared" si="3"/>
        <v>0</v>
      </c>
      <c r="J20" s="31">
        <f t="shared" si="3"/>
        <v>0</v>
      </c>
      <c r="K20" s="31">
        <f t="shared" si="3"/>
        <v>0</v>
      </c>
      <c r="L20" s="31">
        <f t="shared" si="3"/>
        <v>0</v>
      </c>
      <c r="M20" s="31">
        <f t="shared" si="3"/>
        <v>0</v>
      </c>
      <c r="N20" s="31">
        <f t="shared" si="3"/>
        <v>0</v>
      </c>
      <c r="O20" s="31">
        <f t="shared" si="1"/>
        <v>0</v>
      </c>
      <c r="P20" s="32">
        <f>SUM(P21:P22)</f>
        <v>0</v>
      </c>
    </row>
    <row r="21" spans="2:16" x14ac:dyDescent="0.25">
      <c r="B21" s="34" t="s">
        <v>1106</v>
      </c>
      <c r="C21" s="31"/>
      <c r="D21" s="31"/>
      <c r="E21" s="31"/>
      <c r="F21" s="31"/>
      <c r="G21" s="31"/>
      <c r="H21" s="31"/>
      <c r="I21" s="31"/>
      <c r="J21" s="31"/>
      <c r="K21" s="31"/>
      <c r="L21" s="31"/>
      <c r="M21" s="31"/>
      <c r="N21" s="31"/>
      <c r="O21" s="31">
        <f t="shared" si="1"/>
        <v>0</v>
      </c>
      <c r="P21" s="32"/>
    </row>
    <row r="22" spans="2:16" x14ac:dyDescent="0.25">
      <c r="B22" s="34" t="s">
        <v>1107</v>
      </c>
      <c r="C22" s="31"/>
      <c r="D22" s="31"/>
      <c r="E22" s="31"/>
      <c r="F22" s="31"/>
      <c r="G22" s="31"/>
      <c r="H22" s="31"/>
      <c r="I22" s="31"/>
      <c r="J22" s="31"/>
      <c r="K22" s="31"/>
      <c r="L22" s="31"/>
      <c r="M22" s="31"/>
      <c r="N22" s="31"/>
      <c r="O22" s="31">
        <f t="shared" si="1"/>
        <v>0</v>
      </c>
      <c r="P22" s="32"/>
    </row>
    <row r="23" spans="2:16" ht="30" customHeight="1" x14ac:dyDescent="0.25">
      <c r="B23" s="148" t="s">
        <v>1108</v>
      </c>
      <c r="C23" s="31"/>
      <c r="D23" s="31"/>
      <c r="E23" s="31"/>
      <c r="F23" s="31"/>
      <c r="G23" s="31"/>
      <c r="H23" s="31"/>
      <c r="I23" s="31"/>
      <c r="J23" s="31"/>
      <c r="K23" s="31"/>
      <c r="L23" s="31"/>
      <c r="M23" s="31"/>
      <c r="N23" s="31"/>
      <c r="O23" s="31">
        <f t="shared" si="1"/>
        <v>0</v>
      </c>
      <c r="P23" s="32"/>
    </row>
    <row r="24" spans="2:16" x14ac:dyDescent="0.25">
      <c r="B24" s="33" t="s">
        <v>1109</v>
      </c>
      <c r="C24" s="31"/>
      <c r="D24" s="31"/>
      <c r="E24" s="31"/>
      <c r="F24" s="31"/>
      <c r="G24" s="31"/>
      <c r="H24" s="31"/>
      <c r="I24" s="31"/>
      <c r="J24" s="31"/>
      <c r="K24" s="31"/>
      <c r="L24" s="31"/>
      <c r="M24" s="31"/>
      <c r="N24" s="31"/>
      <c r="O24" s="31">
        <f t="shared" si="1"/>
        <v>0</v>
      </c>
      <c r="P24" s="32"/>
    </row>
    <row r="25" spans="2:16" x14ac:dyDescent="0.25">
      <c r="B25" s="135" t="s">
        <v>1110</v>
      </c>
      <c r="C25" s="149">
        <f t="shared" ref="C25:N25" si="4">SUM(C26:C29)</f>
        <v>0</v>
      </c>
      <c r="D25" s="149">
        <f t="shared" si="4"/>
        <v>0</v>
      </c>
      <c r="E25" s="149">
        <f t="shared" si="4"/>
        <v>0</v>
      </c>
      <c r="F25" s="149">
        <f t="shared" si="4"/>
        <v>0</v>
      </c>
      <c r="G25" s="149">
        <f t="shared" si="4"/>
        <v>0</v>
      </c>
      <c r="H25" s="149">
        <f t="shared" si="4"/>
        <v>0</v>
      </c>
      <c r="I25" s="149">
        <f t="shared" si="4"/>
        <v>0</v>
      </c>
      <c r="J25" s="149">
        <f t="shared" si="4"/>
        <v>0</v>
      </c>
      <c r="K25" s="149">
        <f t="shared" si="4"/>
        <v>0</v>
      </c>
      <c r="L25" s="149">
        <f t="shared" si="4"/>
        <v>0</v>
      </c>
      <c r="M25" s="149">
        <f t="shared" si="4"/>
        <v>0</v>
      </c>
      <c r="N25" s="149">
        <f t="shared" si="4"/>
        <v>0</v>
      </c>
      <c r="O25" s="149">
        <f t="shared" si="1"/>
        <v>0</v>
      </c>
      <c r="P25" s="150">
        <f>SUM(P26:P29)</f>
        <v>0</v>
      </c>
    </row>
    <row r="26" spans="2:16" x14ac:dyDescent="0.25">
      <c r="B26" s="33" t="s">
        <v>1133</v>
      </c>
      <c r="C26" s="31"/>
      <c r="D26" s="31"/>
      <c r="E26" s="31"/>
      <c r="F26" s="31"/>
      <c r="G26" s="31"/>
      <c r="H26" s="31"/>
      <c r="I26" s="31"/>
      <c r="J26" s="31"/>
      <c r="K26" s="31"/>
      <c r="L26" s="31"/>
      <c r="M26" s="31"/>
      <c r="N26" s="31"/>
      <c r="O26" s="31">
        <f t="shared" si="1"/>
        <v>0</v>
      </c>
      <c r="P26" s="32"/>
    </row>
    <row r="27" spans="2:16" x14ac:dyDescent="0.25">
      <c r="B27" s="33" t="s">
        <v>1112</v>
      </c>
      <c r="C27" s="31"/>
      <c r="D27" s="31"/>
      <c r="E27" s="31"/>
      <c r="F27" s="31"/>
      <c r="G27" s="31"/>
      <c r="H27" s="31"/>
      <c r="I27" s="31"/>
      <c r="J27" s="31"/>
      <c r="K27" s="31"/>
      <c r="L27" s="31"/>
      <c r="M27" s="31"/>
      <c r="N27" s="31"/>
      <c r="O27" s="31">
        <f t="shared" si="1"/>
        <v>0</v>
      </c>
      <c r="P27" s="32"/>
    </row>
    <row r="28" spans="2:16" x14ac:dyDescent="0.25">
      <c r="B28" s="33" t="s">
        <v>1113</v>
      </c>
      <c r="C28" s="31"/>
      <c r="D28" s="31"/>
      <c r="E28" s="31"/>
      <c r="F28" s="31"/>
      <c r="G28" s="31"/>
      <c r="H28" s="31"/>
      <c r="I28" s="31"/>
      <c r="J28" s="31"/>
      <c r="K28" s="31"/>
      <c r="L28" s="31"/>
      <c r="M28" s="31"/>
      <c r="N28" s="31"/>
      <c r="O28" s="31">
        <f t="shared" si="1"/>
        <v>0</v>
      </c>
      <c r="P28" s="32"/>
    </row>
    <row r="29" spans="2:16" x14ac:dyDescent="0.25">
      <c r="B29" s="33" t="s">
        <v>1114</v>
      </c>
      <c r="C29" s="31"/>
      <c r="D29" s="31"/>
      <c r="E29" s="31"/>
      <c r="F29" s="31"/>
      <c r="G29" s="31"/>
      <c r="H29" s="31"/>
      <c r="I29" s="31"/>
      <c r="J29" s="31"/>
      <c r="K29" s="31"/>
      <c r="L29" s="31"/>
      <c r="M29" s="31"/>
      <c r="N29" s="31"/>
      <c r="O29" s="31">
        <f t="shared" si="1"/>
        <v>0</v>
      </c>
      <c r="P29" s="32"/>
    </row>
    <row r="30" spans="2:16" ht="15.75" customHeight="1" x14ac:dyDescent="0.25">
      <c r="B30" s="151" t="s">
        <v>1115</v>
      </c>
      <c r="C30" s="152">
        <f t="shared" ref="C30:N30" si="5">C16-C25</f>
        <v>0</v>
      </c>
      <c r="D30" s="152">
        <f t="shared" si="5"/>
        <v>0</v>
      </c>
      <c r="E30" s="152">
        <f t="shared" si="5"/>
        <v>0</v>
      </c>
      <c r="F30" s="152">
        <f t="shared" si="5"/>
        <v>0</v>
      </c>
      <c r="G30" s="152">
        <f t="shared" si="5"/>
        <v>0</v>
      </c>
      <c r="H30" s="152">
        <f t="shared" si="5"/>
        <v>0</v>
      </c>
      <c r="I30" s="152">
        <f t="shared" si="5"/>
        <v>0</v>
      </c>
      <c r="J30" s="152">
        <f t="shared" si="5"/>
        <v>0</v>
      </c>
      <c r="K30" s="152">
        <f t="shared" si="5"/>
        <v>0</v>
      </c>
      <c r="L30" s="152">
        <f t="shared" si="5"/>
        <v>0</v>
      </c>
      <c r="M30" s="152">
        <f t="shared" si="5"/>
        <v>0</v>
      </c>
      <c r="N30" s="152">
        <f t="shared" si="5"/>
        <v>0</v>
      </c>
      <c r="O30" s="152">
        <f t="shared" si="1"/>
        <v>0</v>
      </c>
      <c r="P30" s="153">
        <f>P16-P25</f>
        <v>0</v>
      </c>
    </row>
    <row r="31" spans="2:16" ht="15.75" customHeight="1" x14ac:dyDescent="0.25"/>
    <row r="32" spans="2:16" x14ac:dyDescent="0.25">
      <c r="B32" s="276" t="s">
        <v>1116</v>
      </c>
      <c r="C32" s="277"/>
      <c r="D32" s="277"/>
      <c r="E32" s="277"/>
      <c r="F32" s="277"/>
      <c r="G32" s="277"/>
      <c r="H32" s="277"/>
      <c r="I32" s="277"/>
      <c r="J32" s="277"/>
      <c r="K32" s="257" t="s">
        <v>488</v>
      </c>
      <c r="L32" s="257"/>
      <c r="M32" s="257"/>
      <c r="N32" s="257"/>
      <c r="O32" s="257" t="s">
        <v>1117</v>
      </c>
      <c r="P32" s="268"/>
    </row>
    <row r="33" spans="2:16" x14ac:dyDescent="0.25">
      <c r="B33" s="290" t="s">
        <v>1118</v>
      </c>
      <c r="C33" s="291"/>
      <c r="D33" s="291"/>
      <c r="E33" s="291"/>
      <c r="F33" s="291"/>
      <c r="G33" s="291"/>
      <c r="H33" s="291"/>
      <c r="I33" s="291"/>
      <c r="J33" s="291"/>
      <c r="K33" s="413">
        <f>'RREO A3'!O40</f>
        <v>0</v>
      </c>
      <c r="L33" s="413"/>
      <c r="M33" s="413"/>
      <c r="N33" s="413"/>
      <c r="O33" s="414"/>
      <c r="P33" s="415"/>
    </row>
    <row r="34" spans="2:16" x14ac:dyDescent="0.25">
      <c r="B34" s="232" t="s">
        <v>1317</v>
      </c>
      <c r="C34" s="233"/>
      <c r="D34" s="233"/>
      <c r="E34" s="233"/>
      <c r="F34" s="233"/>
      <c r="G34" s="233"/>
      <c r="H34" s="233"/>
      <c r="I34" s="233"/>
      <c r="J34" s="233"/>
      <c r="K34" s="294">
        <f>'RREO A3'!O41</f>
        <v>0</v>
      </c>
      <c r="L34" s="294"/>
      <c r="M34" s="294"/>
      <c r="N34" s="294"/>
      <c r="O34" s="411"/>
      <c r="P34" s="412"/>
    </row>
    <row r="35" spans="2:16" x14ac:dyDescent="0.25">
      <c r="B35" s="232" t="s">
        <v>1310</v>
      </c>
      <c r="C35" s="233"/>
      <c r="D35" s="233"/>
      <c r="E35" s="233"/>
      <c r="F35" s="233"/>
      <c r="G35" s="233"/>
      <c r="H35" s="233"/>
      <c r="I35" s="233"/>
      <c r="J35" s="233"/>
      <c r="K35" s="294">
        <f>'RREO A3'!O43</f>
        <v>0</v>
      </c>
      <c r="L35" s="294"/>
      <c r="M35" s="294"/>
      <c r="N35" s="294"/>
      <c r="O35" s="411"/>
      <c r="P35" s="412"/>
    </row>
    <row r="36" spans="2:16" x14ac:dyDescent="0.25">
      <c r="B36" s="232" t="s">
        <v>1316</v>
      </c>
      <c r="C36" s="233"/>
      <c r="D36" s="233"/>
      <c r="E36" s="233"/>
      <c r="F36" s="233"/>
      <c r="G36" s="233"/>
      <c r="H36" s="233"/>
      <c r="I36" s="233"/>
      <c r="J36" s="233"/>
      <c r="K36" s="294">
        <f>'RREO A3'!O44</f>
        <v>0</v>
      </c>
      <c r="L36" s="294"/>
      <c r="M36" s="294"/>
      <c r="N36" s="294"/>
      <c r="O36" s="411"/>
      <c r="P36" s="412"/>
    </row>
    <row r="37" spans="2:16" x14ac:dyDescent="0.25">
      <c r="B37" s="232" t="s">
        <v>1318</v>
      </c>
      <c r="C37" s="233"/>
      <c r="D37" s="233"/>
      <c r="E37" s="233"/>
      <c r="F37" s="233"/>
      <c r="G37" s="233"/>
      <c r="H37" s="233"/>
      <c r="I37" s="233"/>
      <c r="J37" s="233"/>
      <c r="K37" s="294">
        <f>'RREO A3'!O45</f>
        <v>0</v>
      </c>
      <c r="L37" s="294"/>
      <c r="M37" s="294"/>
      <c r="N37" s="294"/>
      <c r="O37" s="411"/>
      <c r="P37" s="412"/>
    </row>
    <row r="38" spans="2:16" x14ac:dyDescent="0.25">
      <c r="B38" s="420" t="s">
        <v>1319</v>
      </c>
      <c r="C38" s="421"/>
      <c r="D38" s="421"/>
      <c r="E38" s="421"/>
      <c r="F38" s="421"/>
      <c r="G38" s="421"/>
      <c r="H38" s="421"/>
      <c r="I38" s="421"/>
      <c r="J38" s="421"/>
      <c r="K38" s="405">
        <f>K33-K34-K35</f>
        <v>0</v>
      </c>
      <c r="L38" s="405"/>
      <c r="M38" s="405"/>
      <c r="N38" s="405"/>
      <c r="O38" s="406"/>
      <c r="P38" s="407"/>
    </row>
    <row r="39" spans="2:16" x14ac:dyDescent="0.25">
      <c r="B39" s="416" t="s">
        <v>1320</v>
      </c>
      <c r="C39" s="417"/>
      <c r="D39" s="417"/>
      <c r="E39" s="417"/>
      <c r="F39" s="417"/>
      <c r="G39" s="417"/>
      <c r="H39" s="417"/>
      <c r="I39" s="417"/>
      <c r="J39" s="417"/>
      <c r="K39" s="408">
        <f>O30+P30</f>
        <v>0</v>
      </c>
      <c r="L39" s="408"/>
      <c r="M39" s="408"/>
      <c r="N39" s="408"/>
      <c r="O39" s="409" t="e">
        <f>ROUND(K39/K38,4)</f>
        <v>#DIV/0!</v>
      </c>
      <c r="P39" s="410"/>
    </row>
    <row r="40" spans="2:16" x14ac:dyDescent="0.25">
      <c r="B40" s="422" t="s">
        <v>1321</v>
      </c>
      <c r="C40" s="423"/>
      <c r="D40" s="423"/>
      <c r="E40" s="423"/>
      <c r="F40" s="423"/>
      <c r="G40" s="423"/>
      <c r="H40" s="423"/>
      <c r="I40" s="423"/>
      <c r="J40" s="423"/>
      <c r="K40" s="292">
        <f>$K$38*O40</f>
        <v>0</v>
      </c>
      <c r="L40" s="292"/>
      <c r="M40" s="292"/>
      <c r="N40" s="292"/>
      <c r="O40" s="418">
        <v>0.06</v>
      </c>
      <c r="P40" s="419"/>
    </row>
    <row r="41" spans="2:16" x14ac:dyDescent="0.25">
      <c r="B41" s="232" t="s">
        <v>1322</v>
      </c>
      <c r="C41" s="233"/>
      <c r="D41" s="233"/>
      <c r="E41" s="233"/>
      <c r="F41" s="233"/>
      <c r="G41" s="233"/>
      <c r="H41" s="233"/>
      <c r="I41" s="233"/>
      <c r="J41" s="233"/>
      <c r="K41" s="294">
        <f>$K$38*O41</f>
        <v>0</v>
      </c>
      <c r="L41" s="294"/>
      <c r="M41" s="294"/>
      <c r="N41" s="294"/>
      <c r="O41" s="411">
        <f>O40*0.95</f>
        <v>5.6999999999999995E-2</v>
      </c>
      <c r="P41" s="412"/>
    </row>
    <row r="42" spans="2:16" ht="15.75" customHeight="1" x14ac:dyDescent="0.25">
      <c r="B42" s="424" t="s">
        <v>1323</v>
      </c>
      <c r="C42" s="425"/>
      <c r="D42" s="425"/>
      <c r="E42" s="425"/>
      <c r="F42" s="425"/>
      <c r="G42" s="425"/>
      <c r="H42" s="425"/>
      <c r="I42" s="425"/>
      <c r="J42" s="425"/>
      <c r="K42" s="306">
        <f>$K$38*O42</f>
        <v>0</v>
      </c>
      <c r="L42" s="306"/>
      <c r="M42" s="306"/>
      <c r="N42" s="306"/>
      <c r="O42" s="426">
        <f>O40*0.9</f>
        <v>5.3999999999999999E-2</v>
      </c>
      <c r="P42" s="427"/>
    </row>
    <row r="43" spans="2:16" x14ac:dyDescent="0.25">
      <c r="B43" s="249" t="str">
        <f ca="1">_xlfn.CONCAT("Fonte: ",paramFonte,". Emissão em ",TEXT(NOW(),"dd/mm/aaaa \à\s hh:mm:ss"))</f>
        <v>Fonte: Sistema MS Excel + SIAPC/PAD, Unidade Responsável: Secretaria da Fazenda / Setor de Contabilidade. Emissão em 09/05/2024 às 09:42:51</v>
      </c>
      <c r="C43" s="249"/>
      <c r="D43" s="249"/>
      <c r="E43" s="249"/>
      <c r="F43" s="249"/>
      <c r="G43" s="249"/>
      <c r="H43" s="249"/>
      <c r="I43" s="249"/>
      <c r="J43" s="249"/>
      <c r="K43" s="249"/>
      <c r="L43" s="249"/>
      <c r="M43" s="249"/>
      <c r="N43" s="249"/>
      <c r="O43" s="249"/>
      <c r="P43" s="249"/>
    </row>
    <row r="44" spans="2:16" ht="30" customHeight="1" x14ac:dyDescent="0.25">
      <c r="B44" s="262" t="s">
        <v>1125</v>
      </c>
      <c r="C44" s="262"/>
      <c r="D44" s="262"/>
      <c r="E44" s="262"/>
      <c r="F44" s="262"/>
      <c r="G44" s="262"/>
      <c r="H44" s="262"/>
      <c r="I44" s="262"/>
      <c r="J44" s="262"/>
      <c r="K44" s="262"/>
      <c r="L44" s="262"/>
      <c r="M44" s="262"/>
      <c r="N44" s="262"/>
      <c r="O44" s="262"/>
      <c r="P44" s="262"/>
    </row>
    <row r="46" spans="2:16" x14ac:dyDescent="0.25">
      <c r="B46" t="s">
        <v>253</v>
      </c>
    </row>
    <row r="47" spans="2:16" x14ac:dyDescent="0.25">
      <c r="B47" s="247" t="str">
        <f>IFERROR(_xlfn.CONCAT(_xlfn._xlws.FILTER(tblNotasExplicativas[Nota Com Separador],tblNotasExplicativas[Demonstrativo]="RGF A1 Leg")),"")</f>
        <v/>
      </c>
      <c r="C47" s="247"/>
      <c r="D47" s="247"/>
      <c r="E47" s="247"/>
      <c r="F47" s="247"/>
      <c r="G47" s="247"/>
      <c r="H47" s="247"/>
      <c r="I47" s="247"/>
      <c r="J47" s="247"/>
      <c r="K47" s="247"/>
      <c r="L47" s="247"/>
      <c r="M47" s="247"/>
      <c r="N47" s="247"/>
      <c r="O47" s="247"/>
      <c r="P47" s="247"/>
    </row>
    <row r="52" spans="2:15" x14ac:dyDescent="0.25">
      <c r="B52" t="str">
        <f>paramNomeContador</f>
        <v>EVERTON DA ROSA</v>
      </c>
      <c r="D52" s="247" t="str">
        <f>paramNomeSecretario</f>
        <v>ANA PAULA RODRIGUES SCHNEIDER SCHMIDT</v>
      </c>
      <c r="E52" s="247"/>
      <c r="F52" s="247"/>
      <c r="H52" s="247" t="str">
        <f>paramNomeControleInterno</f>
        <v>JEAN LENON CORO MONTEIRO</v>
      </c>
      <c r="I52" s="247"/>
      <c r="J52" s="247"/>
      <c r="M52" s="247" t="str">
        <f>paramNomePresidente</f>
        <v>HENRIQUE LUIZ GRESELE SZARESKI</v>
      </c>
      <c r="N52" s="247"/>
      <c r="O52" s="247"/>
    </row>
    <row r="53" spans="2:15" x14ac:dyDescent="0.25">
      <c r="B53" t="str">
        <f>paramCargoContador</f>
        <v>Contador</v>
      </c>
      <c r="D53" s="247" t="str">
        <f>paramCargoSecretario</f>
        <v>Secretária da Fazenda</v>
      </c>
      <c r="E53" s="247"/>
      <c r="F53" s="247"/>
      <c r="H53" s="247" t="str">
        <f>paramCargoControleInterno</f>
        <v>Controlador Interno</v>
      </c>
      <c r="I53" s="247"/>
      <c r="J53" s="247"/>
      <c r="M53" s="247" t="str">
        <f>paramCargoPresidente</f>
        <v>Presidente da Câmara de Vereadores</v>
      </c>
      <c r="N53" s="247"/>
      <c r="O53" s="247"/>
    </row>
    <row r="54" spans="2:15" x14ac:dyDescent="0.25">
      <c r="B54" t="str">
        <f>_xlfn.CONCAT("CRC ",paramCRCContador)</f>
        <v>CRC 076595/O-3</v>
      </c>
    </row>
  </sheetData>
  <mergeCells count="53">
    <mergeCell ref="D53:F53"/>
    <mergeCell ref="H53:J53"/>
    <mergeCell ref="M53:O53"/>
    <mergeCell ref="B43:P43"/>
    <mergeCell ref="B44:P44"/>
    <mergeCell ref="B47:P47"/>
    <mergeCell ref="D52:F52"/>
    <mergeCell ref="H52:J52"/>
    <mergeCell ref="M52:O52"/>
    <mergeCell ref="B41:J41"/>
    <mergeCell ref="K41:N41"/>
    <mergeCell ref="O41:P41"/>
    <mergeCell ref="B42:J42"/>
    <mergeCell ref="K42:N42"/>
    <mergeCell ref="O42:P42"/>
    <mergeCell ref="B39:J39"/>
    <mergeCell ref="K39:N39"/>
    <mergeCell ref="O39:P39"/>
    <mergeCell ref="B40:J40"/>
    <mergeCell ref="K40:N40"/>
    <mergeCell ref="O40:P40"/>
    <mergeCell ref="B35:J35"/>
    <mergeCell ref="K35:N35"/>
    <mergeCell ref="O35:P35"/>
    <mergeCell ref="B38:J38"/>
    <mergeCell ref="K38:N38"/>
    <mergeCell ref="O38:P38"/>
    <mergeCell ref="B36:J36"/>
    <mergeCell ref="K36:N36"/>
    <mergeCell ref="O36:P36"/>
    <mergeCell ref="B37:J37"/>
    <mergeCell ref="K37:N37"/>
    <mergeCell ref="O37:P37"/>
    <mergeCell ref="B33:J33"/>
    <mergeCell ref="K33:N33"/>
    <mergeCell ref="O33:P33"/>
    <mergeCell ref="B34:J34"/>
    <mergeCell ref="K34:N34"/>
    <mergeCell ref="O34:P34"/>
    <mergeCell ref="B32:J32"/>
    <mergeCell ref="K32:N32"/>
    <mergeCell ref="O32:P32"/>
    <mergeCell ref="B2:P2"/>
    <mergeCell ref="B3:P3"/>
    <mergeCell ref="B4:P4"/>
    <mergeCell ref="B5:P5"/>
    <mergeCell ref="B6:P6"/>
    <mergeCell ref="B7:P7"/>
    <mergeCell ref="B9:O9"/>
    <mergeCell ref="B10:B15"/>
    <mergeCell ref="C10:P10"/>
    <mergeCell ref="C11:P11"/>
    <mergeCell ref="C12:O12"/>
  </mergeCells>
  <pageMargins left="0.25" right="0.25" top="0.75" bottom="0.75" header="0.3" footer="0.3"/>
  <pageSetup paperSize="9" scale="57"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53C0C"/>
    <pageSetUpPr fitToPage="1"/>
  </sheetPr>
  <dimension ref="B2:P60"/>
  <sheetViews>
    <sheetView topLeftCell="C4" workbookViewId="0">
      <selection activeCell="O15" sqref="O15"/>
    </sheetView>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634</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 t="shared" ref="C16:H16" si="0">SUM(C17:C18)</f>
        <v>#REF!</v>
      </c>
      <c r="D16" s="90" t="e">
        <f t="shared" si="0"/>
        <v>#REF!</v>
      </c>
      <c r="E16" s="90" t="e">
        <f t="shared" si="0"/>
        <v>#REF!</v>
      </c>
      <c r="F16" s="90" t="e">
        <f t="shared" si="0"/>
        <v>#REF!</v>
      </c>
      <c r="G16" s="90">
        <f t="shared" si="0"/>
        <v>0</v>
      </c>
      <c r="H16" s="90">
        <f t="shared" si="0"/>
        <v>0</v>
      </c>
      <c r="I16" s="90" t="e">
        <f t="shared" ref="I16:I42" si="1">C16-(D16+E16+F16+G16)-H16</f>
        <v>#REF!</v>
      </c>
      <c r="J16" s="90" t="e">
        <f>SUM(J17:J18)</f>
        <v>#REF!</v>
      </c>
      <c r="K16" s="90">
        <f>SUM(K17:K18)</f>
        <v>0</v>
      </c>
      <c r="L16" s="91" t="e">
        <f t="shared" ref="L16:L42" si="2">I16-J16</f>
        <v>#REF!</v>
      </c>
    </row>
    <row r="17" spans="2:12" x14ac:dyDescent="0.25">
      <c r="B17" s="33" t="s">
        <v>1262</v>
      </c>
      <c r="C17" s="31" t="e">
        <f>SUM(SUMIFS(#REF!,#REF!,"S",#REF!,"cm",#REF!,"F",#REF!,{"11111*";"1121*";"11131*";"114*"},#REF!,500))</f>
        <v>#REF!</v>
      </c>
      <c r="D17" s="31" t="e">
        <f>SUMIFS(#REF!,#REF!,"&lt;"&amp;YEAR(paramDataBase),#REF!,"cm",#REF!,500)+SUMIFS(#REF!,#REF!,"&lt;"&amp;YEAR(paramDataBase),#REF!,"cm",#REF!,500)</f>
        <v>#REF!</v>
      </c>
      <c r="E17" s="31" t="e">
        <f>SUMIFS(#REF!,#REF!,YEAR(paramDataBase),#REF!,"cm",#REF!,500)-SUMIFS(#REF!,#REF!,YEAR(paramDataBase),#REF!,"cm",#REF!,500)</f>
        <v>#REF!</v>
      </c>
      <c r="F17" s="31" t="e">
        <f>SUMIFS(#REF!,#REF!,"&lt;"&amp;YEAR(paramDataBase),#REF!,"cm",#REF!,500)</f>
        <v>#REF!</v>
      </c>
      <c r="G17" s="31"/>
      <c r="H17" s="31"/>
      <c r="I17" s="31" t="e">
        <f t="shared" si="1"/>
        <v>#REF!</v>
      </c>
      <c r="J17" s="31" t="e">
        <f>SUMIFS(#REF!,#REF!,YEAR(paramDataBase),#REF!,"cm",#REF!,500)-SUMIFS(#REF!,#REF!,YEAR(paramDataBase),#REF!,"cm",#REF!,500)</f>
        <v>#REF!</v>
      </c>
      <c r="K17" s="31"/>
      <c r="L17" s="32" t="e">
        <f t="shared" si="2"/>
        <v>#REF!</v>
      </c>
    </row>
    <row r="18" spans="2:12" x14ac:dyDescent="0.25">
      <c r="B18" s="33" t="s">
        <v>1263</v>
      </c>
      <c r="C18" s="31" t="e">
        <f>SUM(SUMIFS(#REF!,#REF!,"S",#REF!,"cm",#REF!,"F",#REF!,{"11111*";"1121*";"11131*";"114*"},#REF!,"&gt;=501",#REF!,"&lt;=502"))</f>
        <v>#REF!</v>
      </c>
      <c r="D18" s="31" t="e">
        <f>SUMIFS(#REF!,#REF!,"&lt;"&amp;YEAR(paramDataBase),#REF!,"cm",#REF!,"&gt;=501",#REF!,"&lt;=502")+SUMIFS(#REF!,#REF!,"&lt;"&amp;YEAR(paramDataBase),#REF!,"cm",#REF!,"&gt;=501",#REF!,"&lt;=502")</f>
        <v>#REF!</v>
      </c>
      <c r="E18" s="31" t="e">
        <f>SUMIFS(#REF!,#REF!,YEAR(paramDataBase),#REF!,"cm",#REF!,"&gt;=501",#REF!,"&lt;=502")</f>
        <v>#REF!</v>
      </c>
      <c r="F18" s="31" t="e">
        <f>SUMIFS(#REF!,#REF!,"&lt;"&amp;YEAR(paramDataBase),#REF!,"cm",#REF!,"&gt;=501",#REF!,"&lt;=502")</f>
        <v>#REF!</v>
      </c>
      <c r="G18" s="31"/>
      <c r="H18" s="31"/>
      <c r="I18" s="31" t="e">
        <f t="shared" si="1"/>
        <v>#REF!</v>
      </c>
      <c r="J18" s="31" t="e">
        <f>SUMIFS(#REF!,#REF!,YEAR(paramDataBase),#REF!,"cm",#REF!,"&gt;=501",#REF!,"&lt;=502")</f>
        <v>#REF!</v>
      </c>
      <c r="K18" s="31"/>
      <c r="L18" s="32" t="e">
        <f t="shared" si="2"/>
        <v>#REF!</v>
      </c>
    </row>
    <row r="19" spans="2:12" x14ac:dyDescent="0.25">
      <c r="B19" s="220" t="s">
        <v>1264</v>
      </c>
      <c r="C19" s="90" t="e">
        <f t="shared" ref="C19:H19" si="3">C20+C23+C26+C27+C28+C31+C36+C37</f>
        <v>#REF!</v>
      </c>
      <c r="D19" s="90" t="e">
        <f t="shared" si="3"/>
        <v>#REF!</v>
      </c>
      <c r="E19" s="90" t="e">
        <f t="shared" si="3"/>
        <v>#REF!</v>
      </c>
      <c r="F19" s="90" t="e">
        <f t="shared" si="3"/>
        <v>#REF!</v>
      </c>
      <c r="G19" s="90" t="e">
        <f t="shared" si="3"/>
        <v>#REF!</v>
      </c>
      <c r="H19" s="90">
        <f t="shared" si="3"/>
        <v>0</v>
      </c>
      <c r="I19" s="90" t="e">
        <f t="shared" si="1"/>
        <v>#REF!</v>
      </c>
      <c r="J19" s="90" t="e">
        <f>J20+J23+J26+J27+J28+J31+J36+J37</f>
        <v>#REF!</v>
      </c>
      <c r="K19" s="90">
        <f>K20+K23+K26+K27+K28+K31+K36+K37</f>
        <v>0</v>
      </c>
      <c r="L19" s="91" t="e">
        <f t="shared" si="2"/>
        <v>#REF!</v>
      </c>
    </row>
    <row r="20" spans="2:12" x14ac:dyDescent="0.25">
      <c r="B20" s="219" t="s">
        <v>1265</v>
      </c>
      <c r="C20" s="149" t="e">
        <f t="shared" ref="C20:H20" si="4">SUM(C21:C22)</f>
        <v>#REF!</v>
      </c>
      <c r="D20" s="149" t="e">
        <f t="shared" si="4"/>
        <v>#REF!</v>
      </c>
      <c r="E20" s="149" t="e">
        <f t="shared" si="4"/>
        <v>#REF!</v>
      </c>
      <c r="F20" s="149" t="e">
        <f t="shared" si="4"/>
        <v>#REF!</v>
      </c>
      <c r="G20" s="149">
        <f t="shared" si="4"/>
        <v>0</v>
      </c>
      <c r="H20" s="149">
        <f t="shared" si="4"/>
        <v>0</v>
      </c>
      <c r="I20" s="149" t="e">
        <f t="shared" si="1"/>
        <v>#REF!</v>
      </c>
      <c r="J20" s="149" t="e">
        <f>SUM(J21:J22)</f>
        <v>#REF!</v>
      </c>
      <c r="K20" s="149">
        <f>SUM(K21:K22)</f>
        <v>0</v>
      </c>
      <c r="L20" s="150" t="e">
        <f t="shared" si="2"/>
        <v>#REF!</v>
      </c>
    </row>
    <row r="21" spans="2:12" x14ac:dyDescent="0.25">
      <c r="B21" s="34" t="s">
        <v>439</v>
      </c>
      <c r="C21" s="31" t="e">
        <f>SUM(SUMIFS(#REF!,#REF!,"S",#REF!,"cm",#REF!,"F",#REF!,{"11111*";"1121*";"11131*";"114*"},#REF!,"&gt;=540",#REF!,"&lt;=543"))</f>
        <v>#REF!</v>
      </c>
      <c r="D21" s="31" t="e">
        <f>SUMIFS(#REF!,#REF!,"&lt;"&amp;YEAR(paramDataBase),#REF!,"cm",#REF!,"&gt;=540",#REF!,"&lt;=543")+SUMIFS(#REF!,#REF!,"&lt;"&amp;YEAR(paramDataBase),#REF!,"cm",#REF!,"&gt;=540",#REF!,"&lt;=543")</f>
        <v>#REF!</v>
      </c>
      <c r="E21" s="31" t="e">
        <f>SUMIFS(#REF!,#REF!,YEAR(paramDataBase),#REF!,"cm",#REF!,"&gt;=540",#REF!,"&lt;=543")</f>
        <v>#REF!</v>
      </c>
      <c r="F21" s="31" t="e">
        <f>SUMIFS(#REF!,#REF!,"&lt;"&amp;YEAR(paramDataBase),#REF!,"cm",#REF!,"&gt;=540",#REF!,"&lt;=543")</f>
        <v>#REF!</v>
      </c>
      <c r="G21" s="31"/>
      <c r="H21" s="31"/>
      <c r="I21" s="31" t="e">
        <f t="shared" si="1"/>
        <v>#REF!</v>
      </c>
      <c r="J21" s="31" t="e">
        <f>SUMIFS(#REF!,#REF!,YEAR(paramDataBase),#REF!,"cm",#REF!,"&gt;=540",#REF!,"&lt;=543")</f>
        <v>#REF!</v>
      </c>
      <c r="K21" s="31"/>
      <c r="L21" s="32" t="e">
        <f t="shared" si="2"/>
        <v>#REF!</v>
      </c>
    </row>
    <row r="22" spans="2:12" x14ac:dyDescent="0.25">
      <c r="B22" s="34" t="s">
        <v>1266</v>
      </c>
      <c r="C22" s="31" t="e">
        <f>SUM(SUMIFS(#REF!,#REF!,"S",#REF!,"cm",#REF!,"F",#REF!,{"11111*";"1121*";"11131*";"114*"},#REF!,"&gt;=544",#REF!,"&lt;=599"))</f>
        <v>#REF!</v>
      </c>
      <c r="D22" s="31" t="e">
        <f>SUMIFS(#REF!,#REF!,"&lt;"&amp;YEAR(paramDataBase),#REF!,"cm",#REF!,"&gt;=544",#REF!,"&lt;=599")+SUMIFS(#REF!,#REF!,"&lt;"&amp;YEAR(paramDataBase),#REF!,"cm",#REF!,"&gt;=544",#REF!,"&lt;=599")</f>
        <v>#REF!</v>
      </c>
      <c r="E22" s="31" t="e">
        <f>SUMIFS(#REF!,#REF!,YEAR(paramDataBase),#REF!,"cm",#REF!,"&gt;=544",#REF!,"&lt;=599")</f>
        <v>#REF!</v>
      </c>
      <c r="F22" s="31" t="e">
        <f>SUMIFS(#REF!,#REF!,"&lt;"&amp;YEAR(paramDataBase),#REF!,"cm",#REF!,"&gt;=544",#REF!,"&lt;=599")</f>
        <v>#REF!</v>
      </c>
      <c r="G22" s="31"/>
      <c r="H22" s="31"/>
      <c r="I22" s="31" t="e">
        <f t="shared" si="1"/>
        <v>#REF!</v>
      </c>
      <c r="J22" s="31" t="e">
        <f>SUMIFS(#REF!,#REF!,YEAR(paramDataBase),#REF!,"cm",#REF!,"&gt;=544",#REF!,"&lt;=599")</f>
        <v>#REF!</v>
      </c>
      <c r="K22" s="31"/>
      <c r="L22" s="32" t="e">
        <f t="shared" si="2"/>
        <v>#REF!</v>
      </c>
    </row>
    <row r="23" spans="2:12" x14ac:dyDescent="0.25">
      <c r="B23" s="219" t="s">
        <v>1267</v>
      </c>
      <c r="C23" s="149" t="e">
        <f t="shared" ref="C23:H23" si="5">SUM(C24:C25)</f>
        <v>#REF!</v>
      </c>
      <c r="D23" s="149" t="e">
        <f t="shared" si="5"/>
        <v>#REF!</v>
      </c>
      <c r="E23" s="149" t="e">
        <f t="shared" si="5"/>
        <v>#REF!</v>
      </c>
      <c r="F23" s="149" t="e">
        <f t="shared" si="5"/>
        <v>#REF!</v>
      </c>
      <c r="G23" s="149">
        <f t="shared" si="5"/>
        <v>0</v>
      </c>
      <c r="H23" s="149">
        <f t="shared" si="5"/>
        <v>0</v>
      </c>
      <c r="I23" s="149" t="e">
        <f t="shared" si="1"/>
        <v>#REF!</v>
      </c>
      <c r="J23" s="149" t="e">
        <f>SUM(J24:J25)</f>
        <v>#REF!</v>
      </c>
      <c r="K23" s="149">
        <f>SUM(K24:K25)</f>
        <v>0</v>
      </c>
      <c r="L23" s="150" t="e">
        <f t="shared" si="2"/>
        <v>#REF!</v>
      </c>
    </row>
    <row r="24" spans="2:12" x14ac:dyDescent="0.25">
      <c r="B24" s="34" t="s">
        <v>1268</v>
      </c>
      <c r="C24" s="31" t="e">
        <f>SUM(SUMIFS(#REF!,#REF!,"S",#REF!,"cm",#REF!,"F",#REF!,{"11111*";"1121*";"11131*";"114*"},#REF!,"&gt;=600",#REF!,"&lt;=622"))</f>
        <v>#REF!</v>
      </c>
      <c r="D24" s="31" t="e">
        <f>SUMIFS(#REF!,#REF!,"&lt;"&amp;YEAR(paramDataBase),#REF!,"cm",#REF!,"&gt;=600",#REF!,"&lt;=622")+SUMIFS(#REF!,#REF!,"&lt;"&amp;YEAR(paramDataBase),#REF!,"cm",#REF!,"&gt;=600",#REF!,"&lt;=622")</f>
        <v>#REF!</v>
      </c>
      <c r="E24" s="31" t="e">
        <f>SUMIFS(#REF!,#REF!,YEAR(paramDataBase),#REF!,"cm",#REF!,"&gt;=600",#REF!,"&lt;=622")</f>
        <v>#REF!</v>
      </c>
      <c r="F24" s="31" t="e">
        <f>SUMIFS(#REF!,#REF!,"&lt;"&amp;YEAR(paramDataBase),#REF!,"cm",#REF!,"&gt;=600",#REF!,"&lt;=622")</f>
        <v>#REF!</v>
      </c>
      <c r="G24" s="31"/>
      <c r="H24" s="31"/>
      <c r="I24" s="31" t="e">
        <f t="shared" si="1"/>
        <v>#REF!</v>
      </c>
      <c r="J24" s="31" t="e">
        <f>SUMIFS(#REF!,#REF!,YEAR(paramDataBase),#REF!,"cm",#REF!,"&gt;=600",#REF!,"&lt;=622")</f>
        <v>#REF!</v>
      </c>
      <c r="K24" s="31"/>
      <c r="L24" s="32" t="e">
        <f t="shared" si="2"/>
        <v>#REF!</v>
      </c>
    </row>
    <row r="25" spans="2:12" x14ac:dyDescent="0.25">
      <c r="B25" s="34" t="s">
        <v>1269</v>
      </c>
      <c r="C25" s="31" t="e">
        <f>SUM(SUMIFS(#REF!,#REF!,"S",#REF!,"cm",#REF!,"F",#REF!,{"11111*";"1121*";"11131*";"114*"},#REF!,"&gt;=631",#REF!,"&lt;=659"))</f>
        <v>#REF!</v>
      </c>
      <c r="D25" s="31" t="e">
        <f>SUMIFS(#REF!,#REF!,"&lt;"&amp;YEAR(paramDataBase),#REF!,"cm",#REF!,"&gt;=631",#REF!,"&lt;=659")+SUMIFS(#REF!,#REF!,"&lt;"&amp;YEAR(paramDataBase),#REF!,"cm",#REF!,"&gt;=631",#REF!,"&lt;=659")</f>
        <v>#REF!</v>
      </c>
      <c r="E25" s="31" t="e">
        <f>SUMIFS(#REF!,#REF!,YEAR(paramDataBase),#REF!,"cm",#REF!,"&gt;=631",#REF!,"&lt;=659")</f>
        <v>#REF!</v>
      </c>
      <c r="F25" s="31" t="e">
        <f>SUMIFS(#REF!,#REF!,"&lt;"&amp;YEAR(paramDataBase),#REF!,"cm",#REF!,"&gt;=631",#REF!,"&lt;=659")</f>
        <v>#REF!</v>
      </c>
      <c r="G25" s="31"/>
      <c r="H25" s="31"/>
      <c r="I25" s="31" t="e">
        <f t="shared" si="1"/>
        <v>#REF!</v>
      </c>
      <c r="J25" s="31" t="e">
        <f>SUMIFS(#REF!,#REF!,YEAR(paramDataBase),#REF!,"cm",#REF!,"&gt;=631",#REF!,"&lt;=659")</f>
        <v>#REF!</v>
      </c>
      <c r="K25" s="31"/>
      <c r="L25" s="32" t="e">
        <f t="shared" si="2"/>
        <v>#REF!</v>
      </c>
    </row>
    <row r="26" spans="2:12" x14ac:dyDescent="0.25">
      <c r="B26" s="219" t="s">
        <v>1270</v>
      </c>
      <c r="C26" s="149" t="e">
        <f>SUM(SUMIFS(#REF!,#REF!,"S",#REF!,"cm",#REF!,"F",#REF!,{"11111*";"1121*";"11131*";"114*"},#REF!,"&gt;=660",#REF!,"&lt;=669"))</f>
        <v>#REF!</v>
      </c>
      <c r="D26" s="149" t="e">
        <f>SUMIFS(#REF!,#REF!,"&lt;"&amp;YEAR(paramDataBase),#REF!,"cm",#REF!,"&gt;=660",#REF!,"&lt;=669")+SUMIFS(#REF!,#REF!,"&lt;"&amp;YEAR(paramDataBase),#REF!,"cm",#REF!,"&gt;=660",#REF!,"&lt;=669")</f>
        <v>#REF!</v>
      </c>
      <c r="E26" s="149" t="e">
        <f>SUMIFS(#REF!,#REF!,YEAR(paramDataBase),#REF!,"cm",#REF!,"&gt;=660",#REF!,"&lt;=669")</f>
        <v>#REF!</v>
      </c>
      <c r="F26" s="149" t="e">
        <f>SUMIFS(#REF!,#REF!,"&lt;"&amp;YEAR(paramDataBase),#REF!,"cm",#REF!,"&gt;=660",#REF!,"&lt;=669")</f>
        <v>#REF!</v>
      </c>
      <c r="G26" s="149"/>
      <c r="H26" s="149"/>
      <c r="I26" s="149" t="e">
        <f t="shared" si="1"/>
        <v>#REF!</v>
      </c>
      <c r="J26" s="149" t="e">
        <f>SUMIFS(#REF!,#REF!,YEAR(paramDataBase),#REF!,"cm",#REF!,"&gt;=660",#REF!,"&lt;=669")</f>
        <v>#REF!</v>
      </c>
      <c r="K26" s="149"/>
      <c r="L26" s="150" t="e">
        <f t="shared" si="2"/>
        <v>#REF!</v>
      </c>
    </row>
    <row r="27" spans="2:12" x14ac:dyDescent="0.25">
      <c r="B27" s="219" t="s">
        <v>1271</v>
      </c>
      <c r="C27" s="149" t="e">
        <f>SUM(SUMIFS(#REF!,#REF!,"S",#REF!,"cm",#REF!,"F",#REF!,{"11111*";"1121*";"11131*";"114*"},#REF!,803))</f>
        <v>#REF!</v>
      </c>
      <c r="D27" s="149" t="e">
        <f>SUMIFS(#REF!,#REF!,"&lt;"&amp;YEAR(paramDataBase),#REF!,"cm",#REF!,803)+SUMIFS(#REF!,#REF!,"&lt;"&amp;YEAR(paramDataBase),#REF!,"cm",#REF!,803)</f>
        <v>#REF!</v>
      </c>
      <c r="E27" s="149" t="e">
        <f>SUMIFS(#REF!,#REF!,YEAR(paramDataBase),#REF!,"cm",#REF!,803)</f>
        <v>#REF!</v>
      </c>
      <c r="F27" s="149" t="e">
        <f>SUMIFS(#REF!,#REF!,"&lt;"&amp;YEAR(paramDataBase),#REF!,"cm",#REF!,803)</f>
        <v>#REF!</v>
      </c>
      <c r="G27" s="149"/>
      <c r="H27" s="149"/>
      <c r="I27" s="149" t="e">
        <f t="shared" si="1"/>
        <v>#REF!</v>
      </c>
      <c r="J27" s="149" t="e">
        <f>SUMIFS(#REF!,#REF!,YEAR(paramDataBase),#REF!,"cm",#REF!,803)</f>
        <v>#REF!</v>
      </c>
      <c r="K27" s="149"/>
      <c r="L27" s="150" t="e">
        <f t="shared" si="2"/>
        <v>#REF!</v>
      </c>
    </row>
    <row r="28" spans="2:12" x14ac:dyDescent="0.25">
      <c r="B28" s="219" t="s">
        <v>1272</v>
      </c>
      <c r="C28" s="149" t="e">
        <f t="shared" ref="C28:H28" si="6">SUM(C29:C30)</f>
        <v>#REF!</v>
      </c>
      <c r="D28" s="149" t="e">
        <f t="shared" si="6"/>
        <v>#REF!</v>
      </c>
      <c r="E28" s="149" t="e">
        <f t="shared" si="6"/>
        <v>#REF!</v>
      </c>
      <c r="F28" s="149" t="e">
        <f t="shared" si="6"/>
        <v>#REF!</v>
      </c>
      <c r="G28" s="149">
        <f t="shared" si="6"/>
        <v>0</v>
      </c>
      <c r="H28" s="149">
        <f t="shared" si="6"/>
        <v>0</v>
      </c>
      <c r="I28" s="149" t="e">
        <f t="shared" si="1"/>
        <v>#REF!</v>
      </c>
      <c r="J28" s="149" t="e">
        <f>SUM(J29:J30)</f>
        <v>#REF!</v>
      </c>
      <c r="K28" s="149">
        <f>SUM(K29:K30)</f>
        <v>0</v>
      </c>
      <c r="L28" s="150" t="e">
        <f t="shared" si="2"/>
        <v>#REF!</v>
      </c>
    </row>
    <row r="29" spans="2:12" x14ac:dyDescent="0.25">
      <c r="B29" s="34" t="s">
        <v>1273</v>
      </c>
      <c r="C29" s="31" t="e">
        <f>SUM(SUMIFS(#REF!,#REF!,"S",#REF!,"cm",#REF!,"F",#REF!,{"11111*";"1121*";"11131*";"114*"},#REF!,"&gt;=700",#REF!,"&lt;=703"))</f>
        <v>#REF!</v>
      </c>
      <c r="D29" s="31" t="e">
        <f>SUMIFS(#REF!,#REF!,"&lt;"&amp;YEAR(paramDataBase),#REF!,"cm",#REF!,803)+SUMIFS(#REF!,#REF!,"&lt;"&amp;YEAR(paramDataBase),#REF!,"cm",#REF!,803)</f>
        <v>#REF!</v>
      </c>
      <c r="E29" s="31" t="e">
        <f>SUMIFS(#REF!,#REF!,YEAR(paramDataBase),#REF!,"cm",#REF!,803)</f>
        <v>#REF!</v>
      </c>
      <c r="F29" s="31" t="e">
        <f>SUMIFS(#REF!,#REF!,"&lt;"&amp;YEAR(paramDataBase),#REF!,"cm",#REF!,803)</f>
        <v>#REF!</v>
      </c>
      <c r="G29" s="31"/>
      <c r="H29" s="31"/>
      <c r="I29" s="31" t="e">
        <f t="shared" si="1"/>
        <v>#REF!</v>
      </c>
      <c r="J29" s="31" t="e">
        <f>SUMIFS(#REF!,#REF!,YEAR(paramDataBase),#REF!,"cm",#REF!,803)</f>
        <v>#REF!</v>
      </c>
      <c r="K29" s="31"/>
      <c r="L29" s="32" t="e">
        <f t="shared" si="2"/>
        <v>#REF!</v>
      </c>
    </row>
    <row r="30" spans="2:12" x14ac:dyDescent="0.25">
      <c r="B30" s="34" t="s">
        <v>1274</v>
      </c>
      <c r="C30" s="31" t="e">
        <f>SUM(SUMIFS(#REF!,#REF!,"S",#REF!,"cm",#REF!,"F",#REF!,{"11111*";"1121*";"11131*";"114*"},#REF!,"&gt;=704",#REF!,"&lt;=749"))</f>
        <v>#REF!</v>
      </c>
      <c r="D30" s="31" t="e">
        <f>SUMIFS(#REF!,#REF!,"&lt;"&amp;YEAR(paramDataBase),#REF!,"cm",#REF!,"&gt;=700",#REF!,"&lt;=703")+SUMIFS(#REF!,#REF!,"&lt;"&amp;YEAR(paramDataBase),#REF!,"cm",#REF!,"&gt;=700",#REF!,"&lt;=703")</f>
        <v>#REF!</v>
      </c>
      <c r="E30" s="31" t="e">
        <f>SUMIFS(#REF!,#REF!,YEAR(paramDataBase),#REF!,"cm",#REF!,"&gt;=700",#REF!,"&lt;=703")</f>
        <v>#REF!</v>
      </c>
      <c r="F30" s="31" t="e">
        <f>SUMIFS(#REF!,#REF!,"&lt;"&amp;YEAR(paramDataBase),#REF!,"cm",#REF!,"&gt;=700",#REF!,"&lt;=703")</f>
        <v>#REF!</v>
      </c>
      <c r="G30" s="31"/>
      <c r="H30" s="31"/>
      <c r="I30" s="31" t="e">
        <f t="shared" si="1"/>
        <v>#REF!</v>
      </c>
      <c r="J30" s="31" t="e">
        <f>SUMIFS(#REF!,#REF!,YEAR(paramDataBase),#REF!,"cm",#REF!,"&gt;=700",#REF!,"&lt;=703")</f>
        <v>#REF!</v>
      </c>
      <c r="K30" s="31"/>
      <c r="L30" s="32" t="e">
        <f t="shared" si="2"/>
        <v>#REF!</v>
      </c>
    </row>
    <row r="31" spans="2:12" x14ac:dyDescent="0.25">
      <c r="B31" s="219" t="s">
        <v>1275</v>
      </c>
      <c r="C31" s="149" t="e">
        <f t="shared" ref="C31:H31" si="7">SUM(C32:C35)</f>
        <v>#REF!</v>
      </c>
      <c r="D31" s="149" t="e">
        <f t="shared" si="7"/>
        <v>#REF!</v>
      </c>
      <c r="E31" s="149" t="e">
        <f t="shared" si="7"/>
        <v>#REF!</v>
      </c>
      <c r="F31" s="149" t="e">
        <f t="shared" si="7"/>
        <v>#REF!</v>
      </c>
      <c r="G31" s="149">
        <f t="shared" si="7"/>
        <v>0</v>
      </c>
      <c r="H31" s="149">
        <f t="shared" si="7"/>
        <v>0</v>
      </c>
      <c r="I31" s="149" t="e">
        <f t="shared" si="1"/>
        <v>#REF!</v>
      </c>
      <c r="J31" s="149" t="e">
        <f>SUM(J32:J35)</f>
        <v>#REF!</v>
      </c>
      <c r="K31" s="149">
        <f>SUM(K32:K35)</f>
        <v>0</v>
      </c>
      <c r="L31" s="150" t="e">
        <f t="shared" si="2"/>
        <v>#REF!</v>
      </c>
    </row>
    <row r="32" spans="2:12" x14ac:dyDescent="0.25">
      <c r="B32" s="34" t="s">
        <v>1276</v>
      </c>
      <c r="C32" s="31" t="e">
        <f>SUM(SUMIFS(#REF!,#REF!,"S",#REF!,"cm",#REF!,"F",#REF!,{"11111*";"1121*";"11131*";"114*"},#REF!,754))</f>
        <v>#REF!</v>
      </c>
      <c r="D32" s="31" t="e">
        <f>SUMIFS(#REF!,#REF!,"&lt;"&amp;YEAR(paramDataBase),#REF!,"cm",#REF!,754)+SUMIFS(#REF!,#REF!,"&lt;"&amp;YEAR(paramDataBase),#REF!,"cm",#REF!,754)</f>
        <v>#REF!</v>
      </c>
      <c r="E32" s="31" t="e">
        <f>SUMIFS(#REF!,#REF!,YEAR(paramDataBase),#REF!,"cm",#REF!,754)</f>
        <v>#REF!</v>
      </c>
      <c r="F32" s="31" t="e">
        <f>SUMIFS(#REF!,#REF!,"&lt;"&amp;YEAR(paramDataBase),#REF!,"cm",#REF!,754)</f>
        <v>#REF!</v>
      </c>
      <c r="G32" s="31"/>
      <c r="H32" s="31"/>
      <c r="I32" s="31" t="e">
        <f t="shared" si="1"/>
        <v>#REF!</v>
      </c>
      <c r="J32" s="31" t="e">
        <f>SUMIFS(#REF!,#REF!,YEAR(paramDataBase),#REF!,"cm",#REF!,754)</f>
        <v>#REF!</v>
      </c>
      <c r="K32" s="31"/>
      <c r="L32" s="32" t="e">
        <f t="shared" si="2"/>
        <v>#REF!</v>
      </c>
    </row>
    <row r="33" spans="2:16" x14ac:dyDescent="0.25">
      <c r="B33" s="34" t="s">
        <v>1277</v>
      </c>
      <c r="C33" s="31" t="e">
        <f>SUM(SUMIFS(#REF!,#REF!,"S",#REF!,"cm",#REF!,"F",#REF!,{"11111*";"1121*";"11131*";"114*"},#REF!,"&gt;=755",#REF!,"&lt;=756"))</f>
        <v>#REF!</v>
      </c>
      <c r="D33" s="31" t="e">
        <f>SUMIFS(#REF!,#REF!,"&lt;"&amp;YEAR(paramDataBase),#REF!,"cm",#REF!,"&gt;=755",#REF!,"&lt;=756")+SUMIFS(#REF!,#REF!,"&lt;"&amp;YEAR(paramDataBase),#REF!,"cm",#REF!,"&gt;=755",#REF!,"&lt;=756")</f>
        <v>#REF!</v>
      </c>
      <c r="E33" s="31" t="e">
        <f>SUMIFS(#REF!,#REF!,YEAR(paramDataBase),#REF!,"cm",#REF!,"&gt;=755",#REF!,"&lt;=756")</f>
        <v>#REF!</v>
      </c>
      <c r="F33" s="31" t="e">
        <f>SUMIFS(#REF!,#REF!,"&lt;"&amp;YEAR(paramDataBase),#REF!,"cm",#REF!,"&gt;=755",#REF!,"&lt;=756")</f>
        <v>#REF!</v>
      </c>
      <c r="G33" s="31"/>
      <c r="H33" s="31"/>
      <c r="I33" s="31" t="e">
        <f t="shared" si="1"/>
        <v>#REF!</v>
      </c>
      <c r="J33" s="31" t="e">
        <f>SUMIFS(#REF!,#REF!,YEAR(paramDataBase),#REF!,"cm",#REF!,"&gt;=755",#REF!,"&lt;=756")</f>
        <v>#REF!</v>
      </c>
      <c r="K33" s="31"/>
      <c r="L33" s="32" t="e">
        <f t="shared" si="2"/>
        <v>#REF!</v>
      </c>
    </row>
    <row r="34" spans="2:16" x14ac:dyDescent="0.25">
      <c r="B34" s="34" t="s">
        <v>1278</v>
      </c>
      <c r="C34" s="31" t="e">
        <f>SUM(SUMIFS(#REF!,#REF!,"S",#REF!,"cm",#REF!,"F",#REF!,{"11111*";"1121*";"11131*";"114*"},#REF!,759))</f>
        <v>#REF!</v>
      </c>
      <c r="D34" s="31" t="e">
        <f>SUMIFS(#REF!,#REF!,"&lt;"&amp;YEAR(paramDataBase),#REF!,"cm",#REF!,759)+SUMIFS(#REF!,#REF!,"&lt;"&amp;YEAR(paramDataBase),#REF!,"cm",#REF!,759)</f>
        <v>#REF!</v>
      </c>
      <c r="E34" s="31" t="e">
        <f>SUMIFS(#REF!,#REF!,YEAR(paramDataBase),#REF!,"cm",#REF!,759)</f>
        <v>#REF!</v>
      </c>
      <c r="F34" s="31" t="e">
        <f>SUMIFS(#REF!,#REF!,"&lt;"&amp;YEAR(paramDataBase),#REF!,"cm",#REF!,759)</f>
        <v>#REF!</v>
      </c>
      <c r="G34" s="31"/>
      <c r="H34" s="31"/>
      <c r="I34" s="31" t="e">
        <f t="shared" si="1"/>
        <v>#REF!</v>
      </c>
      <c r="J34" s="31" t="e">
        <f>SUMIFS(#REF!,#REF!,YEAR(paramDataBase),#REF!,"cm",#REF!,759)</f>
        <v>#REF!</v>
      </c>
      <c r="K34" s="31"/>
      <c r="L34" s="32" t="e">
        <f t="shared" si="2"/>
        <v>#REF!</v>
      </c>
    </row>
    <row r="35" spans="2:16" x14ac:dyDescent="0.25">
      <c r="B35" s="34" t="s">
        <v>1279</v>
      </c>
      <c r="C35" s="31" t="e">
        <f>SUM(SUMIFS(#REF!,#REF!,"S",#REF!,"cm",#REF!,"F",#REF!,{"11111*";"1121*";"11131*";"114*"},#REF!,"&gt;=750",#REF!,"&lt;=799",#REF!,"&lt;&gt;759",#REF!,"&lt;&gt;754",#REF!,"&lt;&gt;755",#REF!,"&lt;&gt;756"))</f>
        <v>#REF!</v>
      </c>
      <c r="D35" s="31" t="e">
        <f>SUMIFS(#REF!,#REF!,"&lt;"&amp;YEAR(paramDataBase),#REF!,"cm",#REF!,"&gt;=750",#REF!,"&lt;=799",#REF!,"&lt;&gt;754",#REF!,"&lt;&gt;755",#REF!,"&lt;&gt;756",#REF!,"&lt;&gt;759")+SUMIFS(#REF!,#REF!,"&lt;"&amp;YEAR(paramDataBase),#REF!,"cm",#REF!,"&gt;=750",#REF!,"&lt;=799",#REF!,"&lt;&gt;754",#REF!,"&lt;&gt;755",#REF!,"&lt;&gt;756",#REF!,"&lt;&gt;759")</f>
        <v>#REF!</v>
      </c>
      <c r="E35" s="31" t="e">
        <f>SUMIFS(#REF!,#REF!,YEAR(paramDataBase),#REF!,"cm",#REF!,"&gt;=750",#REF!,"&lt;=799",#REF!,"&lt;&gt;754",#REF!,"&lt;&gt;755",#REF!,"&lt;&gt;756",#REF!,"&lt;&gt;759")</f>
        <v>#REF!</v>
      </c>
      <c r="F35" s="31" t="e">
        <f>SUMIFS(#REF!,#REF!,"&lt;"&amp;YEAR(paramDataBase),#REF!,"cm",#REF!,"&gt;=750",#REF!,"&lt;=799",#REF!,"&lt;&gt;754",#REF!,"&lt;&gt;755",#REF!,"&lt;&gt;756",#REF!,"&lt;&gt;759")</f>
        <v>#REF!</v>
      </c>
      <c r="G35" s="31"/>
      <c r="H35" s="31"/>
      <c r="I35" s="31" t="e">
        <f t="shared" si="1"/>
        <v>#REF!</v>
      </c>
      <c r="J35" s="31" t="e">
        <f>SUMIFS(#REF!,#REF!,YEAR(paramDataBase),#REF!,"cm",#REF!,"&gt;=750",#REF!,"&lt;=799",#REF!,"&lt;&gt;754",#REF!,"&lt;&gt;755",#REF!,"&lt;&gt;756",#REF!,"&lt;&gt;759")</f>
        <v>#REF!</v>
      </c>
      <c r="K35" s="31"/>
      <c r="L35" s="32" t="e">
        <f t="shared" si="2"/>
        <v>#REF!</v>
      </c>
    </row>
    <row r="36" spans="2:16" x14ac:dyDescent="0.25">
      <c r="B36" s="219" t="s">
        <v>1280</v>
      </c>
      <c r="C36" s="149" t="e">
        <f>SUM(SUMIFS(#REF!,#REF!,"S",#REF!,"cm",#REF!,"F",#REF!,{"11111*";"1121*";"11131*";"114*"},#REF!,"&gt;=860",#REF!,"&lt;=869"))</f>
        <v>#REF!</v>
      </c>
      <c r="D36" s="149" t="e">
        <f>SUMIFS(#REF!,#REF!,"&lt;"&amp;YEAR(paramDataBase),#REF!,"cm",#REF!,"&gt;=860",#REF!,"&lt;=869")+SUMIFS(#REF!,#REF!,"&lt;"&amp;YEAR(paramDataBase),#REF!,"cm",#REF!,"&gt;=860",#REF!,"&lt;=869")</f>
        <v>#REF!</v>
      </c>
      <c r="E36" s="149" t="e">
        <f>SUMIFS(#REF!,#REF!,YEAR(paramDataBase),#REF!,"cm",#REF!,"&gt;=860",#REF!,"&lt;=869")</f>
        <v>#REF!</v>
      </c>
      <c r="F36" s="149" t="e">
        <f>SUMIFS(#REF!,#REF!,"&lt;"&amp;YEAR(paramDataBase),#REF!,"cm",#REF!,"&gt;=860",#REF!,"&lt;=869")</f>
        <v>#REF!</v>
      </c>
      <c r="G36" s="149"/>
      <c r="H36" s="149"/>
      <c r="I36" s="149" t="e">
        <f t="shared" si="1"/>
        <v>#REF!</v>
      </c>
      <c r="J36" s="149" t="e">
        <f>SUMIFS(#REF!,#REF!,YEAR(paramDataBase),#REF!,"cm",#REF!,"&gt;=860",#REF!,"&lt;=869")</f>
        <v>#REF!</v>
      </c>
      <c r="K36" s="149"/>
      <c r="L36" s="150" t="e">
        <f t="shared" si="2"/>
        <v>#REF!</v>
      </c>
    </row>
    <row r="37" spans="2:16" x14ac:dyDescent="0.25">
      <c r="B37" s="219" t="s">
        <v>1281</v>
      </c>
      <c r="C37" s="149" t="e">
        <f>SUM(SUMIFS(#REF!,#REF!,"S",#REF!,"cm",#REF!,"F",#REF!,{"11111*";"1121*";"11131*";"114*"},#REF!,"&gt;=880",#REF!,"&lt;=899"))</f>
        <v>#REF!</v>
      </c>
      <c r="D37" s="149" t="e">
        <f>SUMIFS(#REF!,#REF!,"&lt;"&amp;YEAR(paramDataBase),#REF!,"cm",#REF!,"&gt;=880",#REF!,"&lt;=899")+SUMIFS(#REF!,#REF!,"&lt;"&amp;YEAR(paramDataBase),#REF!,"cm",#REF!,"&gt;=880",#REF!,"&lt;=899")</f>
        <v>#REF!</v>
      </c>
      <c r="E37" s="149" t="e">
        <f>SUMIFS(#REF!,#REF!,YEAR(paramDataBase),#REF!,"cm",#REF!,"&gt;=880",#REF!,"&lt;=899")</f>
        <v>#REF!</v>
      </c>
      <c r="F37" s="149" t="e">
        <f>SUMIFS(#REF!,#REF!,"&lt;"&amp;YEAR(paramDataBase),#REF!,"cm",#REF!,"&gt;=880",#REF!,"&lt;=899")</f>
        <v>#REF!</v>
      </c>
      <c r="G37" s="149" t="e">
        <f>SUMIFS(#REF!,#REF!,"cm",#REF!,"S",#REF!,"2188*",#REF!,"&gt;="&amp;860,#REF!,"&lt;="&amp;869)</f>
        <v>#REF!</v>
      </c>
      <c r="H37" s="149"/>
      <c r="I37" s="149" t="e">
        <f t="shared" si="1"/>
        <v>#REF!</v>
      </c>
      <c r="J37" s="149" t="e">
        <f>SUMIFS(#REF!,#REF!,YEAR(paramDataBase),#REF!,"cm",#REF!,"&gt;=880",#REF!,"&lt;=899")</f>
        <v>#REF!</v>
      </c>
      <c r="K37" s="149"/>
      <c r="L37" s="150" t="e">
        <f t="shared" si="2"/>
        <v>#REF!</v>
      </c>
    </row>
    <row r="38" spans="2:16" x14ac:dyDescent="0.25">
      <c r="B38" s="220" t="s">
        <v>1282</v>
      </c>
      <c r="C38" s="90">
        <f t="shared" ref="C38:H38" si="8">SUM(C39:C41)</f>
        <v>0</v>
      </c>
      <c r="D38" s="90">
        <f t="shared" si="8"/>
        <v>0</v>
      </c>
      <c r="E38" s="90">
        <f t="shared" si="8"/>
        <v>0</v>
      </c>
      <c r="F38" s="90">
        <f t="shared" si="8"/>
        <v>0</v>
      </c>
      <c r="G38" s="90">
        <f t="shared" si="8"/>
        <v>0</v>
      </c>
      <c r="H38" s="90">
        <f t="shared" si="8"/>
        <v>0</v>
      </c>
      <c r="I38" s="90">
        <f t="shared" si="1"/>
        <v>0</v>
      </c>
      <c r="J38" s="90">
        <f>SUM(J39:J41)</f>
        <v>0</v>
      </c>
      <c r="K38" s="90">
        <f>SUM(K39:K41)</f>
        <v>0</v>
      </c>
      <c r="L38" s="91">
        <f t="shared" si="2"/>
        <v>0</v>
      </c>
    </row>
    <row r="39" spans="2:16" x14ac:dyDescent="0.25">
      <c r="B39" s="33" t="s">
        <v>1283</v>
      </c>
      <c r="C39" s="31"/>
      <c r="D39" s="31"/>
      <c r="E39" s="31"/>
      <c r="F39" s="31"/>
      <c r="G39" s="31"/>
      <c r="H39" s="31"/>
      <c r="I39" s="31">
        <f t="shared" si="1"/>
        <v>0</v>
      </c>
      <c r="J39" s="31"/>
      <c r="K39" s="31"/>
      <c r="L39" s="32">
        <f t="shared" si="2"/>
        <v>0</v>
      </c>
    </row>
    <row r="40" spans="2:16" x14ac:dyDescent="0.25">
      <c r="B40" s="33" t="s">
        <v>1284</v>
      </c>
      <c r="C40" s="31"/>
      <c r="D40" s="31"/>
      <c r="E40" s="31"/>
      <c r="F40" s="31"/>
      <c r="G40" s="31"/>
      <c r="H40" s="31"/>
      <c r="I40" s="31">
        <f t="shared" si="1"/>
        <v>0</v>
      </c>
      <c r="J40" s="31"/>
      <c r="K40" s="31"/>
      <c r="L40" s="32">
        <f t="shared" si="2"/>
        <v>0</v>
      </c>
    </row>
    <row r="41" spans="2:16" x14ac:dyDescent="0.25">
      <c r="B41" s="33" t="s">
        <v>1285</v>
      </c>
      <c r="C41" s="31"/>
      <c r="D41" s="31"/>
      <c r="E41" s="31"/>
      <c r="F41" s="31"/>
      <c r="G41" s="31"/>
      <c r="H41" s="31"/>
      <c r="I41" s="31">
        <f t="shared" si="1"/>
        <v>0</v>
      </c>
      <c r="J41" s="31"/>
      <c r="K41" s="31"/>
      <c r="L41" s="32">
        <f t="shared" si="2"/>
        <v>0</v>
      </c>
    </row>
    <row r="42" spans="2:16" x14ac:dyDescent="0.25">
      <c r="B42" s="137" t="s">
        <v>1286</v>
      </c>
      <c r="C42" s="158" t="e">
        <f t="shared" ref="C42:H42" si="9">C16+C19+C38</f>
        <v>#REF!</v>
      </c>
      <c r="D42" s="158" t="e">
        <f t="shared" si="9"/>
        <v>#REF!</v>
      </c>
      <c r="E42" s="158" t="e">
        <f t="shared" si="9"/>
        <v>#REF!</v>
      </c>
      <c r="F42" s="158" t="e">
        <f t="shared" si="9"/>
        <v>#REF!</v>
      </c>
      <c r="G42" s="158" t="e">
        <f t="shared" si="9"/>
        <v>#REF!</v>
      </c>
      <c r="H42" s="158">
        <f t="shared" si="9"/>
        <v>0</v>
      </c>
      <c r="I42" s="158" t="e">
        <f t="shared" si="1"/>
        <v>#REF!</v>
      </c>
      <c r="J42" s="158" t="e">
        <f>J16+J19+J38</f>
        <v>#REF!</v>
      </c>
      <c r="K42" s="158">
        <f>K16+K19+K38</f>
        <v>0</v>
      </c>
      <c r="L42" s="159" t="e">
        <f t="shared" si="2"/>
        <v>#REF!</v>
      </c>
    </row>
    <row r="43" spans="2:16" x14ac:dyDescent="0.25">
      <c r="B43" s="249" t="str">
        <f ca="1">_xlfn.CONCAT("Fonte: ",paramFonte,". Emissão em ",TEXT(NOW(),"dd/mm/aaaa \à\s hh:mm:ss"))</f>
        <v>Fonte: Sistema MS Excel + SIAPC/PAD, Unidade Responsável: Secretaria da Fazenda / Setor de Contabilidade. Emissão em 09/05/2024 às 09:42:51</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paramNomePresidente</f>
        <v>HENRIQUE LUIZ GRESELE SZARESKI</v>
      </c>
      <c r="D59" s="247"/>
      <c r="E59" s="247"/>
    </row>
    <row r="60" spans="2:5" x14ac:dyDescent="0.25">
      <c r="B60" t="str">
        <f>paramCargoControleInterno</f>
        <v>Controlador Interno</v>
      </c>
      <c r="C60" s="247" t="str">
        <f>paramCargoPresidente</f>
        <v>Presidente da Câmara de Vereadores</v>
      </c>
      <c r="D60" s="247"/>
      <c r="E60" s="247"/>
    </row>
  </sheetData>
  <mergeCells count="18">
    <mergeCell ref="C60:E60"/>
    <mergeCell ref="B9:D9"/>
    <mergeCell ref="B10:B15"/>
    <mergeCell ref="D10:G10"/>
    <mergeCell ref="D11:E11"/>
    <mergeCell ref="B43:E43"/>
    <mergeCell ref="B46:E46"/>
    <mergeCell ref="B47:E47"/>
    <mergeCell ref="B48:L48"/>
    <mergeCell ref="C53:E53"/>
    <mergeCell ref="C54:E54"/>
    <mergeCell ref="C59:E59"/>
    <mergeCell ref="B7:E7"/>
    <mergeCell ref="B2:E2"/>
    <mergeCell ref="B3:E3"/>
    <mergeCell ref="B4:E4"/>
    <mergeCell ref="B5:E5"/>
    <mergeCell ref="B6:E6"/>
  </mergeCells>
  <pageMargins left="0.23622047244093999" right="0.23622047244093999" top="0.74803149606299002" bottom="0.74803149606299002" header="0.31496062992126" footer="0.31496062992126"/>
  <pageSetup paperSize="9" scale="8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A9A03-F4C6-4CB9-A558-0843E061943D}">
  <sheetPr>
    <tabColor rgb="FF548135"/>
  </sheetPr>
  <dimension ref="B4:D10"/>
  <sheetViews>
    <sheetView workbookViewId="0">
      <selection activeCell="A9" sqref="A9"/>
    </sheetView>
  </sheetViews>
  <sheetFormatPr defaultRowHeight="15" x14ac:dyDescent="0.25"/>
  <cols>
    <col min="2" max="2" width="93.28515625" bestFit="1" customWidth="1"/>
    <col min="3" max="3" width="24.28515625" bestFit="1" customWidth="1"/>
    <col min="4" max="4" width="23.28515625" bestFit="1" customWidth="1"/>
  </cols>
  <sheetData>
    <row r="4" spans="2:4" x14ac:dyDescent="0.25">
      <c r="B4" s="227" t="s">
        <v>746</v>
      </c>
      <c r="C4" s="13" t="s">
        <v>747</v>
      </c>
      <c r="D4" s="13" t="s">
        <v>736</v>
      </c>
    </row>
    <row r="5" spans="2:4" x14ac:dyDescent="0.25">
      <c r="B5" s="228"/>
      <c r="C5" s="8" t="s">
        <v>750</v>
      </c>
      <c r="D5" s="8" t="s">
        <v>751</v>
      </c>
    </row>
    <row r="6" spans="2:4" x14ac:dyDescent="0.25">
      <c r="B6" s="228"/>
      <c r="C6" s="8" t="s">
        <v>756</v>
      </c>
      <c r="D6" s="8"/>
    </row>
    <row r="7" spans="2:4" x14ac:dyDescent="0.25">
      <c r="B7" s="229"/>
      <c r="C7" s="11" t="s">
        <v>760</v>
      </c>
      <c r="D7" s="11" t="s">
        <v>761</v>
      </c>
    </row>
    <row r="8" spans="2:4" x14ac:dyDescent="0.25">
      <c r="B8" s="70" t="s">
        <v>764</v>
      </c>
      <c r="C8" s="71">
        <f t="shared" ref="C8:D8" si="0">SUM(C9:C10)</f>
        <v>0</v>
      </c>
      <c r="D8" s="71">
        <f t="shared" si="0"/>
        <v>0</v>
      </c>
    </row>
    <row r="9" spans="2:4" x14ac:dyDescent="0.25">
      <c r="B9" s="33" t="s">
        <v>765</v>
      </c>
      <c r="C9" s="225">
        <v>0</v>
      </c>
      <c r="D9" s="225">
        <v>0</v>
      </c>
    </row>
    <row r="10" spans="2:4" ht="15.75" thickBot="1" x14ac:dyDescent="0.3">
      <c r="B10" s="61"/>
      <c r="C10" s="22"/>
      <c r="D10" s="22"/>
    </row>
  </sheetData>
  <mergeCells count="1">
    <mergeCell ref="B4:B7"/>
  </mergeCells>
  <pageMargins left="0.511811024" right="0.511811024" top="0.78740157499999996" bottom="0.78740157499999996" header="0.31496062000000002" footer="0.3149606200000000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853C0C"/>
    <pageSetUpPr fitToPage="1"/>
  </sheetPr>
  <dimension ref="B2:E36"/>
  <sheetViews>
    <sheetView topLeftCell="A7" workbookViewId="0">
      <selection activeCell="B27" sqref="B27"/>
    </sheetView>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634</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ht="15.75" customHeight="1" x14ac:dyDescent="0.25">
      <c r="B11" s="274" t="s">
        <v>1050</v>
      </c>
      <c r="C11" s="275"/>
      <c r="D11" s="96">
        <f>'RREO A3'!O46</f>
        <v>0</v>
      </c>
    </row>
    <row r="12" spans="2:5" ht="15.75" customHeight="1" x14ac:dyDescent="0.25"/>
    <row r="13" spans="2:5" x14ac:dyDescent="0.25">
      <c r="B13" s="48" t="s">
        <v>1097</v>
      </c>
      <c r="C13" s="47" t="s">
        <v>488</v>
      </c>
      <c r="D13" s="25" t="s">
        <v>1117</v>
      </c>
    </row>
    <row r="14" spans="2:5" x14ac:dyDescent="0.25">
      <c r="B14" s="57" t="s">
        <v>1293</v>
      </c>
      <c r="C14" s="31">
        <f>SUM('RGF A1 Leg'!K39:N39)</f>
        <v>0</v>
      </c>
      <c r="D14" s="83" t="e">
        <f>'RGF A1 Leg'!O39</f>
        <v>#DIV/0!</v>
      </c>
    </row>
    <row r="15" spans="2:5" x14ac:dyDescent="0.25">
      <c r="B15" s="57" t="s">
        <v>1294</v>
      </c>
      <c r="C15" s="31">
        <f>SUM('RGF A1 Leg'!K40:N40)</f>
        <v>0</v>
      </c>
      <c r="D15" s="83">
        <f>'RGF A1 Leg'!O40</f>
        <v>0.06</v>
      </c>
    </row>
    <row r="16" spans="2:5" x14ac:dyDescent="0.25">
      <c r="B16" s="57" t="s">
        <v>1295</v>
      </c>
      <c r="C16" s="31">
        <f>SUM('RGF A1 Leg'!K41:N41)</f>
        <v>0</v>
      </c>
      <c r="D16" s="83">
        <f>'RGF A1 Leg'!O41</f>
        <v>5.6999999999999995E-2</v>
      </c>
    </row>
    <row r="17" spans="2:4" ht="15.75" customHeight="1" x14ac:dyDescent="0.25">
      <c r="B17" s="21" t="s">
        <v>1296</v>
      </c>
      <c r="C17" s="22">
        <f>SUM('RGF A1 Leg'!K42:N42)</f>
        <v>0</v>
      </c>
      <c r="D17" s="102">
        <f>'RGF A1 Leg'!O42</f>
        <v>5.3999999999999999E-2</v>
      </c>
    </row>
    <row r="18" spans="2:4" ht="15.75" customHeight="1" x14ac:dyDescent="0.25"/>
    <row r="19" spans="2:4" ht="60" customHeight="1" x14ac:dyDescent="0.25">
      <c r="B19" s="203" t="s">
        <v>260</v>
      </c>
      <c r="C19" s="222" t="s">
        <v>1306</v>
      </c>
      <c r="D19" s="223" t="s">
        <v>1307</v>
      </c>
    </row>
    <row r="20" spans="2:4" ht="15.75" customHeight="1" x14ac:dyDescent="0.25">
      <c r="B20" s="21" t="s">
        <v>1308</v>
      </c>
      <c r="C20" s="22">
        <f>'RGF A5 Leg 2 Sem'!J38</f>
        <v>0</v>
      </c>
      <c r="D20" s="23" t="e">
        <f>'RGF A5 Leg 2 Sem'!L42</f>
        <v>#REF!</v>
      </c>
    </row>
    <row r="21" spans="2:4" x14ac:dyDescent="0.25">
      <c r="B21" s="249" t="str">
        <f ca="1">_xlfn.CONCAT("Fonte: ",paramFonte,". Emissão em ",TEXT(NOW(),"dd/mm/aaaa \à\s hh:mm:ss"))</f>
        <v>Fonte: Sistema MS Excel + SIAPC/PAD, Unidade Responsável: Secretaria da Fazenda / Setor de Contabilidade. Emissão em 09/05/2024 às 09:42:51</v>
      </c>
      <c r="C21" s="249"/>
      <c r="D21" s="249"/>
    </row>
    <row r="23" spans="2:4" x14ac:dyDescent="0.25">
      <c r="B23" t="s">
        <v>253</v>
      </c>
    </row>
    <row r="24" spans="2:4" x14ac:dyDescent="0.25">
      <c r="B24" s="247" t="str">
        <f>IFERROR(_xlfn.CONCAT(_xlfn._xlws.FILTER(tblNotasExplicativas[Nota Com Separador],tblNotasExplicativas[Demonstrativo]="RGF A6 Leg 2Sem")),"")</f>
        <v/>
      </c>
      <c r="C24" s="247"/>
      <c r="D24" s="247"/>
    </row>
    <row r="29" spans="2:4" x14ac:dyDescent="0.25">
      <c r="B29" t="str">
        <f>paramNomeContador</f>
        <v>EVERTON DA ROSA</v>
      </c>
      <c r="C29" s="247" t="str">
        <f>paramNomeSecretario</f>
        <v>ANA PAULA RODRIGUES SCHNEIDER SCHMIDT</v>
      </c>
      <c r="D29" s="247"/>
    </row>
    <row r="30" spans="2:4" x14ac:dyDescent="0.25">
      <c r="B30" t="str">
        <f>paramCargoContador</f>
        <v>Contador</v>
      </c>
      <c r="C30" s="247" t="str">
        <f>paramCargoSecretario</f>
        <v>Secretária da Fazenda</v>
      </c>
      <c r="D30" s="247"/>
    </row>
    <row r="31" spans="2:4" x14ac:dyDescent="0.25">
      <c r="B31" t="str">
        <f>_xlfn.CONCAT("CRC ",paramCRCContador)</f>
        <v>CRC 076595/O-3</v>
      </c>
      <c r="C31" s="46"/>
      <c r="D31" s="46"/>
    </row>
    <row r="32" spans="2:4" x14ac:dyDescent="0.25">
      <c r="C32" s="46"/>
      <c r="D32" s="46"/>
    </row>
    <row r="33" spans="2:4" x14ac:dyDescent="0.25">
      <c r="C33" s="46"/>
      <c r="D33" s="46"/>
    </row>
    <row r="34" spans="2:4" x14ac:dyDescent="0.25">
      <c r="C34" s="46"/>
      <c r="D34" s="46"/>
    </row>
    <row r="35" spans="2:4" x14ac:dyDescent="0.25">
      <c r="B35" t="str">
        <f>paramNomeControleInterno</f>
        <v>JEAN LENON CORO MONTEIRO</v>
      </c>
      <c r="C35" s="247" t="str">
        <f>paramNomePresidente</f>
        <v>HENRIQUE LUIZ GRESELE SZARESKI</v>
      </c>
      <c r="D35" s="247"/>
    </row>
    <row r="36" spans="2:4" x14ac:dyDescent="0.25">
      <c r="B36" t="str">
        <f>paramCargoControleInterno</f>
        <v>Controlador Interno</v>
      </c>
      <c r="C36" s="247" t="str">
        <f>paramCargoPresidente</f>
        <v>Presidente da Câmara de Vereadores</v>
      </c>
      <c r="D36" s="247"/>
    </row>
  </sheetData>
  <mergeCells count="15">
    <mergeCell ref="B9:C9"/>
    <mergeCell ref="B10:C10"/>
    <mergeCell ref="B11:C11"/>
    <mergeCell ref="B21:D21"/>
    <mergeCell ref="B2:D2"/>
    <mergeCell ref="B3:D3"/>
    <mergeCell ref="B4:D4"/>
    <mergeCell ref="B5:D5"/>
    <mergeCell ref="B6:D6"/>
    <mergeCell ref="B7:D7"/>
    <mergeCell ref="B24:D24"/>
    <mergeCell ref="C29:D29"/>
    <mergeCell ref="C30:D30"/>
    <mergeCell ref="C35:D35"/>
    <mergeCell ref="C36:D36"/>
  </mergeCells>
  <pageMargins left="0.25" right="0.25" top="0.75" bottom="0.75" header="0.3" footer="0.3"/>
  <pageSetup paperSize="9" scale="64"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53C0C"/>
    <pageSetUpPr fitToPage="1"/>
  </sheetPr>
  <dimension ref="B2:P52"/>
  <sheetViews>
    <sheetView workbookViewId="0"/>
  </sheetViews>
  <sheetFormatPr defaultRowHeight="15" x14ac:dyDescent="0.25"/>
  <cols>
    <col min="2" max="2" width="63.85546875" customWidth="1"/>
    <col min="3" max="14" width="12.42578125" customWidth="1"/>
    <col min="15" max="15" width="18.140625" customWidth="1"/>
    <col min="16" max="16" width="18.7109375" customWidth="1"/>
  </cols>
  <sheetData>
    <row r="2" spans="2:16" x14ac:dyDescent="0.25">
      <c r="B2" s="247" t="str">
        <f>paramEnte</f>
        <v>Município de Independência - RS</v>
      </c>
      <c r="C2" s="247"/>
      <c r="D2" s="247"/>
      <c r="E2" s="247"/>
      <c r="F2" s="247"/>
      <c r="G2" s="247"/>
      <c r="H2" s="247"/>
      <c r="I2" s="247"/>
      <c r="J2" s="247"/>
      <c r="K2" s="247"/>
      <c r="L2" s="247"/>
      <c r="M2" s="247"/>
      <c r="N2" s="247"/>
      <c r="O2" s="247"/>
      <c r="P2" s="247"/>
    </row>
    <row r="3" spans="2:16" x14ac:dyDescent="0.25">
      <c r="B3" s="247" t="s">
        <v>1309</v>
      </c>
      <c r="C3" s="247"/>
      <c r="D3" s="247"/>
      <c r="E3" s="247"/>
      <c r="F3" s="247"/>
      <c r="G3" s="247"/>
      <c r="H3" s="247"/>
      <c r="I3" s="247"/>
      <c r="J3" s="247"/>
      <c r="K3" s="247"/>
      <c r="L3" s="247"/>
      <c r="M3" s="247"/>
      <c r="N3" s="247"/>
      <c r="O3" s="247"/>
      <c r="P3" s="247"/>
    </row>
    <row r="4" spans="2:16" x14ac:dyDescent="0.25">
      <c r="B4" s="247" t="s">
        <v>1094</v>
      </c>
      <c r="C4" s="247"/>
      <c r="D4" s="247"/>
      <c r="E4" s="247"/>
      <c r="F4" s="247"/>
      <c r="G4" s="247"/>
      <c r="H4" s="247"/>
      <c r="I4" s="247"/>
      <c r="J4" s="247"/>
      <c r="K4" s="247"/>
      <c r="L4" s="247"/>
      <c r="M4" s="247"/>
      <c r="N4" s="247"/>
      <c r="O4" s="247"/>
      <c r="P4" s="247"/>
    </row>
    <row r="5" spans="2:16" x14ac:dyDescent="0.25">
      <c r="B5" s="248" t="s">
        <v>1095</v>
      </c>
      <c r="C5" s="248"/>
      <c r="D5" s="248"/>
      <c r="E5" s="248"/>
      <c r="F5" s="248"/>
      <c r="G5" s="248"/>
      <c r="H5" s="248"/>
      <c r="I5" s="248"/>
      <c r="J5" s="248"/>
      <c r="K5" s="248"/>
      <c r="L5" s="248"/>
      <c r="M5" s="248"/>
      <c r="N5" s="248"/>
      <c r="O5" s="248"/>
      <c r="P5" s="248"/>
    </row>
    <row r="6" spans="2:16" x14ac:dyDescent="0.25">
      <c r="B6" s="247" t="s">
        <v>127</v>
      </c>
      <c r="C6" s="247"/>
      <c r="D6" s="247"/>
      <c r="E6" s="247"/>
      <c r="F6" s="247"/>
      <c r="G6" s="247"/>
      <c r="H6" s="247"/>
      <c r="I6" s="247"/>
      <c r="J6" s="247"/>
      <c r="K6" s="247"/>
      <c r="L6" s="247"/>
      <c r="M6" s="247"/>
      <c r="N6" s="247"/>
      <c r="O6" s="247"/>
      <c r="P6" s="247"/>
    </row>
    <row r="7" spans="2:16" x14ac:dyDescent="0.25">
      <c r="B7" s="249" t="str">
        <f>UPPER(TEXT(paramDataBase,"mmmm \d\e aaaa"))</f>
        <v>JANEIRO DE 1900</v>
      </c>
      <c r="C7" s="249"/>
      <c r="D7" s="249"/>
      <c r="E7" s="249"/>
      <c r="F7" s="249"/>
      <c r="G7" s="249"/>
      <c r="H7" s="249"/>
      <c r="I7" s="249"/>
      <c r="J7" s="249"/>
      <c r="K7" s="249"/>
      <c r="L7" s="249"/>
      <c r="M7" s="249"/>
      <c r="N7" s="249"/>
      <c r="O7" s="249"/>
      <c r="P7" s="249"/>
    </row>
    <row r="9" spans="2:16" ht="15.75" customHeight="1" x14ac:dyDescent="0.25">
      <c r="B9" s="250" t="s">
        <v>1096</v>
      </c>
      <c r="C9" s="250"/>
      <c r="D9" s="250"/>
      <c r="E9" s="250"/>
      <c r="F9" s="250"/>
      <c r="G9" s="250"/>
      <c r="H9" s="250"/>
      <c r="I9" s="250"/>
      <c r="J9" s="250"/>
      <c r="K9" s="250"/>
      <c r="L9" s="250"/>
      <c r="M9" s="250"/>
      <c r="N9" s="250"/>
      <c r="O9" s="250"/>
      <c r="P9" s="146">
        <v>1</v>
      </c>
    </row>
    <row r="10" spans="2:16" x14ac:dyDescent="0.25">
      <c r="B10" s="402" t="s">
        <v>1097</v>
      </c>
      <c r="C10" s="253" t="s">
        <v>1098</v>
      </c>
      <c r="D10" s="253"/>
      <c r="E10" s="253"/>
      <c r="F10" s="253"/>
      <c r="G10" s="253"/>
      <c r="H10" s="253"/>
      <c r="I10" s="253"/>
      <c r="J10" s="253"/>
      <c r="K10" s="253"/>
      <c r="L10" s="253"/>
      <c r="M10" s="253"/>
      <c r="N10" s="253"/>
      <c r="O10" s="253"/>
      <c r="P10" s="255"/>
    </row>
    <row r="11" spans="2:16" x14ac:dyDescent="0.25">
      <c r="B11" s="403"/>
      <c r="C11" s="324" t="s">
        <v>1099</v>
      </c>
      <c r="D11" s="324"/>
      <c r="E11" s="324"/>
      <c r="F11" s="324"/>
      <c r="G11" s="324"/>
      <c r="H11" s="324"/>
      <c r="I11" s="324"/>
      <c r="J11" s="324"/>
      <c r="K11" s="324"/>
      <c r="L11" s="324"/>
      <c r="M11" s="324"/>
      <c r="N11" s="324"/>
      <c r="O11" s="324"/>
      <c r="P11" s="325"/>
    </row>
    <row r="12" spans="2:16" x14ac:dyDescent="0.25">
      <c r="B12" s="403"/>
      <c r="C12" s="324" t="s">
        <v>474</v>
      </c>
      <c r="D12" s="324"/>
      <c r="E12" s="324"/>
      <c r="F12" s="324"/>
      <c r="G12" s="324"/>
      <c r="H12" s="324"/>
      <c r="I12" s="324"/>
      <c r="J12" s="324"/>
      <c r="K12" s="324"/>
      <c r="L12" s="324"/>
      <c r="M12" s="324"/>
      <c r="N12" s="324"/>
      <c r="O12" s="324"/>
      <c r="P12" s="10" t="s">
        <v>708</v>
      </c>
    </row>
    <row r="13" spans="2:16" x14ac:dyDescent="0.25">
      <c r="B13" s="403"/>
      <c r="C13" s="8"/>
      <c r="D13" s="8"/>
      <c r="E13" s="8"/>
      <c r="F13" s="8"/>
      <c r="G13" s="8"/>
      <c r="H13" s="8"/>
      <c r="I13" s="8"/>
      <c r="J13" s="8"/>
      <c r="K13" s="8"/>
      <c r="L13" s="8"/>
      <c r="M13" s="8"/>
      <c r="N13" s="8"/>
      <c r="O13" s="8" t="s">
        <v>415</v>
      </c>
      <c r="P13" s="10" t="s">
        <v>260</v>
      </c>
    </row>
    <row r="14" spans="2:16" x14ac:dyDescent="0.25">
      <c r="B14" s="403"/>
      <c r="C14" s="8"/>
      <c r="D14" s="8"/>
      <c r="E14" s="8"/>
      <c r="F14" s="8"/>
      <c r="G14" s="8"/>
      <c r="H14" s="8"/>
      <c r="I14" s="8"/>
      <c r="J14" s="8"/>
      <c r="K14" s="8"/>
      <c r="L14" s="8"/>
      <c r="M14" s="8"/>
      <c r="N14" s="8"/>
      <c r="O14" s="8" t="s">
        <v>1099</v>
      </c>
      <c r="P14" s="10" t="s">
        <v>1100</v>
      </c>
    </row>
    <row r="15" spans="2:16" x14ac:dyDescent="0.25">
      <c r="B15" s="404"/>
      <c r="C15" s="147" t="e">
        <f t="shared" ref="C15:M15" si="0">EOMONTH(D15,-1)</f>
        <v>#NUM!</v>
      </c>
      <c r="D15" s="147" t="e">
        <f t="shared" si="0"/>
        <v>#NUM!</v>
      </c>
      <c r="E15" s="147" t="e">
        <f t="shared" si="0"/>
        <v>#NUM!</v>
      </c>
      <c r="F15" s="147" t="e">
        <f t="shared" si="0"/>
        <v>#NUM!</v>
      </c>
      <c r="G15" s="147" t="e">
        <f t="shared" si="0"/>
        <v>#NUM!</v>
      </c>
      <c r="H15" s="147" t="e">
        <f t="shared" si="0"/>
        <v>#NUM!</v>
      </c>
      <c r="I15" s="147" t="e">
        <f t="shared" si="0"/>
        <v>#NUM!</v>
      </c>
      <c r="J15" s="147" t="e">
        <f t="shared" si="0"/>
        <v>#NUM!</v>
      </c>
      <c r="K15" s="147" t="e">
        <f t="shared" si="0"/>
        <v>#NUM!</v>
      </c>
      <c r="L15" s="147" t="e">
        <f t="shared" si="0"/>
        <v>#NUM!</v>
      </c>
      <c r="M15" s="147" t="e">
        <f t="shared" si="0"/>
        <v>#NUM!</v>
      </c>
      <c r="N15" s="147">
        <f>paramDataBase</f>
        <v>0</v>
      </c>
      <c r="O15" s="11" t="s">
        <v>138</v>
      </c>
      <c r="P15" s="12" t="s">
        <v>139</v>
      </c>
    </row>
    <row r="16" spans="2:16" x14ac:dyDescent="0.25">
      <c r="B16" s="70" t="s">
        <v>1101</v>
      </c>
      <c r="C16" s="71">
        <f>'RGF A1 Exec'!C16+'RGF A1 Leg'!C16</f>
        <v>0</v>
      </c>
      <c r="D16" s="71">
        <f>'RGF A1 Exec'!D16+'RGF A1 Leg'!D16</f>
        <v>0</v>
      </c>
      <c r="E16" s="71">
        <f>'RGF A1 Exec'!E16+'RGF A1 Leg'!E16</f>
        <v>0</v>
      </c>
      <c r="F16" s="71">
        <f>'RGF A1 Exec'!F16+'RGF A1 Leg'!F16</f>
        <v>0</v>
      </c>
      <c r="G16" s="71">
        <f>'RGF A1 Exec'!G16+'RGF A1 Leg'!G16</f>
        <v>0</v>
      </c>
      <c r="H16" s="71">
        <f>'RGF A1 Exec'!H16+'RGF A1 Leg'!H16</f>
        <v>0</v>
      </c>
      <c r="I16" s="71">
        <f>'RGF A1 Exec'!I16+'RGF A1 Leg'!I16</f>
        <v>0</v>
      </c>
      <c r="J16" s="71">
        <f>'RGF A1 Exec'!J16+'RGF A1 Leg'!J16</f>
        <v>0</v>
      </c>
      <c r="K16" s="71">
        <f>'RGF A1 Exec'!K16+'RGF A1 Leg'!K16</f>
        <v>0</v>
      </c>
      <c r="L16" s="71">
        <f>'RGF A1 Exec'!L16+'RGF A1 Leg'!L16</f>
        <v>0</v>
      </c>
      <c r="M16" s="71">
        <f>'RGF A1 Exec'!M16+'RGF A1 Leg'!M16</f>
        <v>0</v>
      </c>
      <c r="N16" s="71">
        <f>'RGF A1 Exec'!N16+'RGF A1 Leg'!N16</f>
        <v>0</v>
      </c>
      <c r="O16" s="71">
        <f>'RGF A1 Exec'!O16+'RGF A1 Leg'!O16</f>
        <v>0</v>
      </c>
      <c r="P16" s="72">
        <f>'RGF A1 Exec'!P16+'RGF A1 Leg'!P16</f>
        <v>0</v>
      </c>
    </row>
    <row r="17" spans="2:16" x14ac:dyDescent="0.25">
      <c r="B17" s="33" t="s">
        <v>1102</v>
      </c>
      <c r="C17" s="31">
        <f>'RGF A1 Exec'!C17+'RGF A1 Leg'!C17</f>
        <v>0</v>
      </c>
      <c r="D17" s="31">
        <f>'RGF A1 Exec'!D17+'RGF A1 Leg'!D17</f>
        <v>0</v>
      </c>
      <c r="E17" s="31">
        <f>'RGF A1 Exec'!E17+'RGF A1 Leg'!E17</f>
        <v>0</v>
      </c>
      <c r="F17" s="31">
        <f>'RGF A1 Exec'!F17+'RGF A1 Leg'!F17</f>
        <v>0</v>
      </c>
      <c r="G17" s="31">
        <f>'RGF A1 Exec'!G17+'RGF A1 Leg'!G17</f>
        <v>0</v>
      </c>
      <c r="H17" s="31">
        <f>'RGF A1 Exec'!H17+'RGF A1 Leg'!H17</f>
        <v>0</v>
      </c>
      <c r="I17" s="31">
        <f>'RGF A1 Exec'!I17+'RGF A1 Leg'!I17</f>
        <v>0</v>
      </c>
      <c r="J17" s="31">
        <f>'RGF A1 Exec'!J17+'RGF A1 Leg'!J17</f>
        <v>0</v>
      </c>
      <c r="K17" s="31">
        <f>'RGF A1 Exec'!K17+'RGF A1 Leg'!K17</f>
        <v>0</v>
      </c>
      <c r="L17" s="31">
        <f>'RGF A1 Exec'!L17+'RGF A1 Leg'!L17</f>
        <v>0</v>
      </c>
      <c r="M17" s="31">
        <f>'RGF A1 Exec'!M17+'RGF A1 Leg'!M17</f>
        <v>0</v>
      </c>
      <c r="N17" s="31">
        <f>'RGF A1 Exec'!N17+'RGF A1 Leg'!N17</f>
        <v>0</v>
      </c>
      <c r="O17" s="31">
        <f>'RGF A1 Exec'!O17+'RGF A1 Leg'!O17</f>
        <v>0</v>
      </c>
      <c r="P17" s="32">
        <f>'RGF A1 Exec'!P17+'RGF A1 Leg'!P17</f>
        <v>0</v>
      </c>
    </row>
    <row r="18" spans="2:16" x14ac:dyDescent="0.25">
      <c r="B18" s="34" t="s">
        <v>1103</v>
      </c>
      <c r="C18" s="31">
        <f>'RGF A1 Exec'!C18+'RGF A1 Leg'!C18</f>
        <v>0</v>
      </c>
      <c r="D18" s="31">
        <f>'RGF A1 Exec'!D18+'RGF A1 Leg'!D18</f>
        <v>0</v>
      </c>
      <c r="E18" s="31">
        <f>'RGF A1 Exec'!E18+'RGF A1 Leg'!E18</f>
        <v>0</v>
      </c>
      <c r="F18" s="31">
        <f>'RGF A1 Exec'!F18+'RGF A1 Leg'!F18</f>
        <v>0</v>
      </c>
      <c r="G18" s="31">
        <f>'RGF A1 Exec'!G18+'RGF A1 Leg'!G18</f>
        <v>0</v>
      </c>
      <c r="H18" s="31">
        <f>'RGF A1 Exec'!H18+'RGF A1 Leg'!H18</f>
        <v>0</v>
      </c>
      <c r="I18" s="31">
        <f>'RGF A1 Exec'!I18+'RGF A1 Leg'!I18</f>
        <v>0</v>
      </c>
      <c r="J18" s="31">
        <f>'RGF A1 Exec'!J18+'RGF A1 Leg'!J18</f>
        <v>0</v>
      </c>
      <c r="K18" s="31">
        <f>'RGF A1 Exec'!K18+'RGF A1 Leg'!K18</f>
        <v>0</v>
      </c>
      <c r="L18" s="31">
        <f>'RGF A1 Exec'!L18+'RGF A1 Leg'!L18</f>
        <v>0</v>
      </c>
      <c r="M18" s="31">
        <f>'RGF A1 Exec'!M18+'RGF A1 Leg'!M18</f>
        <v>0</v>
      </c>
      <c r="N18" s="31">
        <f>'RGF A1 Exec'!N18+'RGF A1 Leg'!N18</f>
        <v>0</v>
      </c>
      <c r="O18" s="31">
        <f>'RGF A1 Exec'!O18+'RGF A1 Leg'!O18</f>
        <v>0</v>
      </c>
      <c r="P18" s="32">
        <f>'RGF A1 Exec'!P18+'RGF A1 Leg'!P18</f>
        <v>0</v>
      </c>
    </row>
    <row r="19" spans="2:16" x14ac:dyDescent="0.25">
      <c r="B19" s="34" t="s">
        <v>1104</v>
      </c>
      <c r="C19" s="31">
        <f>'RGF A1 Exec'!C19+'RGF A1 Leg'!C19</f>
        <v>0</v>
      </c>
      <c r="D19" s="31">
        <f>'RGF A1 Exec'!D19+'RGF A1 Leg'!D19</f>
        <v>0</v>
      </c>
      <c r="E19" s="31">
        <f>'RGF A1 Exec'!E19+'RGF A1 Leg'!E19</f>
        <v>0</v>
      </c>
      <c r="F19" s="31">
        <f>'RGF A1 Exec'!F19+'RGF A1 Leg'!F19</f>
        <v>0</v>
      </c>
      <c r="G19" s="31">
        <f>'RGF A1 Exec'!G19+'RGF A1 Leg'!G19</f>
        <v>0</v>
      </c>
      <c r="H19" s="31">
        <f>'RGF A1 Exec'!H19+'RGF A1 Leg'!H19</f>
        <v>0</v>
      </c>
      <c r="I19" s="31">
        <f>'RGF A1 Exec'!I19+'RGF A1 Leg'!I19</f>
        <v>0</v>
      </c>
      <c r="J19" s="31">
        <f>'RGF A1 Exec'!J19+'RGF A1 Leg'!J19</f>
        <v>0</v>
      </c>
      <c r="K19" s="31">
        <f>'RGF A1 Exec'!K19+'RGF A1 Leg'!K19</f>
        <v>0</v>
      </c>
      <c r="L19" s="31">
        <f>'RGF A1 Exec'!L19+'RGF A1 Leg'!L19</f>
        <v>0</v>
      </c>
      <c r="M19" s="31">
        <f>'RGF A1 Exec'!M19+'RGF A1 Leg'!M19</f>
        <v>0</v>
      </c>
      <c r="N19" s="31">
        <f>'RGF A1 Exec'!N19+'RGF A1 Leg'!N19</f>
        <v>0</v>
      </c>
      <c r="O19" s="31">
        <f>'RGF A1 Exec'!O19+'RGF A1 Leg'!O19</f>
        <v>0</v>
      </c>
      <c r="P19" s="32">
        <f>'RGF A1 Exec'!P19+'RGF A1 Leg'!P19</f>
        <v>0</v>
      </c>
    </row>
    <row r="20" spans="2:16" x14ac:dyDescent="0.25">
      <c r="B20" s="33" t="s">
        <v>1105</v>
      </c>
      <c r="C20" s="31">
        <f>'RGF A1 Exec'!C20+'RGF A1 Leg'!C20</f>
        <v>0</v>
      </c>
      <c r="D20" s="31">
        <f>'RGF A1 Exec'!D20+'RGF A1 Leg'!D20</f>
        <v>0</v>
      </c>
      <c r="E20" s="31">
        <f>'RGF A1 Exec'!E20+'RGF A1 Leg'!E20</f>
        <v>0</v>
      </c>
      <c r="F20" s="31">
        <f>'RGF A1 Exec'!F20+'RGF A1 Leg'!F20</f>
        <v>0</v>
      </c>
      <c r="G20" s="31">
        <f>'RGF A1 Exec'!G20+'RGF A1 Leg'!G20</f>
        <v>0</v>
      </c>
      <c r="H20" s="31">
        <f>'RGF A1 Exec'!H20+'RGF A1 Leg'!H20</f>
        <v>0</v>
      </c>
      <c r="I20" s="31">
        <f>'RGF A1 Exec'!I20+'RGF A1 Leg'!I20</f>
        <v>0</v>
      </c>
      <c r="J20" s="31">
        <f>'RGF A1 Exec'!J20+'RGF A1 Leg'!J20</f>
        <v>0</v>
      </c>
      <c r="K20" s="31">
        <f>'RGF A1 Exec'!K20+'RGF A1 Leg'!K20</f>
        <v>0</v>
      </c>
      <c r="L20" s="31">
        <f>'RGF A1 Exec'!L20+'RGF A1 Leg'!L20</f>
        <v>0</v>
      </c>
      <c r="M20" s="31">
        <f>'RGF A1 Exec'!M20+'RGF A1 Leg'!M20</f>
        <v>0</v>
      </c>
      <c r="N20" s="31">
        <f>'RGF A1 Exec'!N20+'RGF A1 Leg'!N20</f>
        <v>0</v>
      </c>
      <c r="O20" s="31">
        <f>'RGF A1 Exec'!O20+'RGF A1 Leg'!O20</f>
        <v>0</v>
      </c>
      <c r="P20" s="32">
        <f>'RGF A1 Exec'!P20+'RGF A1 Leg'!P20</f>
        <v>0</v>
      </c>
    </row>
    <row r="21" spans="2:16" x14ac:dyDescent="0.25">
      <c r="B21" s="34" t="s">
        <v>1106</v>
      </c>
      <c r="C21" s="31">
        <f>'RGF A1 Exec'!C21+'RGF A1 Leg'!C21</f>
        <v>0</v>
      </c>
      <c r="D21" s="31">
        <f>'RGF A1 Exec'!D21+'RGF A1 Leg'!D21</f>
        <v>0</v>
      </c>
      <c r="E21" s="31">
        <f>'RGF A1 Exec'!E21+'RGF A1 Leg'!E21</f>
        <v>0</v>
      </c>
      <c r="F21" s="31">
        <f>'RGF A1 Exec'!F21+'RGF A1 Leg'!F21</f>
        <v>0</v>
      </c>
      <c r="G21" s="31">
        <f>'RGF A1 Exec'!G21+'RGF A1 Leg'!G21</f>
        <v>0</v>
      </c>
      <c r="H21" s="31">
        <f>'RGF A1 Exec'!H21+'RGF A1 Leg'!H21</f>
        <v>0</v>
      </c>
      <c r="I21" s="31">
        <f>'RGF A1 Exec'!I21+'RGF A1 Leg'!I21</f>
        <v>0</v>
      </c>
      <c r="J21" s="31">
        <f>'RGF A1 Exec'!J21+'RGF A1 Leg'!J21</f>
        <v>0</v>
      </c>
      <c r="K21" s="31">
        <f>'RGF A1 Exec'!K21+'RGF A1 Leg'!K21</f>
        <v>0</v>
      </c>
      <c r="L21" s="31">
        <f>'RGF A1 Exec'!L21+'RGF A1 Leg'!L21</f>
        <v>0</v>
      </c>
      <c r="M21" s="31">
        <f>'RGF A1 Exec'!M21+'RGF A1 Leg'!M21</f>
        <v>0</v>
      </c>
      <c r="N21" s="31">
        <f>'RGF A1 Exec'!N21+'RGF A1 Leg'!N21</f>
        <v>0</v>
      </c>
      <c r="O21" s="31">
        <f>'RGF A1 Exec'!O21+'RGF A1 Leg'!O21</f>
        <v>0</v>
      </c>
      <c r="P21" s="32">
        <f>'RGF A1 Exec'!P21+'RGF A1 Leg'!P21</f>
        <v>0</v>
      </c>
    </row>
    <row r="22" spans="2:16" x14ac:dyDescent="0.25">
      <c r="B22" s="34" t="s">
        <v>1107</v>
      </c>
      <c r="C22" s="31">
        <f>'RGF A1 Exec'!C22+'RGF A1 Leg'!C22</f>
        <v>0</v>
      </c>
      <c r="D22" s="31">
        <f>'RGF A1 Exec'!D22+'RGF A1 Leg'!D22</f>
        <v>0</v>
      </c>
      <c r="E22" s="31">
        <f>'RGF A1 Exec'!E22+'RGF A1 Leg'!E22</f>
        <v>0</v>
      </c>
      <c r="F22" s="31">
        <f>'RGF A1 Exec'!F22+'RGF A1 Leg'!F22</f>
        <v>0</v>
      </c>
      <c r="G22" s="31">
        <f>'RGF A1 Exec'!G22+'RGF A1 Leg'!G22</f>
        <v>0</v>
      </c>
      <c r="H22" s="31">
        <f>'RGF A1 Exec'!H22+'RGF A1 Leg'!H22</f>
        <v>0</v>
      </c>
      <c r="I22" s="31">
        <f>'RGF A1 Exec'!I22+'RGF A1 Leg'!I22</f>
        <v>0</v>
      </c>
      <c r="J22" s="31">
        <f>'RGF A1 Exec'!J22+'RGF A1 Leg'!J22</f>
        <v>0</v>
      </c>
      <c r="K22" s="31">
        <f>'RGF A1 Exec'!K22+'RGF A1 Leg'!K22</f>
        <v>0</v>
      </c>
      <c r="L22" s="31">
        <f>'RGF A1 Exec'!L22+'RGF A1 Leg'!L22</f>
        <v>0</v>
      </c>
      <c r="M22" s="31">
        <f>'RGF A1 Exec'!M22+'RGF A1 Leg'!M22</f>
        <v>0</v>
      </c>
      <c r="N22" s="31">
        <f>'RGF A1 Exec'!N22+'RGF A1 Leg'!N22</f>
        <v>0</v>
      </c>
      <c r="O22" s="31">
        <f>'RGF A1 Exec'!O22+'RGF A1 Leg'!O22</f>
        <v>0</v>
      </c>
      <c r="P22" s="32">
        <f>'RGF A1 Exec'!P22+'RGF A1 Leg'!P22</f>
        <v>0</v>
      </c>
    </row>
    <row r="23" spans="2:16" ht="30" customHeight="1" x14ac:dyDescent="0.25">
      <c r="B23" s="148" t="s">
        <v>1108</v>
      </c>
      <c r="C23" s="31">
        <f>'RGF A1 Exec'!C23+'RGF A1 Leg'!C23</f>
        <v>0</v>
      </c>
      <c r="D23" s="31">
        <f>'RGF A1 Exec'!D23+'RGF A1 Leg'!D23</f>
        <v>0</v>
      </c>
      <c r="E23" s="31">
        <f>'RGF A1 Exec'!E23+'RGF A1 Leg'!E23</f>
        <v>0</v>
      </c>
      <c r="F23" s="31">
        <f>'RGF A1 Exec'!F23+'RGF A1 Leg'!F23</f>
        <v>0</v>
      </c>
      <c r="G23" s="31">
        <f>'RGF A1 Exec'!G23+'RGF A1 Leg'!G23</f>
        <v>0</v>
      </c>
      <c r="H23" s="31">
        <f>'RGF A1 Exec'!H23+'RGF A1 Leg'!H23</f>
        <v>0</v>
      </c>
      <c r="I23" s="31">
        <f>'RGF A1 Exec'!I23+'RGF A1 Leg'!I23</f>
        <v>0</v>
      </c>
      <c r="J23" s="31">
        <f>'RGF A1 Exec'!J23+'RGF A1 Leg'!J23</f>
        <v>0</v>
      </c>
      <c r="K23" s="31">
        <f>'RGF A1 Exec'!K23+'RGF A1 Leg'!K23</f>
        <v>0</v>
      </c>
      <c r="L23" s="31">
        <f>'RGF A1 Exec'!L23+'RGF A1 Leg'!L23</f>
        <v>0</v>
      </c>
      <c r="M23" s="31">
        <f>'RGF A1 Exec'!M23+'RGF A1 Leg'!M23</f>
        <v>0</v>
      </c>
      <c r="N23" s="31">
        <f>'RGF A1 Exec'!N23+'RGF A1 Leg'!N23</f>
        <v>0</v>
      </c>
      <c r="O23" s="31">
        <f>'RGF A1 Exec'!O23+'RGF A1 Leg'!O23</f>
        <v>0</v>
      </c>
      <c r="P23" s="32">
        <f>'RGF A1 Exec'!P23+'RGF A1 Leg'!P23</f>
        <v>0</v>
      </c>
    </row>
    <row r="24" spans="2:16" x14ac:dyDescent="0.25">
      <c r="B24" s="33" t="s">
        <v>1109</v>
      </c>
      <c r="C24" s="31">
        <f>'RGF A1 Exec'!C24+'RGF A1 Leg'!C24</f>
        <v>0</v>
      </c>
      <c r="D24" s="31">
        <f>'RGF A1 Exec'!D24+'RGF A1 Leg'!D24</f>
        <v>0</v>
      </c>
      <c r="E24" s="31">
        <f>'RGF A1 Exec'!E24+'RGF A1 Leg'!E24</f>
        <v>0</v>
      </c>
      <c r="F24" s="31">
        <f>'RGF A1 Exec'!F24+'RGF A1 Leg'!F24</f>
        <v>0</v>
      </c>
      <c r="G24" s="31">
        <f>'RGF A1 Exec'!G24+'RGF A1 Leg'!G24</f>
        <v>0</v>
      </c>
      <c r="H24" s="31">
        <f>'RGF A1 Exec'!H24+'RGF A1 Leg'!H24</f>
        <v>0</v>
      </c>
      <c r="I24" s="31">
        <f>'RGF A1 Exec'!I24+'RGF A1 Leg'!I24</f>
        <v>0</v>
      </c>
      <c r="J24" s="31">
        <f>'RGF A1 Exec'!J24+'RGF A1 Leg'!J24</f>
        <v>0</v>
      </c>
      <c r="K24" s="31">
        <f>'RGF A1 Exec'!K24+'RGF A1 Leg'!K24</f>
        <v>0</v>
      </c>
      <c r="L24" s="31">
        <f>'RGF A1 Exec'!L24+'RGF A1 Leg'!L24</f>
        <v>0</v>
      </c>
      <c r="M24" s="31">
        <f>'RGF A1 Exec'!M24+'RGF A1 Leg'!M24</f>
        <v>0</v>
      </c>
      <c r="N24" s="31">
        <f>'RGF A1 Exec'!N24+'RGF A1 Leg'!N24</f>
        <v>0</v>
      </c>
      <c r="O24" s="31">
        <f>'RGF A1 Exec'!O24+'RGF A1 Leg'!O24</f>
        <v>0</v>
      </c>
      <c r="P24" s="32">
        <f>'RGF A1 Exec'!P24+'RGF A1 Leg'!P24</f>
        <v>0</v>
      </c>
    </row>
    <row r="25" spans="2:16" x14ac:dyDescent="0.25">
      <c r="B25" s="135" t="s">
        <v>1110</v>
      </c>
      <c r="C25" s="149">
        <f>'RGF A1 Exec'!C25+'RGF A1 Leg'!C25</f>
        <v>0</v>
      </c>
      <c r="D25" s="149">
        <f>'RGF A1 Exec'!D25+'RGF A1 Leg'!D25</f>
        <v>0</v>
      </c>
      <c r="E25" s="149">
        <f>'RGF A1 Exec'!E25+'RGF A1 Leg'!E25</f>
        <v>0</v>
      </c>
      <c r="F25" s="149">
        <f>'RGF A1 Exec'!F25+'RGF A1 Leg'!F25</f>
        <v>0</v>
      </c>
      <c r="G25" s="149">
        <f>'RGF A1 Exec'!G25+'RGF A1 Leg'!G25</f>
        <v>0</v>
      </c>
      <c r="H25" s="149">
        <f>'RGF A1 Exec'!H25+'RGF A1 Leg'!H25</f>
        <v>0</v>
      </c>
      <c r="I25" s="149">
        <f>'RGF A1 Exec'!I25+'RGF A1 Leg'!I25</f>
        <v>0</v>
      </c>
      <c r="J25" s="149">
        <f>'RGF A1 Exec'!J25+'RGF A1 Leg'!J25</f>
        <v>0</v>
      </c>
      <c r="K25" s="149">
        <f>'RGF A1 Exec'!K25+'RGF A1 Leg'!K25</f>
        <v>0</v>
      </c>
      <c r="L25" s="149">
        <f>'RGF A1 Exec'!L25+'RGF A1 Leg'!L25</f>
        <v>0</v>
      </c>
      <c r="M25" s="149">
        <f>'RGF A1 Exec'!M25+'RGF A1 Leg'!M25</f>
        <v>0</v>
      </c>
      <c r="N25" s="149">
        <f>'RGF A1 Exec'!N25+'RGF A1 Leg'!N25</f>
        <v>0</v>
      </c>
      <c r="O25" s="149">
        <f>'RGF A1 Exec'!O25+'RGF A1 Leg'!O25</f>
        <v>0</v>
      </c>
      <c r="P25" s="150">
        <f>'RGF A1 Exec'!P25+'RGF A1 Leg'!P25</f>
        <v>0</v>
      </c>
    </row>
    <row r="26" spans="2:16" ht="30" customHeight="1" x14ac:dyDescent="0.25">
      <c r="B26" s="148" t="s">
        <v>1111</v>
      </c>
      <c r="C26" s="31">
        <f>'RGF A1 Exec'!C26+'RGF A1 Leg'!C26</f>
        <v>0</v>
      </c>
      <c r="D26" s="31">
        <f>'RGF A1 Exec'!D26+'RGF A1 Leg'!D26</f>
        <v>0</v>
      </c>
      <c r="E26" s="31">
        <f>'RGF A1 Exec'!E26+'RGF A1 Leg'!E26</f>
        <v>0</v>
      </c>
      <c r="F26" s="31">
        <f>'RGF A1 Exec'!F26+'RGF A1 Leg'!F26</f>
        <v>0</v>
      </c>
      <c r="G26" s="31">
        <f>'RGF A1 Exec'!G26+'RGF A1 Leg'!G26</f>
        <v>0</v>
      </c>
      <c r="H26" s="31">
        <f>'RGF A1 Exec'!H26+'RGF A1 Leg'!H26</f>
        <v>0</v>
      </c>
      <c r="I26" s="31">
        <f>'RGF A1 Exec'!I26+'RGF A1 Leg'!I26</f>
        <v>0</v>
      </c>
      <c r="J26" s="31">
        <f>'RGF A1 Exec'!J26+'RGF A1 Leg'!J26</f>
        <v>0</v>
      </c>
      <c r="K26" s="31">
        <f>'RGF A1 Exec'!K26+'RGF A1 Leg'!K26</f>
        <v>0</v>
      </c>
      <c r="L26" s="31">
        <f>'RGF A1 Exec'!L26+'RGF A1 Leg'!L26</f>
        <v>0</v>
      </c>
      <c r="M26" s="31">
        <f>'RGF A1 Exec'!M26+'RGF A1 Leg'!M26</f>
        <v>0</v>
      </c>
      <c r="N26" s="31">
        <f>'RGF A1 Exec'!N26+'RGF A1 Leg'!N26</f>
        <v>0</v>
      </c>
      <c r="O26" s="31">
        <f>'RGF A1 Exec'!O26+'RGF A1 Leg'!O26</f>
        <v>0</v>
      </c>
      <c r="P26" s="32">
        <f>'RGF A1 Exec'!P26+'RGF A1 Leg'!P26</f>
        <v>0</v>
      </c>
    </row>
    <row r="27" spans="2:16" x14ac:dyDescent="0.25">
      <c r="B27" s="33" t="s">
        <v>1112</v>
      </c>
      <c r="C27" s="31">
        <f>'RGF A1 Exec'!C27+'RGF A1 Leg'!C27</f>
        <v>0</v>
      </c>
      <c r="D27" s="31">
        <f>'RGF A1 Exec'!D27+'RGF A1 Leg'!D27</f>
        <v>0</v>
      </c>
      <c r="E27" s="31">
        <f>'RGF A1 Exec'!E27+'RGF A1 Leg'!E27</f>
        <v>0</v>
      </c>
      <c r="F27" s="31">
        <f>'RGF A1 Exec'!F27+'RGF A1 Leg'!F27</f>
        <v>0</v>
      </c>
      <c r="G27" s="31">
        <f>'RGF A1 Exec'!G27+'RGF A1 Leg'!G27</f>
        <v>0</v>
      </c>
      <c r="H27" s="31">
        <f>'RGF A1 Exec'!H27+'RGF A1 Leg'!H27</f>
        <v>0</v>
      </c>
      <c r="I27" s="31">
        <f>'RGF A1 Exec'!I27+'RGF A1 Leg'!I27</f>
        <v>0</v>
      </c>
      <c r="J27" s="31">
        <f>'RGF A1 Exec'!J27+'RGF A1 Leg'!J27</f>
        <v>0</v>
      </c>
      <c r="K27" s="31">
        <f>'RGF A1 Exec'!K27+'RGF A1 Leg'!K27</f>
        <v>0</v>
      </c>
      <c r="L27" s="31">
        <f>'RGF A1 Exec'!L27+'RGF A1 Leg'!L27</f>
        <v>0</v>
      </c>
      <c r="M27" s="31">
        <f>'RGF A1 Exec'!M27+'RGF A1 Leg'!M27</f>
        <v>0</v>
      </c>
      <c r="N27" s="31">
        <f>'RGF A1 Exec'!N27+'RGF A1 Leg'!N27</f>
        <v>0</v>
      </c>
      <c r="O27" s="31">
        <f>'RGF A1 Exec'!O27+'RGF A1 Leg'!O27</f>
        <v>0</v>
      </c>
      <c r="P27" s="32">
        <f>'RGF A1 Exec'!P27+'RGF A1 Leg'!P27</f>
        <v>0</v>
      </c>
    </row>
    <row r="28" spans="2:16" x14ac:dyDescent="0.25">
      <c r="B28" s="33" t="s">
        <v>1113</v>
      </c>
      <c r="C28" s="31">
        <f>'RGF A1 Exec'!C28+'RGF A1 Leg'!C28</f>
        <v>0</v>
      </c>
      <c r="D28" s="31">
        <f>'RGF A1 Exec'!D28+'RGF A1 Leg'!D28</f>
        <v>0</v>
      </c>
      <c r="E28" s="31">
        <f>'RGF A1 Exec'!E28+'RGF A1 Leg'!E28</f>
        <v>0</v>
      </c>
      <c r="F28" s="31">
        <f>'RGF A1 Exec'!F28+'RGF A1 Leg'!F28</f>
        <v>0</v>
      </c>
      <c r="G28" s="31">
        <f>'RGF A1 Exec'!G28+'RGF A1 Leg'!G28</f>
        <v>0</v>
      </c>
      <c r="H28" s="31">
        <f>'RGF A1 Exec'!H28+'RGF A1 Leg'!H28</f>
        <v>0</v>
      </c>
      <c r="I28" s="31">
        <f>'RGF A1 Exec'!I28+'RGF A1 Leg'!I28</f>
        <v>0</v>
      </c>
      <c r="J28" s="31">
        <f>'RGF A1 Exec'!J28+'RGF A1 Leg'!J28</f>
        <v>0</v>
      </c>
      <c r="K28" s="31">
        <f>'RGF A1 Exec'!K28+'RGF A1 Leg'!K28</f>
        <v>0</v>
      </c>
      <c r="L28" s="31">
        <f>'RGF A1 Exec'!L28+'RGF A1 Leg'!L28</f>
        <v>0</v>
      </c>
      <c r="M28" s="31">
        <f>'RGF A1 Exec'!M28+'RGF A1 Leg'!M28</f>
        <v>0</v>
      </c>
      <c r="N28" s="31">
        <f>'RGF A1 Exec'!N28+'RGF A1 Leg'!N28</f>
        <v>0</v>
      </c>
      <c r="O28" s="31">
        <f>'RGF A1 Exec'!O28+'RGF A1 Leg'!O28</f>
        <v>0</v>
      </c>
      <c r="P28" s="32">
        <f>'RGF A1 Exec'!P28+'RGF A1 Leg'!P28</f>
        <v>0</v>
      </c>
    </row>
    <row r="29" spans="2:16" x14ac:dyDescent="0.25">
      <c r="B29" s="33" t="s">
        <v>1114</v>
      </c>
      <c r="C29" s="31">
        <f>'RGF A1 Exec'!C29+'RGF A1 Leg'!C29</f>
        <v>0</v>
      </c>
      <c r="D29" s="31">
        <f>'RGF A1 Exec'!D29+'RGF A1 Leg'!D29</f>
        <v>0</v>
      </c>
      <c r="E29" s="31">
        <f>'RGF A1 Exec'!E29+'RGF A1 Leg'!E29</f>
        <v>0</v>
      </c>
      <c r="F29" s="31">
        <f>'RGF A1 Exec'!F29+'RGF A1 Leg'!F29</f>
        <v>0</v>
      </c>
      <c r="G29" s="31">
        <f>'RGF A1 Exec'!G29+'RGF A1 Leg'!G29</f>
        <v>0</v>
      </c>
      <c r="H29" s="31">
        <f>'RGF A1 Exec'!H29+'RGF A1 Leg'!H29</f>
        <v>0</v>
      </c>
      <c r="I29" s="31">
        <f>'RGF A1 Exec'!I29+'RGF A1 Leg'!I29</f>
        <v>0</v>
      </c>
      <c r="J29" s="31">
        <f>'RGF A1 Exec'!J29+'RGF A1 Leg'!J29</f>
        <v>0</v>
      </c>
      <c r="K29" s="31">
        <f>'RGF A1 Exec'!K29+'RGF A1 Leg'!K29</f>
        <v>0</v>
      </c>
      <c r="L29" s="31">
        <f>'RGF A1 Exec'!L29+'RGF A1 Leg'!L29</f>
        <v>0</v>
      </c>
      <c r="M29" s="31">
        <f>'RGF A1 Exec'!M29+'RGF A1 Leg'!M29</f>
        <v>0</v>
      </c>
      <c r="N29" s="31">
        <f>'RGF A1 Exec'!N29+'RGF A1 Leg'!N29</f>
        <v>0</v>
      </c>
      <c r="O29" s="31">
        <f>'RGF A1 Exec'!O29+'RGF A1 Leg'!O29</f>
        <v>0</v>
      </c>
      <c r="P29" s="32">
        <f>'RGF A1 Exec'!P29+'RGF A1 Leg'!P29</f>
        <v>0</v>
      </c>
    </row>
    <row r="30" spans="2:16" ht="15.75" customHeight="1" x14ac:dyDescent="0.25">
      <c r="B30" s="151" t="s">
        <v>1115</v>
      </c>
      <c r="C30" s="152">
        <f>'RGF A1 Exec'!C33+'RGF A1 Leg'!C30</f>
        <v>0</v>
      </c>
      <c r="D30" s="152">
        <f>'RGF A1 Exec'!D33+'RGF A1 Leg'!D30</f>
        <v>0</v>
      </c>
      <c r="E30" s="152">
        <f>'RGF A1 Exec'!E33+'RGF A1 Leg'!E30</f>
        <v>0</v>
      </c>
      <c r="F30" s="152">
        <f>'RGF A1 Exec'!F33+'RGF A1 Leg'!F30</f>
        <v>0</v>
      </c>
      <c r="G30" s="152">
        <f>'RGF A1 Exec'!G33+'RGF A1 Leg'!G30</f>
        <v>0</v>
      </c>
      <c r="H30" s="152">
        <f>'RGF A1 Exec'!H33+'RGF A1 Leg'!H30</f>
        <v>0</v>
      </c>
      <c r="I30" s="152">
        <f>'RGF A1 Exec'!I33+'RGF A1 Leg'!I30</f>
        <v>0</v>
      </c>
      <c r="J30" s="152">
        <f>'RGF A1 Exec'!J33+'RGF A1 Leg'!J30</f>
        <v>0</v>
      </c>
      <c r="K30" s="152">
        <f>'RGF A1 Exec'!K33+'RGF A1 Leg'!K30</f>
        <v>0</v>
      </c>
      <c r="L30" s="152">
        <f>'RGF A1 Exec'!L33+'RGF A1 Leg'!L30</f>
        <v>0</v>
      </c>
      <c r="M30" s="152">
        <f>'RGF A1 Exec'!M33+'RGF A1 Leg'!M30</f>
        <v>0</v>
      </c>
      <c r="N30" s="152">
        <f>'RGF A1 Exec'!N33+'RGF A1 Leg'!N30</f>
        <v>0</v>
      </c>
      <c r="O30" s="152">
        <f>'RGF A1 Exec'!O33+'RGF A1 Leg'!O30</f>
        <v>0</v>
      </c>
      <c r="P30" s="153">
        <f>'RGF A1 Exec'!P33+'RGF A1 Leg'!P30</f>
        <v>0</v>
      </c>
    </row>
    <row r="31" spans="2:16" ht="15.75" customHeight="1" x14ac:dyDescent="0.25"/>
    <row r="32" spans="2:16" x14ac:dyDescent="0.25">
      <c r="B32" s="276" t="s">
        <v>1116</v>
      </c>
      <c r="C32" s="277"/>
      <c r="D32" s="277"/>
      <c r="E32" s="277"/>
      <c r="F32" s="277"/>
      <c r="G32" s="277"/>
      <c r="H32" s="277"/>
      <c r="I32" s="277"/>
      <c r="J32" s="277"/>
      <c r="K32" s="257" t="s">
        <v>488</v>
      </c>
      <c r="L32" s="257"/>
      <c r="M32" s="257"/>
      <c r="N32" s="257"/>
      <c r="O32" s="257" t="s">
        <v>1117</v>
      </c>
      <c r="P32" s="268"/>
    </row>
    <row r="33" spans="2:16" x14ac:dyDescent="0.25">
      <c r="B33" s="290" t="s">
        <v>1118</v>
      </c>
      <c r="C33" s="291"/>
      <c r="D33" s="291"/>
      <c r="E33" s="291"/>
      <c r="F33" s="291"/>
      <c r="G33" s="291"/>
      <c r="H33" s="291"/>
      <c r="I33" s="291"/>
      <c r="J33" s="291"/>
      <c r="K33" s="413">
        <f>'RREO A3'!O40</f>
        <v>0</v>
      </c>
      <c r="L33" s="413"/>
      <c r="M33" s="413"/>
      <c r="N33" s="413"/>
      <c r="O33" s="414"/>
      <c r="P33" s="415"/>
    </row>
    <row r="34" spans="2:16" x14ac:dyDescent="0.25">
      <c r="B34" s="232" t="s">
        <v>1119</v>
      </c>
      <c r="C34" s="233"/>
      <c r="D34" s="233"/>
      <c r="E34" s="233"/>
      <c r="F34" s="233"/>
      <c r="G34" s="233"/>
      <c r="H34" s="233"/>
      <c r="I34" s="233"/>
      <c r="J34" s="233"/>
      <c r="K34" s="294">
        <f>'RREO A3'!O41</f>
        <v>0</v>
      </c>
      <c r="L34" s="294"/>
      <c r="M34" s="294"/>
      <c r="N34" s="294"/>
      <c r="O34" s="411"/>
      <c r="P34" s="412"/>
    </row>
    <row r="35" spans="2:16" ht="30.75" customHeight="1" x14ac:dyDescent="0.25">
      <c r="B35" s="232" t="s">
        <v>450</v>
      </c>
      <c r="C35" s="233"/>
      <c r="D35" s="233"/>
      <c r="E35" s="233"/>
      <c r="F35" s="233"/>
      <c r="G35" s="233"/>
      <c r="H35" s="233"/>
      <c r="I35" s="233"/>
      <c r="J35" s="233"/>
      <c r="K35" s="294">
        <f>'RREO A3'!O43</f>
        <v>0</v>
      </c>
      <c r="L35" s="294"/>
      <c r="M35" s="294"/>
      <c r="N35" s="294"/>
      <c r="O35" s="411"/>
      <c r="P35" s="412"/>
    </row>
    <row r="36" spans="2:16" x14ac:dyDescent="0.25">
      <c r="B36" s="420" t="s">
        <v>1120</v>
      </c>
      <c r="C36" s="421"/>
      <c r="D36" s="421"/>
      <c r="E36" s="421"/>
      <c r="F36" s="421"/>
      <c r="G36" s="421"/>
      <c r="H36" s="421"/>
      <c r="I36" s="421"/>
      <c r="J36" s="421"/>
      <c r="K36" s="405">
        <f>K33-K34-K35</f>
        <v>0</v>
      </c>
      <c r="L36" s="405"/>
      <c r="M36" s="405"/>
      <c r="N36" s="405"/>
      <c r="O36" s="406"/>
      <c r="P36" s="407"/>
    </row>
    <row r="37" spans="2:16" x14ac:dyDescent="0.25">
      <c r="B37" s="416" t="s">
        <v>1121</v>
      </c>
      <c r="C37" s="417"/>
      <c r="D37" s="417"/>
      <c r="E37" s="417"/>
      <c r="F37" s="417"/>
      <c r="G37" s="417"/>
      <c r="H37" s="417"/>
      <c r="I37" s="417"/>
      <c r="J37" s="417"/>
      <c r="K37" s="408">
        <f>O30+P30</f>
        <v>0</v>
      </c>
      <c r="L37" s="408"/>
      <c r="M37" s="408"/>
      <c r="N37" s="408"/>
      <c r="O37" s="409" t="e">
        <f>ROUND(K37/K36,4)</f>
        <v>#DIV/0!</v>
      </c>
      <c r="P37" s="410"/>
    </row>
    <row r="38" spans="2:16" x14ac:dyDescent="0.25">
      <c r="B38" s="422" t="s">
        <v>1122</v>
      </c>
      <c r="C38" s="423"/>
      <c r="D38" s="423"/>
      <c r="E38" s="423"/>
      <c r="F38" s="423"/>
      <c r="G38" s="423"/>
      <c r="H38" s="423"/>
      <c r="I38" s="423"/>
      <c r="J38" s="423"/>
      <c r="K38" s="292">
        <f>$K$36*O38</f>
        <v>0</v>
      </c>
      <c r="L38" s="292"/>
      <c r="M38" s="292"/>
      <c r="N38" s="292"/>
      <c r="O38" s="418">
        <v>0.54</v>
      </c>
      <c r="P38" s="419"/>
    </row>
    <row r="39" spans="2:16" x14ac:dyDescent="0.25">
      <c r="B39" s="232" t="s">
        <v>1123</v>
      </c>
      <c r="C39" s="233"/>
      <c r="D39" s="233"/>
      <c r="E39" s="233"/>
      <c r="F39" s="233"/>
      <c r="G39" s="233"/>
      <c r="H39" s="233"/>
      <c r="I39" s="233"/>
      <c r="J39" s="233"/>
      <c r="K39" s="294">
        <f>$K$36*O39</f>
        <v>0</v>
      </c>
      <c r="L39" s="294"/>
      <c r="M39" s="294"/>
      <c r="N39" s="294"/>
      <c r="O39" s="411">
        <f>O38*0.95</f>
        <v>0.51300000000000001</v>
      </c>
      <c r="P39" s="412"/>
    </row>
    <row r="40" spans="2:16" ht="15.75" customHeight="1" x14ac:dyDescent="0.25">
      <c r="B40" s="424" t="s">
        <v>1124</v>
      </c>
      <c r="C40" s="425"/>
      <c r="D40" s="425"/>
      <c r="E40" s="425"/>
      <c r="F40" s="425"/>
      <c r="G40" s="425"/>
      <c r="H40" s="425"/>
      <c r="I40" s="425"/>
      <c r="J40" s="425"/>
      <c r="K40" s="306">
        <f>$K$36*O40</f>
        <v>0</v>
      </c>
      <c r="L40" s="306"/>
      <c r="M40" s="306"/>
      <c r="N40" s="306"/>
      <c r="O40" s="426">
        <f>O38*0.9</f>
        <v>0.48600000000000004</v>
      </c>
      <c r="P40" s="427"/>
    </row>
    <row r="41" spans="2:16" x14ac:dyDescent="0.25">
      <c r="B41" s="249" t="str">
        <f ca="1">_xlfn.CONCAT("Fonte: ",paramFonte,". Emissão em ",TEXT(NOW(),"dd/mm/aaaa \à\s hh:mm:ss"))</f>
        <v>Fonte: Sistema MS Excel + SIAPC/PAD, Unidade Responsável: Secretaria da Fazenda / Setor de Contabilidade. Emissão em 09/05/2024 às 09:42:51</v>
      </c>
      <c r="C41" s="249"/>
      <c r="D41" s="249"/>
      <c r="E41" s="249"/>
      <c r="F41" s="249"/>
      <c r="G41" s="249"/>
      <c r="H41" s="249"/>
      <c r="I41" s="249"/>
      <c r="J41" s="249"/>
      <c r="K41" s="249"/>
      <c r="L41" s="249"/>
      <c r="M41" s="249"/>
      <c r="N41" s="249"/>
      <c r="O41" s="249"/>
      <c r="P41" s="249"/>
    </row>
    <row r="42" spans="2:16" ht="30" customHeight="1" x14ac:dyDescent="0.25">
      <c r="B42" s="262" t="s">
        <v>1125</v>
      </c>
      <c r="C42" s="262"/>
      <c r="D42" s="262"/>
      <c r="E42" s="262"/>
      <c r="F42" s="262"/>
      <c r="G42" s="262"/>
      <c r="H42" s="262"/>
      <c r="I42" s="262"/>
      <c r="J42" s="262"/>
      <c r="K42" s="262"/>
      <c r="L42" s="262"/>
      <c r="M42" s="262"/>
      <c r="N42" s="262"/>
      <c r="O42" s="262"/>
      <c r="P42" s="262"/>
    </row>
    <row r="44" spans="2:16" x14ac:dyDescent="0.25">
      <c r="B44" t="s">
        <v>253</v>
      </c>
    </row>
    <row r="45" spans="2:16" x14ac:dyDescent="0.25">
      <c r="B45" s="247" t="str">
        <f>IFERROR(_xlfn.CONCAT(_xlfn._xlws.FILTER(tblNotasExplicativas[Nota Com Separador],tblNotasExplicativas[Demonstrativo]="RGF A1 Exec")),"")</f>
        <v xml:space="preserve">Incluídos R$ 623.358,33 referente a despesas liquidadas referentes a contratos que integram a despesa com pessoal porém registrados na despesa 3390 39 em vez da despesa 3390 34. </v>
      </c>
      <c r="C45" s="247"/>
      <c r="D45" s="247"/>
      <c r="E45" s="247"/>
      <c r="F45" s="247"/>
      <c r="G45" s="247"/>
      <c r="H45" s="247"/>
      <c r="I45" s="247"/>
      <c r="J45" s="247"/>
      <c r="K45" s="247"/>
      <c r="L45" s="247"/>
      <c r="M45" s="247"/>
      <c r="N45" s="247"/>
      <c r="O45" s="247"/>
      <c r="P45" s="247"/>
    </row>
    <row r="50" spans="2:15" x14ac:dyDescent="0.25">
      <c r="B50" t="str">
        <f>paramNomeContador</f>
        <v>EVERTON DA ROSA</v>
      </c>
      <c r="D50" s="247" t="str">
        <f>paramNomeSecretario</f>
        <v>ANA PAULA RODRIGUES SCHNEIDER SCHMIDT</v>
      </c>
      <c r="E50" s="247"/>
      <c r="F50" s="247"/>
      <c r="H50" s="247" t="str">
        <f>paramNomeControleInterno</f>
        <v>JEAN LENON CORO MONTEIRO</v>
      </c>
      <c r="I50" s="247"/>
      <c r="J50" s="247"/>
      <c r="M50" s="247" t="str">
        <f>paramNomePrefeito</f>
        <v>JOÃO EDÉCIO GRAEF</v>
      </c>
      <c r="N50" s="247"/>
      <c r="O50" s="247"/>
    </row>
    <row r="51" spans="2:15" x14ac:dyDescent="0.25">
      <c r="B51" t="str">
        <f>paramCargoContador</f>
        <v>Contador</v>
      </c>
      <c r="D51" s="247" t="str">
        <f>paramCargoSecretario</f>
        <v>Secretária da Fazenda</v>
      </c>
      <c r="E51" s="247"/>
      <c r="F51" s="247"/>
      <c r="H51" s="247" t="str">
        <f>paramCargoControleInterno</f>
        <v>Controlador Interno</v>
      </c>
      <c r="I51" s="247"/>
      <c r="J51" s="247"/>
      <c r="M51" s="247" t="str">
        <f>paramCargoPrefeito</f>
        <v>Prefeito Municipal</v>
      </c>
      <c r="N51" s="247"/>
      <c r="O51" s="247"/>
    </row>
    <row r="52" spans="2:15" x14ac:dyDescent="0.25">
      <c r="B52" t="str">
        <f>_xlfn.CONCAT("CRC ",paramCRCContador)</f>
        <v>CRC 076595/O-3</v>
      </c>
    </row>
  </sheetData>
  <mergeCells count="47">
    <mergeCell ref="B32:J32"/>
    <mergeCell ref="K32:N32"/>
    <mergeCell ref="O32:P32"/>
    <mergeCell ref="B2:P2"/>
    <mergeCell ref="B3:P3"/>
    <mergeCell ref="B4:P4"/>
    <mergeCell ref="B5:P5"/>
    <mergeCell ref="B6:P6"/>
    <mergeCell ref="B7:P7"/>
    <mergeCell ref="B9:O9"/>
    <mergeCell ref="B10:B15"/>
    <mergeCell ref="C10:P10"/>
    <mergeCell ref="C11:P11"/>
    <mergeCell ref="C12:O12"/>
    <mergeCell ref="B33:J33"/>
    <mergeCell ref="K33:N33"/>
    <mergeCell ref="O33:P33"/>
    <mergeCell ref="B34:J34"/>
    <mergeCell ref="K34:N34"/>
    <mergeCell ref="O34:P34"/>
    <mergeCell ref="B35:J35"/>
    <mergeCell ref="K35:N35"/>
    <mergeCell ref="O35:P35"/>
    <mergeCell ref="B36:J36"/>
    <mergeCell ref="K36:N36"/>
    <mergeCell ref="O36:P36"/>
    <mergeCell ref="B37:J37"/>
    <mergeCell ref="K37:N37"/>
    <mergeCell ref="O37:P37"/>
    <mergeCell ref="B38:J38"/>
    <mergeCell ref="K38:N38"/>
    <mergeCell ref="O38:P38"/>
    <mergeCell ref="B39:J39"/>
    <mergeCell ref="K39:N39"/>
    <mergeCell ref="O39:P39"/>
    <mergeCell ref="B40:J40"/>
    <mergeCell ref="K40:N40"/>
    <mergeCell ref="O40:P40"/>
    <mergeCell ref="D51:F51"/>
    <mergeCell ref="H51:J51"/>
    <mergeCell ref="M51:O51"/>
    <mergeCell ref="B41:P41"/>
    <mergeCell ref="B42:P42"/>
    <mergeCell ref="B45:P45"/>
    <mergeCell ref="D50:F50"/>
    <mergeCell ref="H50:J50"/>
    <mergeCell ref="M50:O50"/>
  </mergeCells>
  <pageMargins left="0.25" right="0.25" top="0.75" bottom="0.75" header="0.3" footer="0.3"/>
  <pageSetup paperSize="9" scale="55" fitToHeight="0"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853C0C"/>
    <pageSetUpPr fitToPage="1"/>
  </sheetPr>
  <dimension ref="B2:P60"/>
  <sheetViews>
    <sheetView workbookViewId="0"/>
  </sheetViews>
  <sheetFormatPr defaultRowHeight="15" x14ac:dyDescent="0.25"/>
  <cols>
    <col min="2" max="2" width="91.140625" customWidth="1"/>
    <col min="3" max="3" width="19.42578125" customWidth="1"/>
    <col min="4" max="4" width="35.5703125" customWidth="1"/>
    <col min="5" max="5" width="13.5703125" customWidth="1"/>
    <col min="6" max="6" width="19.85546875" customWidth="1"/>
    <col min="7" max="7" width="18.140625" customWidth="1"/>
    <col min="8" max="8" width="15" customWidth="1"/>
    <col min="9" max="9" width="29" customWidth="1"/>
    <col min="10" max="10" width="16.85546875" customWidth="1"/>
    <col min="11" max="11" width="24.85546875" customWidth="1"/>
    <col min="12" max="12" width="26.85546875" customWidth="1"/>
  </cols>
  <sheetData>
    <row r="2" spans="2:16" x14ac:dyDescent="0.25">
      <c r="B2" s="247" t="str">
        <f>paramEnte</f>
        <v>Município de Independência - RS</v>
      </c>
      <c r="C2" s="247"/>
      <c r="D2" s="247"/>
      <c r="E2" s="247"/>
    </row>
    <row r="3" spans="2:16" x14ac:dyDescent="0.25">
      <c r="B3" s="247" t="s">
        <v>1309</v>
      </c>
      <c r="C3" s="247"/>
      <c r="D3" s="247"/>
      <c r="E3" s="247"/>
    </row>
    <row r="4" spans="2:16" x14ac:dyDescent="0.25">
      <c r="B4" s="247" t="s">
        <v>1094</v>
      </c>
      <c r="C4" s="247"/>
      <c r="D4" s="247"/>
      <c r="E4" s="247"/>
    </row>
    <row r="5" spans="2:16" x14ac:dyDescent="0.25">
      <c r="B5" s="248" t="s">
        <v>1226</v>
      </c>
      <c r="C5" s="248"/>
      <c r="D5" s="248"/>
      <c r="E5" s="248"/>
      <c r="F5" s="132"/>
      <c r="G5" s="132"/>
      <c r="H5" s="132"/>
      <c r="I5" s="132"/>
      <c r="J5" s="132"/>
      <c r="K5" s="132"/>
      <c r="L5" s="132"/>
      <c r="M5" s="132"/>
      <c r="N5" s="132"/>
      <c r="O5" s="132"/>
      <c r="P5" s="132"/>
    </row>
    <row r="6" spans="2:16" x14ac:dyDescent="0.25">
      <c r="B6" s="247" t="s">
        <v>127</v>
      </c>
      <c r="C6" s="247"/>
      <c r="D6" s="247"/>
      <c r="E6" s="247"/>
    </row>
    <row r="7" spans="2:16" x14ac:dyDescent="0.25">
      <c r="B7" s="249" t="str">
        <f>UPPER(TEXT(paramDataBase,"mmmm \d\e aaaa"))</f>
        <v>JANEIRO DE 1900</v>
      </c>
      <c r="C7" s="249"/>
      <c r="D7" s="249"/>
      <c r="E7" s="249"/>
      <c r="F7" s="45"/>
      <c r="G7" s="45"/>
      <c r="H7" s="45"/>
      <c r="I7" s="45"/>
      <c r="J7" s="45"/>
      <c r="K7" s="45"/>
      <c r="L7" s="45"/>
      <c r="M7" s="45"/>
      <c r="N7" s="45"/>
      <c r="O7" s="45"/>
      <c r="P7" s="45"/>
    </row>
    <row r="9" spans="2:16" x14ac:dyDescent="0.25">
      <c r="B9" s="250" t="s">
        <v>1227</v>
      </c>
      <c r="C9" s="250"/>
      <c r="D9" s="250"/>
      <c r="E9" s="146">
        <v>1</v>
      </c>
      <c r="F9" s="170"/>
      <c r="G9" s="170"/>
      <c r="H9" s="170"/>
      <c r="I9" s="170"/>
      <c r="J9" s="170"/>
      <c r="K9" s="170"/>
      <c r="L9" s="170"/>
      <c r="M9" s="170"/>
      <c r="N9" s="170"/>
      <c r="O9" s="170"/>
    </row>
    <row r="10" spans="2:16" x14ac:dyDescent="0.25">
      <c r="B10" s="227" t="s">
        <v>1228</v>
      </c>
      <c r="C10" s="13" t="s">
        <v>1229</v>
      </c>
      <c r="D10" s="288" t="s">
        <v>1230</v>
      </c>
      <c r="E10" s="288"/>
      <c r="F10" s="288"/>
      <c r="G10" s="288"/>
      <c r="H10" s="13" t="s">
        <v>1231</v>
      </c>
      <c r="I10" s="13" t="s">
        <v>1232</v>
      </c>
      <c r="J10" s="13" t="s">
        <v>260</v>
      </c>
      <c r="K10" s="13" t="s">
        <v>1233</v>
      </c>
      <c r="L10" s="38" t="s">
        <v>1232</v>
      </c>
    </row>
    <row r="11" spans="2:16" x14ac:dyDescent="0.25">
      <c r="B11" s="228"/>
      <c r="C11" s="8" t="s">
        <v>1234</v>
      </c>
      <c r="D11" s="289" t="s">
        <v>1235</v>
      </c>
      <c r="E11" s="287"/>
      <c r="F11" s="8" t="s">
        <v>1236</v>
      </c>
      <c r="G11" s="8" t="s">
        <v>1237</v>
      </c>
      <c r="H11" s="8" t="s">
        <v>1238</v>
      </c>
      <c r="I11" s="8" t="s">
        <v>1239</v>
      </c>
      <c r="J11" s="8" t="s">
        <v>1240</v>
      </c>
      <c r="K11" s="8" t="s">
        <v>1241</v>
      </c>
      <c r="L11" s="10" t="s">
        <v>1242</v>
      </c>
    </row>
    <row r="12" spans="2:16" x14ac:dyDescent="0.25">
      <c r="B12" s="228"/>
      <c r="C12" s="8"/>
      <c r="D12" s="8" t="s">
        <v>1243</v>
      </c>
      <c r="E12" s="8" t="s">
        <v>1244</v>
      </c>
      <c r="F12" s="8" t="s">
        <v>1245</v>
      </c>
      <c r="G12" s="8" t="s">
        <v>1246</v>
      </c>
      <c r="H12" s="8" t="s">
        <v>1247</v>
      </c>
      <c r="I12" s="8" t="s">
        <v>1248</v>
      </c>
      <c r="J12" s="8" t="s">
        <v>1249</v>
      </c>
      <c r="K12" s="8" t="s">
        <v>1250</v>
      </c>
      <c r="L12" s="10" t="s">
        <v>1248</v>
      </c>
    </row>
    <row r="13" spans="2:16" x14ac:dyDescent="0.25">
      <c r="B13" s="228"/>
      <c r="C13" s="8"/>
      <c r="D13" s="8" t="s">
        <v>627</v>
      </c>
      <c r="E13" s="8"/>
      <c r="F13" s="8" t="s">
        <v>1251</v>
      </c>
      <c r="G13" s="8"/>
      <c r="H13" s="8" t="s">
        <v>1252</v>
      </c>
      <c r="I13" s="8" t="s">
        <v>1253</v>
      </c>
      <c r="J13" s="8" t="s">
        <v>888</v>
      </c>
      <c r="K13" s="8" t="s">
        <v>1231</v>
      </c>
      <c r="L13" s="10" t="s">
        <v>1254</v>
      </c>
    </row>
    <row r="14" spans="2:16" x14ac:dyDescent="0.25">
      <c r="B14" s="228"/>
      <c r="C14" s="8"/>
      <c r="D14" s="8"/>
      <c r="E14" s="8"/>
      <c r="F14" s="8" t="s">
        <v>1255</v>
      </c>
      <c r="G14" s="8"/>
      <c r="H14" s="8" t="s">
        <v>1256</v>
      </c>
      <c r="I14" s="8"/>
      <c r="J14" s="8"/>
      <c r="K14" s="8" t="s">
        <v>1257</v>
      </c>
      <c r="L14" s="10" t="s">
        <v>1258</v>
      </c>
    </row>
    <row r="15" spans="2:16" x14ac:dyDescent="0.25">
      <c r="B15" s="229"/>
      <c r="C15" s="11" t="s">
        <v>138</v>
      </c>
      <c r="D15" s="11" t="s">
        <v>139</v>
      </c>
      <c r="E15" s="11" t="s">
        <v>141</v>
      </c>
      <c r="F15" s="11" t="s">
        <v>224</v>
      </c>
      <c r="G15" s="11" t="s">
        <v>225</v>
      </c>
      <c r="H15" s="11" t="s">
        <v>226</v>
      </c>
      <c r="I15" s="11" t="s">
        <v>1259</v>
      </c>
      <c r="J15" s="11" t="s">
        <v>228</v>
      </c>
      <c r="K15" s="11"/>
      <c r="L15" s="12" t="s">
        <v>1260</v>
      </c>
    </row>
    <row r="16" spans="2:16" x14ac:dyDescent="0.25">
      <c r="B16" s="220" t="s">
        <v>1261</v>
      </c>
      <c r="C16" s="90" t="e">
        <f>'RGF A5 Exec 2 Sem'!C16+'RGF A5 Leg 2 Sem'!C16</f>
        <v>#REF!</v>
      </c>
      <c r="D16" s="90" t="e">
        <f>'RGF A5 Exec 2 Sem'!D16+'RGF A5 Leg 2 Sem'!D16</f>
        <v>#REF!</v>
      </c>
      <c r="E16" s="90" t="e">
        <f>'RGF A5 Exec 2 Sem'!E16+'RGF A5 Leg 2 Sem'!E16</f>
        <v>#REF!</v>
      </c>
      <c r="F16" s="90" t="e">
        <f>'RGF A5 Exec 2 Sem'!F16+'RGF A5 Leg 2 Sem'!F16</f>
        <v>#REF!</v>
      </c>
      <c r="G16" s="90">
        <f>'RGF A5 Exec 2 Sem'!G16+'RGF A5 Leg 2 Sem'!G16</f>
        <v>0</v>
      </c>
      <c r="H16" s="90">
        <f>'RGF A5 Exec 2 Sem'!H16+'RGF A5 Leg 2 Sem'!H16</f>
        <v>0</v>
      </c>
      <c r="I16" s="90" t="e">
        <f>'RGF A5 Exec 2 Sem'!I16+'RGF A5 Leg 2 Sem'!I16</f>
        <v>#REF!</v>
      </c>
      <c r="J16" s="90" t="e">
        <f>'RGF A5 Exec 2 Sem'!J16+'RGF A5 Leg 2 Sem'!J16</f>
        <v>#REF!</v>
      </c>
      <c r="K16" s="90">
        <f>'RGF A5 Exec 2 Sem'!K16+'RGF A5 Leg 2 Sem'!K16</f>
        <v>0</v>
      </c>
      <c r="L16" s="91" t="e">
        <f>'RGF A5 Exec 2 Sem'!L16+'RGF A5 Leg 2 Sem'!L16</f>
        <v>#REF!</v>
      </c>
    </row>
    <row r="17" spans="2:12" x14ac:dyDescent="0.25">
      <c r="B17" s="33" t="s">
        <v>1262</v>
      </c>
      <c r="C17" s="31" t="e">
        <f>'RGF A5 Exec 2 Sem'!C17+'RGF A5 Leg 2 Sem'!C17</f>
        <v>#REF!</v>
      </c>
      <c r="D17" s="31" t="e">
        <f>'RGF A5 Exec 2 Sem'!D17+'RGF A5 Leg 2 Sem'!D17</f>
        <v>#REF!</v>
      </c>
      <c r="E17" s="31" t="e">
        <f>'RGF A5 Exec 2 Sem'!E17+'RGF A5 Leg 2 Sem'!E17</f>
        <v>#REF!</v>
      </c>
      <c r="F17" s="31" t="e">
        <f>'RGF A5 Exec 2 Sem'!F17+'RGF A5 Leg 2 Sem'!F17</f>
        <v>#REF!</v>
      </c>
      <c r="G17" s="31">
        <f>'RGF A5 Exec 2 Sem'!G17+'RGF A5 Leg 2 Sem'!G17</f>
        <v>0</v>
      </c>
      <c r="H17" s="31">
        <f>'RGF A5 Exec 2 Sem'!H17+'RGF A5 Leg 2 Sem'!H17</f>
        <v>0</v>
      </c>
      <c r="I17" s="31" t="e">
        <f>'RGF A5 Exec 2 Sem'!I17+'RGF A5 Leg 2 Sem'!I17</f>
        <v>#REF!</v>
      </c>
      <c r="J17" s="31" t="e">
        <f>'RGF A5 Exec 2 Sem'!J17+'RGF A5 Leg 2 Sem'!J17</f>
        <v>#REF!</v>
      </c>
      <c r="K17" s="31">
        <f>'RGF A5 Exec 2 Sem'!K17+'RGF A5 Leg 2 Sem'!K17</f>
        <v>0</v>
      </c>
      <c r="L17" s="32" t="e">
        <f>'RGF A5 Exec 2 Sem'!L17+'RGF A5 Leg 2 Sem'!L17</f>
        <v>#REF!</v>
      </c>
    </row>
    <row r="18" spans="2:12" x14ac:dyDescent="0.25">
      <c r="B18" s="33" t="s">
        <v>1263</v>
      </c>
      <c r="C18" s="31" t="e">
        <f>'RGF A5 Exec 2 Sem'!C18+'RGF A5 Leg 2 Sem'!C18</f>
        <v>#REF!</v>
      </c>
      <c r="D18" s="31" t="e">
        <f>'RGF A5 Exec 2 Sem'!D18+'RGF A5 Leg 2 Sem'!D18</f>
        <v>#REF!</v>
      </c>
      <c r="E18" s="31" t="e">
        <f>'RGF A5 Exec 2 Sem'!E18+'RGF A5 Leg 2 Sem'!E18</f>
        <v>#REF!</v>
      </c>
      <c r="F18" s="31" t="e">
        <f>'RGF A5 Exec 2 Sem'!F18+'RGF A5 Leg 2 Sem'!F18</f>
        <v>#REF!</v>
      </c>
      <c r="G18" s="31">
        <f>'RGF A5 Exec 2 Sem'!G18+'RGF A5 Leg 2 Sem'!G18</f>
        <v>0</v>
      </c>
      <c r="H18" s="31">
        <f>'RGF A5 Exec 2 Sem'!H18+'RGF A5 Leg 2 Sem'!H18</f>
        <v>0</v>
      </c>
      <c r="I18" s="31" t="e">
        <f>'RGF A5 Exec 2 Sem'!I18+'RGF A5 Leg 2 Sem'!I18</f>
        <v>#REF!</v>
      </c>
      <c r="J18" s="31" t="e">
        <f>'RGF A5 Exec 2 Sem'!J18+'RGF A5 Leg 2 Sem'!J18</f>
        <v>#REF!</v>
      </c>
      <c r="K18" s="31">
        <f>'RGF A5 Exec 2 Sem'!K18+'RGF A5 Leg 2 Sem'!K18</f>
        <v>0</v>
      </c>
      <c r="L18" s="32" t="e">
        <f>'RGF A5 Exec 2 Sem'!L18+'RGF A5 Leg 2 Sem'!L18</f>
        <v>#REF!</v>
      </c>
    </row>
    <row r="19" spans="2:12" x14ac:dyDescent="0.25">
      <c r="B19" s="220" t="s">
        <v>1264</v>
      </c>
      <c r="C19" s="90" t="e">
        <f>'RGF A5 Exec 2 Sem'!C19+'RGF A5 Leg 2 Sem'!C19</f>
        <v>#REF!</v>
      </c>
      <c r="D19" s="90" t="e">
        <f>'RGF A5 Exec 2 Sem'!D19+'RGF A5 Leg 2 Sem'!D19</f>
        <v>#REF!</v>
      </c>
      <c r="E19" s="90" t="e">
        <f>'RGF A5 Exec 2 Sem'!E19+'RGF A5 Leg 2 Sem'!E19</f>
        <v>#REF!</v>
      </c>
      <c r="F19" s="90" t="e">
        <f>'RGF A5 Exec 2 Sem'!F19+'RGF A5 Leg 2 Sem'!F19</f>
        <v>#REF!</v>
      </c>
      <c r="G19" s="90" t="e">
        <f>'RGF A5 Exec 2 Sem'!G19+'RGF A5 Leg 2 Sem'!G19</f>
        <v>#REF!</v>
      </c>
      <c r="H19" s="90">
        <f>'RGF A5 Exec 2 Sem'!H19+'RGF A5 Leg 2 Sem'!H19</f>
        <v>0</v>
      </c>
      <c r="I19" s="90" t="e">
        <f>'RGF A5 Exec 2 Sem'!I19+'RGF A5 Leg 2 Sem'!I19</f>
        <v>#REF!</v>
      </c>
      <c r="J19" s="90" t="e">
        <f>'RGF A5 Exec 2 Sem'!J19+'RGF A5 Leg 2 Sem'!J19</f>
        <v>#REF!</v>
      </c>
      <c r="K19" s="90">
        <f>'RGF A5 Exec 2 Sem'!K19+'RGF A5 Leg 2 Sem'!K19</f>
        <v>0</v>
      </c>
      <c r="L19" s="91" t="e">
        <f>'RGF A5 Exec 2 Sem'!L19+'RGF A5 Leg 2 Sem'!L19</f>
        <v>#REF!</v>
      </c>
    </row>
    <row r="20" spans="2:12" x14ac:dyDescent="0.25">
      <c r="B20" s="219" t="s">
        <v>1265</v>
      </c>
      <c r="C20" s="149" t="e">
        <f>'RGF A5 Exec 2 Sem'!C20+'RGF A5 Leg 2 Sem'!C20</f>
        <v>#REF!</v>
      </c>
      <c r="D20" s="149" t="e">
        <f>'RGF A5 Exec 2 Sem'!D20+'RGF A5 Leg 2 Sem'!D20</f>
        <v>#REF!</v>
      </c>
      <c r="E20" s="149" t="e">
        <f>'RGF A5 Exec 2 Sem'!E20+'RGF A5 Leg 2 Sem'!E20</f>
        <v>#REF!</v>
      </c>
      <c r="F20" s="149" t="e">
        <f>'RGF A5 Exec 2 Sem'!F20+'RGF A5 Leg 2 Sem'!F20</f>
        <v>#REF!</v>
      </c>
      <c r="G20" s="149">
        <f>'RGF A5 Exec 2 Sem'!G20+'RGF A5 Leg 2 Sem'!G20</f>
        <v>0</v>
      </c>
      <c r="H20" s="149">
        <f>'RGF A5 Exec 2 Sem'!H20+'RGF A5 Leg 2 Sem'!H20</f>
        <v>0</v>
      </c>
      <c r="I20" s="149" t="e">
        <f>'RGF A5 Exec 2 Sem'!I20+'RGF A5 Leg 2 Sem'!I20</f>
        <v>#REF!</v>
      </c>
      <c r="J20" s="149" t="e">
        <f>'RGF A5 Exec 2 Sem'!J20+'RGF A5 Leg 2 Sem'!J20</f>
        <v>#REF!</v>
      </c>
      <c r="K20" s="149">
        <f>'RGF A5 Exec 2 Sem'!K20+'RGF A5 Leg 2 Sem'!K20</f>
        <v>0</v>
      </c>
      <c r="L20" s="150" t="e">
        <f>'RGF A5 Exec 2 Sem'!L20+'RGF A5 Leg 2 Sem'!L20</f>
        <v>#REF!</v>
      </c>
    </row>
    <row r="21" spans="2:12" x14ac:dyDescent="0.25">
      <c r="B21" s="34" t="s">
        <v>439</v>
      </c>
      <c r="C21" s="31" t="e">
        <f>'RGF A5 Exec 2 Sem'!C21+'RGF A5 Leg 2 Sem'!C21</f>
        <v>#REF!</v>
      </c>
      <c r="D21" s="31" t="e">
        <f>'RGF A5 Exec 2 Sem'!D21+'RGF A5 Leg 2 Sem'!D21</f>
        <v>#REF!</v>
      </c>
      <c r="E21" s="31" t="e">
        <f>'RGF A5 Exec 2 Sem'!E21+'RGF A5 Leg 2 Sem'!E21</f>
        <v>#REF!</v>
      </c>
      <c r="F21" s="31" t="e">
        <f>'RGF A5 Exec 2 Sem'!F21+'RGF A5 Leg 2 Sem'!F21</f>
        <v>#REF!</v>
      </c>
      <c r="G21" s="31">
        <f>'RGF A5 Exec 2 Sem'!G21+'RGF A5 Leg 2 Sem'!G21</f>
        <v>0</v>
      </c>
      <c r="H21" s="31">
        <f>'RGF A5 Exec 2 Sem'!H21+'RGF A5 Leg 2 Sem'!H21</f>
        <v>0</v>
      </c>
      <c r="I21" s="31" t="e">
        <f>'RGF A5 Exec 2 Sem'!I21+'RGF A5 Leg 2 Sem'!I21</f>
        <v>#REF!</v>
      </c>
      <c r="J21" s="31" t="e">
        <f>'RGF A5 Exec 2 Sem'!J21+'RGF A5 Leg 2 Sem'!J21</f>
        <v>#REF!</v>
      </c>
      <c r="K21" s="31">
        <f>'RGF A5 Exec 2 Sem'!K21+'RGF A5 Leg 2 Sem'!K21</f>
        <v>0</v>
      </c>
      <c r="L21" s="32" t="e">
        <f>'RGF A5 Exec 2 Sem'!L21+'RGF A5 Leg 2 Sem'!L21</f>
        <v>#REF!</v>
      </c>
    </row>
    <row r="22" spans="2:12" x14ac:dyDescent="0.25">
      <c r="B22" s="34" t="s">
        <v>1266</v>
      </c>
      <c r="C22" s="31" t="e">
        <f>'RGF A5 Exec 2 Sem'!C22+'RGF A5 Leg 2 Sem'!C22</f>
        <v>#REF!</v>
      </c>
      <c r="D22" s="31" t="e">
        <f>'RGF A5 Exec 2 Sem'!D22+'RGF A5 Leg 2 Sem'!D22</f>
        <v>#REF!</v>
      </c>
      <c r="E22" s="31" t="e">
        <f>'RGF A5 Exec 2 Sem'!E22+'RGF A5 Leg 2 Sem'!E22</f>
        <v>#REF!</v>
      </c>
      <c r="F22" s="31" t="e">
        <f>'RGF A5 Exec 2 Sem'!F22+'RGF A5 Leg 2 Sem'!F22</f>
        <v>#REF!</v>
      </c>
      <c r="G22" s="31">
        <f>'RGF A5 Exec 2 Sem'!G22+'RGF A5 Leg 2 Sem'!G22</f>
        <v>0</v>
      </c>
      <c r="H22" s="31">
        <f>'RGF A5 Exec 2 Sem'!H22+'RGF A5 Leg 2 Sem'!H22</f>
        <v>0</v>
      </c>
      <c r="I22" s="31" t="e">
        <f>'RGF A5 Exec 2 Sem'!I22+'RGF A5 Leg 2 Sem'!I22</f>
        <v>#REF!</v>
      </c>
      <c r="J22" s="31" t="e">
        <f>'RGF A5 Exec 2 Sem'!J22+'RGF A5 Leg 2 Sem'!J22</f>
        <v>#REF!</v>
      </c>
      <c r="K22" s="31">
        <f>'RGF A5 Exec 2 Sem'!K22+'RGF A5 Leg 2 Sem'!K22</f>
        <v>0</v>
      </c>
      <c r="L22" s="32" t="e">
        <f>'RGF A5 Exec 2 Sem'!L22+'RGF A5 Leg 2 Sem'!L22</f>
        <v>#REF!</v>
      </c>
    </row>
    <row r="23" spans="2:12" x14ac:dyDescent="0.25">
      <c r="B23" s="219" t="s">
        <v>1267</v>
      </c>
      <c r="C23" s="149" t="e">
        <f>'RGF A5 Exec 2 Sem'!C23+'RGF A5 Leg 2 Sem'!C23</f>
        <v>#REF!</v>
      </c>
      <c r="D23" s="149" t="e">
        <f>'RGF A5 Exec 2 Sem'!D23+'RGF A5 Leg 2 Sem'!D23</f>
        <v>#REF!</v>
      </c>
      <c r="E23" s="149" t="e">
        <f>'RGF A5 Exec 2 Sem'!E23+'RGF A5 Leg 2 Sem'!E23</f>
        <v>#REF!</v>
      </c>
      <c r="F23" s="149" t="e">
        <f>'RGF A5 Exec 2 Sem'!F23+'RGF A5 Leg 2 Sem'!F23</f>
        <v>#REF!</v>
      </c>
      <c r="G23" s="149">
        <f>'RGF A5 Exec 2 Sem'!G23+'RGF A5 Leg 2 Sem'!G23</f>
        <v>0</v>
      </c>
      <c r="H23" s="149">
        <f>'RGF A5 Exec 2 Sem'!H23+'RGF A5 Leg 2 Sem'!H23</f>
        <v>0</v>
      </c>
      <c r="I23" s="149" t="e">
        <f>'RGF A5 Exec 2 Sem'!I23+'RGF A5 Leg 2 Sem'!I23</f>
        <v>#REF!</v>
      </c>
      <c r="J23" s="149" t="e">
        <f>'RGF A5 Exec 2 Sem'!J23+'RGF A5 Leg 2 Sem'!J23</f>
        <v>#REF!</v>
      </c>
      <c r="K23" s="149">
        <f>'RGF A5 Exec 2 Sem'!K23+'RGF A5 Leg 2 Sem'!K23</f>
        <v>0</v>
      </c>
      <c r="L23" s="150" t="e">
        <f>'RGF A5 Exec 2 Sem'!L23+'RGF A5 Leg 2 Sem'!L23</f>
        <v>#REF!</v>
      </c>
    </row>
    <row r="24" spans="2:12" x14ac:dyDescent="0.25">
      <c r="B24" s="34" t="s">
        <v>1268</v>
      </c>
      <c r="C24" s="31" t="e">
        <f>'RGF A5 Exec 2 Sem'!C24+'RGF A5 Leg 2 Sem'!C24</f>
        <v>#REF!</v>
      </c>
      <c r="D24" s="31" t="e">
        <f>'RGF A5 Exec 2 Sem'!D24+'RGF A5 Leg 2 Sem'!D24</f>
        <v>#REF!</v>
      </c>
      <c r="E24" s="31" t="e">
        <f>'RGF A5 Exec 2 Sem'!E24+'RGF A5 Leg 2 Sem'!E24</f>
        <v>#REF!</v>
      </c>
      <c r="F24" s="31" t="e">
        <f>'RGF A5 Exec 2 Sem'!F24+'RGF A5 Leg 2 Sem'!F24</f>
        <v>#REF!</v>
      </c>
      <c r="G24" s="31">
        <f>'RGF A5 Exec 2 Sem'!G24+'RGF A5 Leg 2 Sem'!G24</f>
        <v>0</v>
      </c>
      <c r="H24" s="31">
        <f>'RGF A5 Exec 2 Sem'!H24+'RGF A5 Leg 2 Sem'!H24</f>
        <v>0</v>
      </c>
      <c r="I24" s="31" t="e">
        <f>'RGF A5 Exec 2 Sem'!I24+'RGF A5 Leg 2 Sem'!I24</f>
        <v>#REF!</v>
      </c>
      <c r="J24" s="31" t="e">
        <f>'RGF A5 Exec 2 Sem'!J24+'RGF A5 Leg 2 Sem'!J24</f>
        <v>#REF!</v>
      </c>
      <c r="K24" s="31">
        <f>'RGF A5 Exec 2 Sem'!K24+'RGF A5 Leg 2 Sem'!K24</f>
        <v>0</v>
      </c>
      <c r="L24" s="32" t="e">
        <f>'RGF A5 Exec 2 Sem'!L24+'RGF A5 Leg 2 Sem'!L24</f>
        <v>#REF!</v>
      </c>
    </row>
    <row r="25" spans="2:12" x14ac:dyDescent="0.25">
      <c r="B25" s="34" t="s">
        <v>1269</v>
      </c>
      <c r="C25" s="31" t="e">
        <f>'RGF A5 Exec 2 Sem'!C25+'RGF A5 Leg 2 Sem'!C25</f>
        <v>#REF!</v>
      </c>
      <c r="D25" s="31" t="e">
        <f>'RGF A5 Exec 2 Sem'!D25+'RGF A5 Leg 2 Sem'!D25</f>
        <v>#REF!</v>
      </c>
      <c r="E25" s="31" t="e">
        <f>'RGF A5 Exec 2 Sem'!E25+'RGF A5 Leg 2 Sem'!E25</f>
        <v>#REF!</v>
      </c>
      <c r="F25" s="31" t="e">
        <f>'RGF A5 Exec 2 Sem'!F25+'RGF A5 Leg 2 Sem'!F25</f>
        <v>#REF!</v>
      </c>
      <c r="G25" s="31">
        <f>'RGF A5 Exec 2 Sem'!G25+'RGF A5 Leg 2 Sem'!G25</f>
        <v>0</v>
      </c>
      <c r="H25" s="31">
        <f>'RGF A5 Exec 2 Sem'!H25+'RGF A5 Leg 2 Sem'!H25</f>
        <v>0</v>
      </c>
      <c r="I25" s="31" t="e">
        <f>'RGF A5 Exec 2 Sem'!I25+'RGF A5 Leg 2 Sem'!I25</f>
        <v>#REF!</v>
      </c>
      <c r="J25" s="31" t="e">
        <f>'RGF A5 Exec 2 Sem'!J25+'RGF A5 Leg 2 Sem'!J25</f>
        <v>#REF!</v>
      </c>
      <c r="K25" s="31">
        <f>'RGF A5 Exec 2 Sem'!K25+'RGF A5 Leg 2 Sem'!K25</f>
        <v>0</v>
      </c>
      <c r="L25" s="32" t="e">
        <f>'RGF A5 Exec 2 Sem'!L25+'RGF A5 Leg 2 Sem'!L25</f>
        <v>#REF!</v>
      </c>
    </row>
    <row r="26" spans="2:12" x14ac:dyDescent="0.25">
      <c r="B26" s="219" t="s">
        <v>1270</v>
      </c>
      <c r="C26" s="149" t="e">
        <f>'RGF A5 Exec 2 Sem'!C26+'RGF A5 Leg 2 Sem'!C26</f>
        <v>#REF!</v>
      </c>
      <c r="D26" s="149" t="e">
        <f>'RGF A5 Exec 2 Sem'!D26+'RGF A5 Leg 2 Sem'!D26</f>
        <v>#REF!</v>
      </c>
      <c r="E26" s="149" t="e">
        <f>'RGF A5 Exec 2 Sem'!E26+'RGF A5 Leg 2 Sem'!E26</f>
        <v>#REF!</v>
      </c>
      <c r="F26" s="149" t="e">
        <f>'RGF A5 Exec 2 Sem'!F26+'RGF A5 Leg 2 Sem'!F26</f>
        <v>#REF!</v>
      </c>
      <c r="G26" s="149">
        <f>'RGF A5 Exec 2 Sem'!G26+'RGF A5 Leg 2 Sem'!G26</f>
        <v>0</v>
      </c>
      <c r="H26" s="149">
        <f>'RGF A5 Exec 2 Sem'!H26+'RGF A5 Leg 2 Sem'!H26</f>
        <v>0</v>
      </c>
      <c r="I26" s="149" t="e">
        <f>'RGF A5 Exec 2 Sem'!I26+'RGF A5 Leg 2 Sem'!I26</f>
        <v>#REF!</v>
      </c>
      <c r="J26" s="149" t="e">
        <f>'RGF A5 Exec 2 Sem'!J26+'RGF A5 Leg 2 Sem'!J26</f>
        <v>#REF!</v>
      </c>
      <c r="K26" s="149">
        <f>'RGF A5 Exec 2 Sem'!K26+'RGF A5 Leg 2 Sem'!K26</f>
        <v>0</v>
      </c>
      <c r="L26" s="150" t="e">
        <f>'RGF A5 Exec 2 Sem'!L26+'RGF A5 Leg 2 Sem'!L26</f>
        <v>#REF!</v>
      </c>
    </row>
    <row r="27" spans="2:12" x14ac:dyDescent="0.25">
      <c r="B27" s="219" t="s">
        <v>1271</v>
      </c>
      <c r="C27" s="149" t="e">
        <f>'RGF A5 Exec 2 Sem'!C27+'RGF A5 Leg 2 Sem'!C27</f>
        <v>#REF!</v>
      </c>
      <c r="D27" s="149" t="e">
        <f>'RGF A5 Exec 2 Sem'!D27+'RGF A5 Leg 2 Sem'!D27</f>
        <v>#REF!</v>
      </c>
      <c r="E27" s="149" t="e">
        <f>'RGF A5 Exec 2 Sem'!E27+'RGF A5 Leg 2 Sem'!E27</f>
        <v>#REF!</v>
      </c>
      <c r="F27" s="149" t="e">
        <f>'RGF A5 Exec 2 Sem'!F27+'RGF A5 Leg 2 Sem'!F27</f>
        <v>#REF!</v>
      </c>
      <c r="G27" s="149">
        <f>'RGF A5 Exec 2 Sem'!G27+'RGF A5 Leg 2 Sem'!G27</f>
        <v>0</v>
      </c>
      <c r="H27" s="149">
        <f>'RGF A5 Exec 2 Sem'!H27+'RGF A5 Leg 2 Sem'!H27</f>
        <v>0</v>
      </c>
      <c r="I27" s="149" t="e">
        <f>'RGF A5 Exec 2 Sem'!I27+'RGF A5 Leg 2 Sem'!I27</f>
        <v>#REF!</v>
      </c>
      <c r="J27" s="149" t="e">
        <f>'RGF A5 Exec 2 Sem'!J27+'RGF A5 Leg 2 Sem'!J27</f>
        <v>#REF!</v>
      </c>
      <c r="K27" s="149">
        <f>'RGF A5 Exec 2 Sem'!K27+'RGF A5 Leg 2 Sem'!K27</f>
        <v>0</v>
      </c>
      <c r="L27" s="150" t="e">
        <f>'RGF A5 Exec 2 Sem'!L27+'RGF A5 Leg 2 Sem'!L27</f>
        <v>#REF!</v>
      </c>
    </row>
    <row r="28" spans="2:12" x14ac:dyDescent="0.25">
      <c r="B28" s="219" t="s">
        <v>1272</v>
      </c>
      <c r="C28" s="149" t="e">
        <f>'RGF A5 Exec 2 Sem'!C28+'RGF A5 Leg 2 Sem'!C28</f>
        <v>#REF!</v>
      </c>
      <c r="D28" s="149" t="e">
        <f>'RGF A5 Exec 2 Sem'!D28+'RGF A5 Leg 2 Sem'!D28</f>
        <v>#REF!</v>
      </c>
      <c r="E28" s="149" t="e">
        <f>'RGF A5 Exec 2 Sem'!E28+'RGF A5 Leg 2 Sem'!E28</f>
        <v>#REF!</v>
      </c>
      <c r="F28" s="149" t="e">
        <f>'RGF A5 Exec 2 Sem'!F28+'RGF A5 Leg 2 Sem'!F28</f>
        <v>#REF!</v>
      </c>
      <c r="G28" s="149">
        <f>'RGF A5 Exec 2 Sem'!G28+'RGF A5 Leg 2 Sem'!G28</f>
        <v>0</v>
      </c>
      <c r="H28" s="149">
        <f>'RGF A5 Exec 2 Sem'!H28+'RGF A5 Leg 2 Sem'!H28</f>
        <v>0</v>
      </c>
      <c r="I28" s="149" t="e">
        <f>'RGF A5 Exec 2 Sem'!I28+'RGF A5 Leg 2 Sem'!I28</f>
        <v>#REF!</v>
      </c>
      <c r="J28" s="149" t="e">
        <f>'RGF A5 Exec 2 Sem'!J28+'RGF A5 Leg 2 Sem'!J28</f>
        <v>#REF!</v>
      </c>
      <c r="K28" s="149">
        <f>'RGF A5 Exec 2 Sem'!K28+'RGF A5 Leg 2 Sem'!K28</f>
        <v>0</v>
      </c>
      <c r="L28" s="150" t="e">
        <f>'RGF A5 Exec 2 Sem'!L28+'RGF A5 Leg 2 Sem'!L28</f>
        <v>#REF!</v>
      </c>
    </row>
    <row r="29" spans="2:12" x14ac:dyDescent="0.25">
      <c r="B29" s="34" t="s">
        <v>1273</v>
      </c>
      <c r="C29" s="31" t="e">
        <f>'RGF A5 Exec 2 Sem'!C29+'RGF A5 Leg 2 Sem'!C29</f>
        <v>#REF!</v>
      </c>
      <c r="D29" s="31" t="e">
        <f>'RGF A5 Exec 2 Sem'!D29+'RGF A5 Leg 2 Sem'!D29</f>
        <v>#REF!</v>
      </c>
      <c r="E29" s="31" t="e">
        <f>'RGF A5 Exec 2 Sem'!E29+'RGF A5 Leg 2 Sem'!E29</f>
        <v>#REF!</v>
      </c>
      <c r="F29" s="31" t="e">
        <f>'RGF A5 Exec 2 Sem'!F29+'RGF A5 Leg 2 Sem'!F29</f>
        <v>#REF!</v>
      </c>
      <c r="G29" s="31">
        <f>'RGF A5 Exec 2 Sem'!G29+'RGF A5 Leg 2 Sem'!G29</f>
        <v>0</v>
      </c>
      <c r="H29" s="31">
        <f>'RGF A5 Exec 2 Sem'!H29+'RGF A5 Leg 2 Sem'!H29</f>
        <v>0</v>
      </c>
      <c r="I29" s="31" t="e">
        <f>'RGF A5 Exec 2 Sem'!I29+'RGF A5 Leg 2 Sem'!I29</f>
        <v>#REF!</v>
      </c>
      <c r="J29" s="31" t="e">
        <f>'RGF A5 Exec 2 Sem'!J29+'RGF A5 Leg 2 Sem'!J29</f>
        <v>#REF!</v>
      </c>
      <c r="K29" s="31">
        <f>'RGF A5 Exec 2 Sem'!K29+'RGF A5 Leg 2 Sem'!K29</f>
        <v>0</v>
      </c>
      <c r="L29" s="32" t="e">
        <f>'RGF A5 Exec 2 Sem'!L29+'RGF A5 Leg 2 Sem'!L29</f>
        <v>#REF!</v>
      </c>
    </row>
    <row r="30" spans="2:12" x14ac:dyDescent="0.25">
      <c r="B30" s="34" t="s">
        <v>1274</v>
      </c>
      <c r="C30" s="31" t="e">
        <f>'RGF A5 Exec 2 Sem'!C30+'RGF A5 Leg 2 Sem'!C30</f>
        <v>#REF!</v>
      </c>
      <c r="D30" s="31" t="e">
        <f>'RGF A5 Exec 2 Sem'!D30+'RGF A5 Leg 2 Sem'!D30</f>
        <v>#REF!</v>
      </c>
      <c r="E30" s="31" t="e">
        <f>'RGF A5 Exec 2 Sem'!E30+'RGF A5 Leg 2 Sem'!E30</f>
        <v>#REF!</v>
      </c>
      <c r="F30" s="31" t="e">
        <f>'RGF A5 Exec 2 Sem'!F30+'RGF A5 Leg 2 Sem'!F30</f>
        <v>#REF!</v>
      </c>
      <c r="G30" s="31">
        <f>'RGF A5 Exec 2 Sem'!G30+'RGF A5 Leg 2 Sem'!G30</f>
        <v>0</v>
      </c>
      <c r="H30" s="31">
        <f>'RGF A5 Exec 2 Sem'!H30+'RGF A5 Leg 2 Sem'!H30</f>
        <v>0</v>
      </c>
      <c r="I30" s="31" t="e">
        <f>'RGF A5 Exec 2 Sem'!I30+'RGF A5 Leg 2 Sem'!I30</f>
        <v>#REF!</v>
      </c>
      <c r="J30" s="31" t="e">
        <f>'RGF A5 Exec 2 Sem'!J30+'RGF A5 Leg 2 Sem'!J30</f>
        <v>#REF!</v>
      </c>
      <c r="K30" s="31">
        <f>'RGF A5 Exec 2 Sem'!K30+'RGF A5 Leg 2 Sem'!K30</f>
        <v>0</v>
      </c>
      <c r="L30" s="32" t="e">
        <f>'RGF A5 Exec 2 Sem'!L30+'RGF A5 Leg 2 Sem'!L30</f>
        <v>#REF!</v>
      </c>
    </row>
    <row r="31" spans="2:12" x14ac:dyDescent="0.25">
      <c r="B31" s="219" t="s">
        <v>1275</v>
      </c>
      <c r="C31" s="149" t="e">
        <f>'RGF A5 Exec 2 Sem'!C31+'RGF A5 Leg 2 Sem'!C31</f>
        <v>#REF!</v>
      </c>
      <c r="D31" s="149" t="e">
        <f>'RGF A5 Exec 2 Sem'!D31+'RGF A5 Leg 2 Sem'!D31</f>
        <v>#REF!</v>
      </c>
      <c r="E31" s="149" t="e">
        <f>'RGF A5 Exec 2 Sem'!E31+'RGF A5 Leg 2 Sem'!E31</f>
        <v>#REF!</v>
      </c>
      <c r="F31" s="149" t="e">
        <f>'RGF A5 Exec 2 Sem'!F31+'RGF A5 Leg 2 Sem'!F31</f>
        <v>#REF!</v>
      </c>
      <c r="G31" s="149">
        <f>'RGF A5 Exec 2 Sem'!G31+'RGF A5 Leg 2 Sem'!G31</f>
        <v>0</v>
      </c>
      <c r="H31" s="149">
        <f>'RGF A5 Exec 2 Sem'!H31+'RGF A5 Leg 2 Sem'!H31</f>
        <v>0</v>
      </c>
      <c r="I31" s="149" t="e">
        <f>'RGF A5 Exec 2 Sem'!I31+'RGF A5 Leg 2 Sem'!I31</f>
        <v>#REF!</v>
      </c>
      <c r="J31" s="149" t="e">
        <f>'RGF A5 Exec 2 Sem'!J31+'RGF A5 Leg 2 Sem'!J31</f>
        <v>#REF!</v>
      </c>
      <c r="K31" s="149">
        <f>'RGF A5 Exec 2 Sem'!K31+'RGF A5 Leg 2 Sem'!K31</f>
        <v>0</v>
      </c>
      <c r="L31" s="150" t="e">
        <f>'RGF A5 Exec 2 Sem'!L31+'RGF A5 Leg 2 Sem'!L31</f>
        <v>#REF!</v>
      </c>
    </row>
    <row r="32" spans="2:12" x14ac:dyDescent="0.25">
      <c r="B32" s="34" t="s">
        <v>1276</v>
      </c>
      <c r="C32" s="31" t="e">
        <f>'RGF A5 Exec 2 Sem'!C32+'RGF A5 Leg 2 Sem'!C32</f>
        <v>#REF!</v>
      </c>
      <c r="D32" s="31" t="e">
        <f>'RGF A5 Exec 2 Sem'!D32+'RGF A5 Leg 2 Sem'!D32</f>
        <v>#REF!</v>
      </c>
      <c r="E32" s="31" t="e">
        <f>'RGF A5 Exec 2 Sem'!E32+'RGF A5 Leg 2 Sem'!E32</f>
        <v>#REF!</v>
      </c>
      <c r="F32" s="31" t="e">
        <f>'RGF A5 Exec 2 Sem'!F32+'RGF A5 Leg 2 Sem'!F32</f>
        <v>#REF!</v>
      </c>
      <c r="G32" s="31">
        <f>'RGF A5 Exec 2 Sem'!G32+'RGF A5 Leg 2 Sem'!G32</f>
        <v>0</v>
      </c>
      <c r="H32" s="31">
        <f>'RGF A5 Exec 2 Sem'!H32+'RGF A5 Leg 2 Sem'!H32</f>
        <v>0</v>
      </c>
      <c r="I32" s="31" t="e">
        <f>'RGF A5 Exec 2 Sem'!I32+'RGF A5 Leg 2 Sem'!I32</f>
        <v>#REF!</v>
      </c>
      <c r="J32" s="31" t="e">
        <f>'RGF A5 Exec 2 Sem'!J32+'RGF A5 Leg 2 Sem'!J32</f>
        <v>#REF!</v>
      </c>
      <c r="K32" s="31">
        <f>'RGF A5 Exec 2 Sem'!K32+'RGF A5 Leg 2 Sem'!K32</f>
        <v>0</v>
      </c>
      <c r="L32" s="32" t="e">
        <f>'RGF A5 Exec 2 Sem'!L32+'RGF A5 Leg 2 Sem'!L32</f>
        <v>#REF!</v>
      </c>
    </row>
    <row r="33" spans="2:16" x14ac:dyDescent="0.25">
      <c r="B33" s="34" t="s">
        <v>1277</v>
      </c>
      <c r="C33" s="31" t="e">
        <f>'RGF A5 Exec 2 Sem'!C33+'RGF A5 Leg 2 Sem'!C33</f>
        <v>#REF!</v>
      </c>
      <c r="D33" s="31" t="e">
        <f>'RGF A5 Exec 2 Sem'!D33+'RGF A5 Leg 2 Sem'!D33</f>
        <v>#REF!</v>
      </c>
      <c r="E33" s="31" t="e">
        <f>'RGF A5 Exec 2 Sem'!E33+'RGF A5 Leg 2 Sem'!E33</f>
        <v>#REF!</v>
      </c>
      <c r="F33" s="31" t="e">
        <f>'RGF A5 Exec 2 Sem'!F33+'RGF A5 Leg 2 Sem'!F33</f>
        <v>#REF!</v>
      </c>
      <c r="G33" s="31">
        <f>'RGF A5 Exec 2 Sem'!G33+'RGF A5 Leg 2 Sem'!G33</f>
        <v>0</v>
      </c>
      <c r="H33" s="31">
        <f>'RGF A5 Exec 2 Sem'!H33+'RGF A5 Leg 2 Sem'!H33</f>
        <v>0</v>
      </c>
      <c r="I33" s="31" t="e">
        <f>'RGF A5 Exec 2 Sem'!I33+'RGF A5 Leg 2 Sem'!I33</f>
        <v>#REF!</v>
      </c>
      <c r="J33" s="31" t="e">
        <f>'RGF A5 Exec 2 Sem'!J33+'RGF A5 Leg 2 Sem'!J33</f>
        <v>#REF!</v>
      </c>
      <c r="K33" s="31">
        <f>'RGF A5 Exec 2 Sem'!K33+'RGF A5 Leg 2 Sem'!K33</f>
        <v>0</v>
      </c>
      <c r="L33" s="32" t="e">
        <f>'RGF A5 Exec 2 Sem'!L33+'RGF A5 Leg 2 Sem'!L33</f>
        <v>#REF!</v>
      </c>
    </row>
    <row r="34" spans="2:16" x14ac:dyDescent="0.25">
      <c r="B34" s="34" t="s">
        <v>1278</v>
      </c>
      <c r="C34" s="31" t="e">
        <f>'RGF A5 Exec 2 Sem'!C34+'RGF A5 Leg 2 Sem'!C34</f>
        <v>#REF!</v>
      </c>
      <c r="D34" s="31" t="e">
        <f>'RGF A5 Exec 2 Sem'!D34+'RGF A5 Leg 2 Sem'!D34</f>
        <v>#REF!</v>
      </c>
      <c r="E34" s="31" t="e">
        <f>'RGF A5 Exec 2 Sem'!E34+'RGF A5 Leg 2 Sem'!E34</f>
        <v>#REF!</v>
      </c>
      <c r="F34" s="31" t="e">
        <f>'RGF A5 Exec 2 Sem'!F34+'RGF A5 Leg 2 Sem'!F34</f>
        <v>#REF!</v>
      </c>
      <c r="G34" s="31">
        <f>'RGF A5 Exec 2 Sem'!G34+'RGF A5 Leg 2 Sem'!G34</f>
        <v>0</v>
      </c>
      <c r="H34" s="31">
        <f>'RGF A5 Exec 2 Sem'!H34+'RGF A5 Leg 2 Sem'!H34</f>
        <v>0</v>
      </c>
      <c r="I34" s="31" t="e">
        <f>'RGF A5 Exec 2 Sem'!I34+'RGF A5 Leg 2 Sem'!I34</f>
        <v>#REF!</v>
      </c>
      <c r="J34" s="31" t="e">
        <f>'RGF A5 Exec 2 Sem'!J34+'RGF A5 Leg 2 Sem'!J34</f>
        <v>#REF!</v>
      </c>
      <c r="K34" s="31">
        <f>'RGF A5 Exec 2 Sem'!K34+'RGF A5 Leg 2 Sem'!K34</f>
        <v>0</v>
      </c>
      <c r="L34" s="32" t="e">
        <f>'RGF A5 Exec 2 Sem'!L34+'RGF A5 Leg 2 Sem'!L34</f>
        <v>#REF!</v>
      </c>
    </row>
    <row r="35" spans="2:16" x14ac:dyDescent="0.25">
      <c r="B35" s="34" t="s">
        <v>1279</v>
      </c>
      <c r="C35" s="31" t="e">
        <f>'RGF A5 Exec 2 Sem'!C35+'RGF A5 Leg 2 Sem'!C35</f>
        <v>#REF!</v>
      </c>
      <c r="D35" s="31" t="e">
        <f>'RGF A5 Exec 2 Sem'!D35+'RGF A5 Leg 2 Sem'!D35</f>
        <v>#REF!</v>
      </c>
      <c r="E35" s="31" t="e">
        <f>'RGF A5 Exec 2 Sem'!E35+'RGF A5 Leg 2 Sem'!E35</f>
        <v>#REF!</v>
      </c>
      <c r="F35" s="31" t="e">
        <f>'RGF A5 Exec 2 Sem'!F35+'RGF A5 Leg 2 Sem'!F35</f>
        <v>#REF!</v>
      </c>
      <c r="G35" s="31">
        <f>'RGF A5 Exec 2 Sem'!G35+'RGF A5 Leg 2 Sem'!G35</f>
        <v>0</v>
      </c>
      <c r="H35" s="31">
        <f>'RGF A5 Exec 2 Sem'!H35+'RGF A5 Leg 2 Sem'!H35</f>
        <v>0</v>
      </c>
      <c r="I35" s="31" t="e">
        <f>'RGF A5 Exec 2 Sem'!I35+'RGF A5 Leg 2 Sem'!I35</f>
        <v>#REF!</v>
      </c>
      <c r="J35" s="31" t="e">
        <f>'RGF A5 Exec 2 Sem'!J35+'RGF A5 Leg 2 Sem'!J35</f>
        <v>#REF!</v>
      </c>
      <c r="K35" s="31">
        <f>'RGF A5 Exec 2 Sem'!K35+'RGF A5 Leg 2 Sem'!K35</f>
        <v>0</v>
      </c>
      <c r="L35" s="32" t="e">
        <f>'RGF A5 Exec 2 Sem'!L35+'RGF A5 Leg 2 Sem'!L35</f>
        <v>#REF!</v>
      </c>
    </row>
    <row r="36" spans="2:16" x14ac:dyDescent="0.25">
      <c r="B36" s="219" t="s">
        <v>1280</v>
      </c>
      <c r="C36" s="149" t="e">
        <f>'RGF A5 Exec 2 Sem'!C36+'RGF A5 Leg 2 Sem'!C36</f>
        <v>#REF!</v>
      </c>
      <c r="D36" s="149" t="e">
        <f>'RGF A5 Exec 2 Sem'!D36+'RGF A5 Leg 2 Sem'!D36</f>
        <v>#REF!</v>
      </c>
      <c r="E36" s="149" t="e">
        <f>'RGF A5 Exec 2 Sem'!E36+'RGF A5 Leg 2 Sem'!E36</f>
        <v>#REF!</v>
      </c>
      <c r="F36" s="149" t="e">
        <f>'RGF A5 Exec 2 Sem'!F36+'RGF A5 Leg 2 Sem'!F36</f>
        <v>#REF!</v>
      </c>
      <c r="G36" s="149">
        <f>'RGF A5 Exec 2 Sem'!G36+'RGF A5 Leg 2 Sem'!G36</f>
        <v>0</v>
      </c>
      <c r="H36" s="149">
        <f>'RGF A5 Exec 2 Sem'!H36+'RGF A5 Leg 2 Sem'!H36</f>
        <v>0</v>
      </c>
      <c r="I36" s="149" t="e">
        <f>'RGF A5 Exec 2 Sem'!I36+'RGF A5 Leg 2 Sem'!I36</f>
        <v>#REF!</v>
      </c>
      <c r="J36" s="149" t="e">
        <f>'RGF A5 Exec 2 Sem'!J36+'RGF A5 Leg 2 Sem'!J36</f>
        <v>#REF!</v>
      </c>
      <c r="K36" s="149">
        <f>'RGF A5 Exec 2 Sem'!K36+'RGF A5 Leg 2 Sem'!K36</f>
        <v>0</v>
      </c>
      <c r="L36" s="150" t="e">
        <f>'RGF A5 Exec 2 Sem'!L36+'RGF A5 Leg 2 Sem'!L36</f>
        <v>#REF!</v>
      </c>
    </row>
    <row r="37" spans="2:16" x14ac:dyDescent="0.25">
      <c r="B37" s="219" t="s">
        <v>1281</v>
      </c>
      <c r="C37" s="149" t="e">
        <f>'RGF A5 Exec 2 Sem'!C37+'RGF A5 Leg 2 Sem'!C37</f>
        <v>#REF!</v>
      </c>
      <c r="D37" s="149" t="e">
        <f>'RGF A5 Exec 2 Sem'!D37+'RGF A5 Leg 2 Sem'!D37</f>
        <v>#REF!</v>
      </c>
      <c r="E37" s="149" t="e">
        <f>'RGF A5 Exec 2 Sem'!E37+'RGF A5 Leg 2 Sem'!E37</f>
        <v>#REF!</v>
      </c>
      <c r="F37" s="149" t="e">
        <f>'RGF A5 Exec 2 Sem'!F37+'RGF A5 Leg 2 Sem'!F37</f>
        <v>#REF!</v>
      </c>
      <c r="G37" s="149" t="e">
        <f>'RGF A5 Exec 2 Sem'!G37+'RGF A5 Leg 2 Sem'!G37</f>
        <v>#REF!</v>
      </c>
      <c r="H37" s="149">
        <f>'RGF A5 Exec 2 Sem'!H37+'RGF A5 Leg 2 Sem'!H37</f>
        <v>0</v>
      </c>
      <c r="I37" s="149" t="e">
        <f>'RGF A5 Exec 2 Sem'!I37+'RGF A5 Leg 2 Sem'!I37</f>
        <v>#REF!</v>
      </c>
      <c r="J37" s="149" t="e">
        <f>'RGF A5 Exec 2 Sem'!J37+'RGF A5 Leg 2 Sem'!J37</f>
        <v>#REF!</v>
      </c>
      <c r="K37" s="149">
        <f>'RGF A5 Exec 2 Sem'!K37+'RGF A5 Leg 2 Sem'!K37</f>
        <v>0</v>
      </c>
      <c r="L37" s="150" t="e">
        <f>'RGF A5 Exec 2 Sem'!L37+'RGF A5 Leg 2 Sem'!L37</f>
        <v>#REF!</v>
      </c>
    </row>
    <row r="38" spans="2:16" x14ac:dyDescent="0.25">
      <c r="B38" s="220" t="s">
        <v>1282</v>
      </c>
      <c r="C38" s="90" t="e">
        <f>'RGF A5 Exec 2 Sem'!C38+'RGF A5 Leg 2 Sem'!C38</f>
        <v>#REF!</v>
      </c>
      <c r="D38" s="90" t="e">
        <f>'RGF A5 Exec 2 Sem'!D38+'RGF A5 Leg 2 Sem'!D38</f>
        <v>#REF!</v>
      </c>
      <c r="E38" s="90" t="e">
        <f>'RGF A5 Exec 2 Sem'!E38+'RGF A5 Leg 2 Sem'!E38</f>
        <v>#REF!</v>
      </c>
      <c r="F38" s="90" t="e">
        <f>'RGF A5 Exec 2 Sem'!F38+'RGF A5 Leg 2 Sem'!F38</f>
        <v>#REF!</v>
      </c>
      <c r="G38" s="90">
        <f>'RGF A5 Exec 2 Sem'!G38+'RGF A5 Leg 2 Sem'!G38</f>
        <v>0</v>
      </c>
      <c r="H38" s="90">
        <f>'RGF A5 Exec 2 Sem'!H38+'RGF A5 Leg 2 Sem'!H38</f>
        <v>0</v>
      </c>
      <c r="I38" s="90" t="e">
        <f>'RGF A5 Exec 2 Sem'!I38+'RGF A5 Leg 2 Sem'!I38</f>
        <v>#REF!</v>
      </c>
      <c r="J38" s="90" t="e">
        <f>'RGF A5 Exec 2 Sem'!J38+'RGF A5 Leg 2 Sem'!J38</f>
        <v>#REF!</v>
      </c>
      <c r="K38" s="90">
        <f>'RGF A5 Exec 2 Sem'!K38+'RGF A5 Leg 2 Sem'!K38</f>
        <v>0</v>
      </c>
      <c r="L38" s="91" t="e">
        <f>'RGF A5 Exec 2 Sem'!L38+'RGF A5 Leg 2 Sem'!L38</f>
        <v>#REF!</v>
      </c>
    </row>
    <row r="39" spans="2:16" x14ac:dyDescent="0.25">
      <c r="B39" s="33" t="s">
        <v>1283</v>
      </c>
      <c r="C39" s="31" t="e">
        <f>'RGF A5 Exec 2 Sem'!C39+'RGF A5 Leg 2 Sem'!C39</f>
        <v>#REF!</v>
      </c>
      <c r="D39" s="31" t="e">
        <f>'RGF A5 Exec 2 Sem'!D39+'RGF A5 Leg 2 Sem'!D39</f>
        <v>#REF!</v>
      </c>
      <c r="E39" s="31" t="e">
        <f>'RGF A5 Exec 2 Sem'!E39+'RGF A5 Leg 2 Sem'!E39</f>
        <v>#REF!</v>
      </c>
      <c r="F39" s="31" t="e">
        <f>'RGF A5 Exec 2 Sem'!F39+'RGF A5 Leg 2 Sem'!F39</f>
        <v>#REF!</v>
      </c>
      <c r="G39" s="31">
        <f>'RGF A5 Exec 2 Sem'!G39+'RGF A5 Leg 2 Sem'!G39</f>
        <v>0</v>
      </c>
      <c r="H39" s="31">
        <f>'RGF A5 Exec 2 Sem'!H39+'RGF A5 Leg 2 Sem'!H39</f>
        <v>0</v>
      </c>
      <c r="I39" s="31" t="e">
        <f>'RGF A5 Exec 2 Sem'!I39+'RGF A5 Leg 2 Sem'!I39</f>
        <v>#REF!</v>
      </c>
      <c r="J39" s="31" t="e">
        <f>'RGF A5 Exec 2 Sem'!J39+'RGF A5 Leg 2 Sem'!J39</f>
        <v>#REF!</v>
      </c>
      <c r="K39" s="31">
        <f>'RGF A5 Exec 2 Sem'!K39+'RGF A5 Leg 2 Sem'!K39</f>
        <v>0</v>
      </c>
      <c r="L39" s="32" t="e">
        <f>'RGF A5 Exec 2 Sem'!L39+'RGF A5 Leg 2 Sem'!L39</f>
        <v>#REF!</v>
      </c>
    </row>
    <row r="40" spans="2:16" x14ac:dyDescent="0.25">
      <c r="B40" s="33" t="s">
        <v>1284</v>
      </c>
      <c r="C40" s="31" t="e">
        <f>'RGF A5 Exec 2 Sem'!C40+'RGF A5 Leg 2 Sem'!C40</f>
        <v>#REF!</v>
      </c>
      <c r="D40" s="31" t="e">
        <f>'RGF A5 Exec 2 Sem'!D40+'RGF A5 Leg 2 Sem'!D40</f>
        <v>#REF!</v>
      </c>
      <c r="E40" s="31" t="e">
        <f>'RGF A5 Exec 2 Sem'!E40+'RGF A5 Leg 2 Sem'!E40</f>
        <v>#REF!</v>
      </c>
      <c r="F40" s="31" t="e">
        <f>'RGF A5 Exec 2 Sem'!F40+'RGF A5 Leg 2 Sem'!F40</f>
        <v>#REF!</v>
      </c>
      <c r="G40" s="31">
        <f>'RGF A5 Exec 2 Sem'!G40+'RGF A5 Leg 2 Sem'!G40</f>
        <v>0</v>
      </c>
      <c r="H40" s="31">
        <f>'RGF A5 Exec 2 Sem'!H40+'RGF A5 Leg 2 Sem'!H40</f>
        <v>0</v>
      </c>
      <c r="I40" s="31" t="e">
        <f>'RGF A5 Exec 2 Sem'!I40+'RGF A5 Leg 2 Sem'!I40</f>
        <v>#REF!</v>
      </c>
      <c r="J40" s="31" t="e">
        <f>'RGF A5 Exec 2 Sem'!J40+'RGF A5 Leg 2 Sem'!J40</f>
        <v>#REF!</v>
      </c>
      <c r="K40" s="31">
        <f>'RGF A5 Exec 2 Sem'!K40+'RGF A5 Leg 2 Sem'!K40</f>
        <v>0</v>
      </c>
      <c r="L40" s="32" t="e">
        <f>'RGF A5 Exec 2 Sem'!L40+'RGF A5 Leg 2 Sem'!L40</f>
        <v>#REF!</v>
      </c>
    </row>
    <row r="41" spans="2:16" x14ac:dyDescent="0.25">
      <c r="B41" s="33" t="s">
        <v>1285</v>
      </c>
      <c r="C41" s="31" t="e">
        <f>'RGF A5 Exec 2 Sem'!C41+'RGF A5 Leg 2 Sem'!C41</f>
        <v>#REF!</v>
      </c>
      <c r="D41" s="31" t="e">
        <f>'RGF A5 Exec 2 Sem'!D41+'RGF A5 Leg 2 Sem'!D41</f>
        <v>#REF!</v>
      </c>
      <c r="E41" s="31" t="e">
        <f>'RGF A5 Exec 2 Sem'!E41+'RGF A5 Leg 2 Sem'!E41</f>
        <v>#REF!</v>
      </c>
      <c r="F41" s="31" t="e">
        <f>'RGF A5 Exec 2 Sem'!F41+'RGF A5 Leg 2 Sem'!F41</f>
        <v>#REF!</v>
      </c>
      <c r="G41" s="31">
        <f>'RGF A5 Exec 2 Sem'!G41+'RGF A5 Leg 2 Sem'!G41</f>
        <v>0</v>
      </c>
      <c r="H41" s="31">
        <f>'RGF A5 Exec 2 Sem'!H41+'RGF A5 Leg 2 Sem'!H41</f>
        <v>0</v>
      </c>
      <c r="I41" s="31" t="e">
        <f>'RGF A5 Exec 2 Sem'!I41+'RGF A5 Leg 2 Sem'!I41</f>
        <v>#REF!</v>
      </c>
      <c r="J41" s="31" t="e">
        <f>'RGF A5 Exec 2 Sem'!J41+'RGF A5 Leg 2 Sem'!J41</f>
        <v>#REF!</v>
      </c>
      <c r="K41" s="31">
        <f>'RGF A5 Exec 2 Sem'!K41+'RGF A5 Leg 2 Sem'!K41</f>
        <v>0</v>
      </c>
      <c r="L41" s="32" t="e">
        <f>'RGF A5 Exec 2 Sem'!L41+'RGF A5 Leg 2 Sem'!L41</f>
        <v>#REF!</v>
      </c>
    </row>
    <row r="42" spans="2:16" x14ac:dyDescent="0.25">
      <c r="B42" s="137" t="s">
        <v>1286</v>
      </c>
      <c r="C42" s="158" t="e">
        <f>'RGF A5 Exec 2 Sem'!C42+'RGF A5 Leg 2 Sem'!C42</f>
        <v>#REF!</v>
      </c>
      <c r="D42" s="158" t="e">
        <f>'RGF A5 Exec 2 Sem'!D42+'RGF A5 Leg 2 Sem'!D42</f>
        <v>#REF!</v>
      </c>
      <c r="E42" s="158" t="e">
        <f>'RGF A5 Exec 2 Sem'!E42+'RGF A5 Leg 2 Sem'!E42</f>
        <v>#REF!</v>
      </c>
      <c r="F42" s="158" t="e">
        <f>'RGF A5 Exec 2 Sem'!F42+'RGF A5 Leg 2 Sem'!F42</f>
        <v>#REF!</v>
      </c>
      <c r="G42" s="158" t="e">
        <f>'RGF A5 Exec 2 Sem'!G42+'RGF A5 Leg 2 Sem'!G42</f>
        <v>#REF!</v>
      </c>
      <c r="H42" s="158">
        <f>'RGF A5 Exec 2 Sem'!H42+'RGF A5 Leg 2 Sem'!H42</f>
        <v>0</v>
      </c>
      <c r="I42" s="158" t="e">
        <f>'RGF A5 Exec 2 Sem'!I42+'RGF A5 Leg 2 Sem'!I42</f>
        <v>#REF!</v>
      </c>
      <c r="J42" s="158" t="e">
        <f>'RGF A5 Exec 2 Sem'!J42+'RGF A5 Leg 2 Sem'!J42</f>
        <v>#REF!</v>
      </c>
      <c r="K42" s="158">
        <f>'RGF A5 Exec 2 Sem'!K42+'RGF A5 Leg 2 Sem'!K42</f>
        <v>0</v>
      </c>
      <c r="L42" s="159" t="e">
        <f>'RGF A5 Exec 2 Sem'!L42+'RGF A5 Leg 2 Sem'!L42</f>
        <v>#REF!</v>
      </c>
    </row>
    <row r="43" spans="2:16" x14ac:dyDescent="0.25">
      <c r="B43" s="249" t="str">
        <f ca="1">_xlfn.CONCAT("Fonte: ",paramFonte,". Emissão em ",TEXT(NOW(),"dd/mm/aaaa \à\s hh:mm:ss"))</f>
        <v>Fonte: Sistema MS Excel + SIAPC/PAD, Unidade Responsável: Secretaria da Fazenda / Setor de Contabilidade. Emissão em 09/05/2024 às 09:42:51</v>
      </c>
      <c r="C43" s="249"/>
      <c r="D43" s="249"/>
      <c r="E43" s="249"/>
      <c r="F43" s="45"/>
      <c r="G43" s="45"/>
      <c r="H43" s="45"/>
      <c r="I43" s="45"/>
      <c r="J43" s="45"/>
      <c r="K43" s="45"/>
      <c r="L43" s="45"/>
      <c r="M43" s="45"/>
      <c r="N43" s="45"/>
      <c r="O43" s="45"/>
      <c r="P43" s="45"/>
    </row>
    <row r="45" spans="2:16" x14ac:dyDescent="0.25">
      <c r="B45" t="s">
        <v>253</v>
      </c>
    </row>
    <row r="46" spans="2:16" x14ac:dyDescent="0.25">
      <c r="B46" s="247" t="s">
        <v>1287</v>
      </c>
      <c r="C46" s="247"/>
      <c r="D46" s="247"/>
      <c r="E46" s="247"/>
    </row>
    <row r="47" spans="2:16" x14ac:dyDescent="0.25">
      <c r="B47" s="247" t="s">
        <v>1288</v>
      </c>
      <c r="C47" s="247"/>
      <c r="D47" s="247"/>
      <c r="E47" s="247"/>
    </row>
    <row r="48" spans="2:16" x14ac:dyDescent="0.25">
      <c r="B48" s="247" t="str">
        <f>IFERROR(_xlfn.CONCAT(_xlfn._xlws.FILTER(tblNotasExplicativas[Nota Com Separador],tblNotasExplicativas[Demonstrativo]="RGF A5")),"")</f>
        <v/>
      </c>
      <c r="C48" s="247"/>
      <c r="D48" s="247"/>
      <c r="E48" s="247"/>
      <c r="F48" s="247"/>
      <c r="G48" s="247"/>
      <c r="H48" s="247"/>
      <c r="I48" s="247"/>
      <c r="J48" s="247"/>
      <c r="K48" s="247"/>
      <c r="L48" s="247"/>
    </row>
    <row r="53" spans="2:5" x14ac:dyDescent="0.25">
      <c r="B53" t="str">
        <f>paramNomeContador</f>
        <v>EVERTON DA ROSA</v>
      </c>
      <c r="C53" s="247" t="str">
        <f>paramNomeSecretario</f>
        <v>ANA PAULA RODRIGUES SCHNEIDER SCHMIDT</v>
      </c>
      <c r="D53" s="247"/>
      <c r="E53" s="247"/>
    </row>
    <row r="54" spans="2:5" x14ac:dyDescent="0.25">
      <c r="B54" t="str">
        <f>paramCargoContador</f>
        <v>Contador</v>
      </c>
      <c r="C54" s="247" t="str">
        <f>paramCargoSecretario</f>
        <v>Secretária da Fazenda</v>
      </c>
      <c r="D54" s="247"/>
      <c r="E54" s="247"/>
    </row>
    <row r="55" spans="2:5" x14ac:dyDescent="0.25">
      <c r="B55" t="str">
        <f>_xlfn.CONCAT("CRC ",paramCRCContador)</f>
        <v>CRC 076595/O-3</v>
      </c>
    </row>
    <row r="59" spans="2:5" x14ac:dyDescent="0.25">
      <c r="B59" t="str">
        <f>paramNomeControleInterno</f>
        <v>JEAN LENON CORO MONTEIRO</v>
      </c>
      <c r="C59" s="247" t="str">
        <f>paramNomePrefeito</f>
        <v>JOÃO EDÉCIO GRAEF</v>
      </c>
      <c r="D59" s="247"/>
      <c r="E59" s="247"/>
    </row>
    <row r="60" spans="2:5" x14ac:dyDescent="0.25">
      <c r="B60" t="str">
        <f>paramCargoControleInterno</f>
        <v>Controlador Interno</v>
      </c>
      <c r="C60" s="247" t="str">
        <f>paramCargoPrefeito</f>
        <v>Prefeito Municipal</v>
      </c>
      <c r="D60" s="247"/>
      <c r="E60" s="247"/>
    </row>
  </sheetData>
  <mergeCells count="18">
    <mergeCell ref="B7:E7"/>
    <mergeCell ref="B2:E2"/>
    <mergeCell ref="B3:E3"/>
    <mergeCell ref="B4:E4"/>
    <mergeCell ref="B5:E5"/>
    <mergeCell ref="B6:E6"/>
    <mergeCell ref="C60:E60"/>
    <mergeCell ref="B9:D9"/>
    <mergeCell ref="B10:B15"/>
    <mergeCell ref="D10:G10"/>
    <mergeCell ref="D11:E11"/>
    <mergeCell ref="B43:E43"/>
    <mergeCell ref="B46:E46"/>
    <mergeCell ref="B47:E47"/>
    <mergeCell ref="B48:L48"/>
    <mergeCell ref="C53:E53"/>
    <mergeCell ref="C54:E54"/>
    <mergeCell ref="C59:E59"/>
  </mergeCells>
  <pageMargins left="0.23622047244093999" right="0.23622047244093999" top="0.74803149606299002" bottom="0.74803149606299002" header="0.31496062992126" footer="0.31496062992126"/>
  <pageSetup paperSize="9" scale="89" fitToHeight="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853C0C"/>
    <pageSetUpPr fitToPage="1"/>
  </sheetPr>
  <dimension ref="B2:E52"/>
  <sheetViews>
    <sheetView workbookViewId="0"/>
  </sheetViews>
  <sheetFormatPr defaultRowHeight="15" x14ac:dyDescent="0.25"/>
  <cols>
    <col min="2" max="2" width="84" customWidth="1"/>
    <col min="3" max="3" width="31.42578125" customWidth="1"/>
    <col min="4" max="4" width="37.7109375" customWidth="1"/>
  </cols>
  <sheetData>
    <row r="2" spans="2:5" x14ac:dyDescent="0.25">
      <c r="B2" s="247" t="str">
        <f>paramEnte</f>
        <v>Município de Independência - RS</v>
      </c>
      <c r="C2" s="247"/>
      <c r="D2" s="247"/>
    </row>
    <row r="3" spans="2:5" x14ac:dyDescent="0.25">
      <c r="B3" s="247" t="s">
        <v>1309</v>
      </c>
      <c r="C3" s="247"/>
      <c r="D3" s="247"/>
    </row>
    <row r="4" spans="2:5" x14ac:dyDescent="0.25">
      <c r="B4" s="247" t="s">
        <v>1094</v>
      </c>
      <c r="C4" s="247"/>
      <c r="D4" s="247"/>
    </row>
    <row r="5" spans="2:5" x14ac:dyDescent="0.25">
      <c r="B5" s="248" t="s">
        <v>1289</v>
      </c>
      <c r="C5" s="248"/>
      <c r="D5" s="248"/>
      <c r="E5" s="132"/>
    </row>
    <row r="6" spans="2:5" x14ac:dyDescent="0.25">
      <c r="B6" s="247" t="s">
        <v>127</v>
      </c>
      <c r="C6" s="247"/>
      <c r="D6" s="247"/>
    </row>
    <row r="7" spans="2:5" x14ac:dyDescent="0.25">
      <c r="B7" s="249" t="str">
        <f>UPPER(TEXT(paramDataBase,"mmmm \d\e aaaa"))</f>
        <v>JANEIRO DE 1900</v>
      </c>
      <c r="C7" s="249"/>
      <c r="D7" s="249"/>
      <c r="E7" s="45"/>
    </row>
    <row r="9" spans="2:5" ht="15.75" customHeight="1" x14ac:dyDescent="0.25">
      <c r="B9" s="250" t="s">
        <v>1290</v>
      </c>
      <c r="C9" s="250"/>
      <c r="D9" s="146">
        <v>1</v>
      </c>
    </row>
    <row r="10" spans="2:5" x14ac:dyDescent="0.25">
      <c r="B10" s="431" t="s">
        <v>1291</v>
      </c>
      <c r="C10" s="432"/>
      <c r="D10" s="25" t="s">
        <v>1292</v>
      </c>
    </row>
    <row r="11" spans="2:5" x14ac:dyDescent="0.25">
      <c r="B11" s="266" t="s">
        <v>1050</v>
      </c>
      <c r="C11" s="267"/>
      <c r="D11" s="32">
        <f>'RREO A3'!O40</f>
        <v>0</v>
      </c>
    </row>
    <row r="12" spans="2:5" x14ac:dyDescent="0.25">
      <c r="B12" s="266" t="s">
        <v>1051</v>
      </c>
      <c r="C12" s="267"/>
      <c r="D12" s="32">
        <f>'RREO A3'!O42</f>
        <v>0</v>
      </c>
    </row>
    <row r="13" spans="2:5" ht="15.75" customHeight="1" x14ac:dyDescent="0.25">
      <c r="B13" s="339" t="s">
        <v>1052</v>
      </c>
      <c r="C13" s="340"/>
      <c r="D13" s="23">
        <f>'RREO A3'!O46</f>
        <v>0</v>
      </c>
    </row>
    <row r="14" spans="2:5" ht="15.75" customHeight="1" x14ac:dyDescent="0.25"/>
    <row r="15" spans="2:5" x14ac:dyDescent="0.25">
      <c r="B15" s="48" t="s">
        <v>1097</v>
      </c>
      <c r="C15" s="47" t="s">
        <v>488</v>
      </c>
      <c r="D15" s="25" t="s">
        <v>1117</v>
      </c>
    </row>
    <row r="16" spans="2:5" x14ac:dyDescent="0.25">
      <c r="B16" s="57" t="s">
        <v>1293</v>
      </c>
      <c r="C16" s="31">
        <f>SUM('RGF A1 Consolidado'!K37:N37)</f>
        <v>0</v>
      </c>
      <c r="D16" s="83" t="e">
        <f>'RGF A1 Exec'!O42</f>
        <v>#DIV/0!</v>
      </c>
    </row>
    <row r="17" spans="2:4" x14ac:dyDescent="0.25">
      <c r="B17" s="57" t="s">
        <v>1294</v>
      </c>
      <c r="C17" s="31">
        <f>SUM('RGF A1 Consolidado'!K38:N38)</f>
        <v>0</v>
      </c>
      <c r="D17" s="83">
        <f>'RGF A1 Exec'!O43</f>
        <v>0.54</v>
      </c>
    </row>
    <row r="18" spans="2:4" x14ac:dyDescent="0.25">
      <c r="B18" s="57" t="s">
        <v>1295</v>
      </c>
      <c r="C18" s="31">
        <f>SUM('RGF A1 Consolidado'!K39:N39)</f>
        <v>0</v>
      </c>
      <c r="D18" s="83">
        <f>'RGF A1 Exec'!O44</f>
        <v>0.51300000000000001</v>
      </c>
    </row>
    <row r="19" spans="2:4" ht="15.75" customHeight="1" x14ac:dyDescent="0.25">
      <c r="B19" s="21" t="s">
        <v>1296</v>
      </c>
      <c r="C19" s="22">
        <f>SUM('RGF A1 Consolidado'!K40:N40)</f>
        <v>0</v>
      </c>
      <c r="D19" s="102">
        <f>'RGF A1 Exec'!O45</f>
        <v>0.48600000000000004</v>
      </c>
    </row>
    <row r="20" spans="2:4" ht="15.75" customHeight="1" x14ac:dyDescent="0.25"/>
    <row r="21" spans="2:4" x14ac:dyDescent="0.25">
      <c r="B21" s="48" t="s">
        <v>1297</v>
      </c>
      <c r="C21" s="47" t="s">
        <v>1292</v>
      </c>
      <c r="D21" s="25" t="s">
        <v>1117</v>
      </c>
    </row>
    <row r="22" spans="2:4" x14ac:dyDescent="0.25">
      <c r="B22" s="57" t="s">
        <v>1298</v>
      </c>
      <c r="C22" s="31">
        <f>IF(MONTH(paramDataBase)=12,'RGF A2'!E37,'RGF A2'!D37)</f>
        <v>0</v>
      </c>
      <c r="D22" s="83">
        <f>IF(MONTH(paramDataBase)=12,'RGF A2'!E41,'RGF A2'!D41)</f>
        <v>0</v>
      </c>
    </row>
    <row r="23" spans="2:4" ht="15.75" customHeight="1" x14ac:dyDescent="0.25">
      <c r="B23" s="21" t="s">
        <v>1299</v>
      </c>
      <c r="C23" s="22">
        <f>IF(MONTH(paramDataBase)=12,'RGF A2'!E43,'RGF A2'!D43)</f>
        <v>0</v>
      </c>
      <c r="D23" s="102">
        <v>1.2</v>
      </c>
    </row>
    <row r="24" spans="2:4" ht="15.75" customHeight="1" x14ac:dyDescent="0.25"/>
    <row r="25" spans="2:4" x14ac:dyDescent="0.25">
      <c r="B25" s="48" t="s">
        <v>1300</v>
      </c>
      <c r="C25" s="47" t="s">
        <v>1292</v>
      </c>
      <c r="D25" s="25" t="s">
        <v>1117</v>
      </c>
    </row>
    <row r="26" spans="2:4" x14ac:dyDescent="0.25">
      <c r="B26" s="57" t="s">
        <v>1301</v>
      </c>
      <c r="C26" s="31">
        <f>IF(MONTH(paramDataBase)=12,'RGF A3'!E22,'RGF A3'!D22)</f>
        <v>0</v>
      </c>
      <c r="D26" s="83" t="str">
        <f>IF(MONTH(paramDataBase)=12,'RGF A3'!E26,'RGF A3'!D26)</f>
        <v/>
      </c>
    </row>
    <row r="27" spans="2:4" ht="15.75" customHeight="1" x14ac:dyDescent="0.25">
      <c r="B27" s="21" t="s">
        <v>1299</v>
      </c>
      <c r="C27" s="22">
        <f>IF(MONTH(paramDataBase)=12,'RGF A3'!E27,'RGF A3'!D27)</f>
        <v>0</v>
      </c>
      <c r="D27" s="102">
        <f>paramGarantiasLimiteSenado</f>
        <v>0.32</v>
      </c>
    </row>
    <row r="28" spans="2:4" ht="15.75" customHeight="1" x14ac:dyDescent="0.25"/>
    <row r="29" spans="2:4" x14ac:dyDescent="0.25">
      <c r="B29" s="48" t="s">
        <v>186</v>
      </c>
      <c r="C29" s="47" t="s">
        <v>488</v>
      </c>
      <c r="D29" s="25" t="s">
        <v>1117</v>
      </c>
    </row>
    <row r="30" spans="2:4" x14ac:dyDescent="0.25">
      <c r="B30" s="57" t="s">
        <v>1302</v>
      </c>
      <c r="C30" s="31">
        <f>'RGF A4'!C38</f>
        <v>0</v>
      </c>
      <c r="D30" s="83" t="str">
        <f>'RGF A4'!D38</f>
        <v/>
      </c>
    </row>
    <row r="31" spans="2:4" x14ac:dyDescent="0.25">
      <c r="B31" s="57" t="s">
        <v>1303</v>
      </c>
      <c r="C31" s="31">
        <f>'RGF A4'!C39</f>
        <v>0</v>
      </c>
      <c r="D31" s="83" t="str">
        <f>'RGF A4'!D39</f>
        <v/>
      </c>
    </row>
    <row r="32" spans="2:4" x14ac:dyDescent="0.25">
      <c r="B32" s="57" t="s">
        <v>1304</v>
      </c>
      <c r="C32" s="31">
        <f>'RGF A4'!C42</f>
        <v>0</v>
      </c>
      <c r="D32" s="83">
        <f>'RGF A4'!D42</f>
        <v>7.0000000000000007E-2</v>
      </c>
    </row>
    <row r="33" spans="2:4" ht="15.75" customHeight="1" x14ac:dyDescent="0.25">
      <c r="B33" s="21" t="s">
        <v>1305</v>
      </c>
      <c r="C33" s="22">
        <f>D33*D12</f>
        <v>0</v>
      </c>
      <c r="D33" s="102">
        <v>7.0000000000000007E-2</v>
      </c>
    </row>
    <row r="34" spans="2:4" ht="15.75" customHeight="1" x14ac:dyDescent="0.25">
      <c r="C34" s="133"/>
      <c r="D34" s="134"/>
    </row>
    <row r="35" spans="2:4" ht="60" customHeight="1" x14ac:dyDescent="0.25">
      <c r="B35" s="203" t="s">
        <v>260</v>
      </c>
      <c r="C35" s="222" t="s">
        <v>1306</v>
      </c>
      <c r="D35" s="223" t="s">
        <v>1307</v>
      </c>
    </row>
    <row r="36" spans="2:4" ht="15.75" customHeight="1" x14ac:dyDescent="0.25">
      <c r="B36" s="21" t="s">
        <v>1308</v>
      </c>
      <c r="C36" s="22" t="e">
        <f>'RGF A5 Consolidado'!J42</f>
        <v>#REF!</v>
      </c>
      <c r="D36" s="23" t="e">
        <f>'RGF A5 Consolidado'!L42</f>
        <v>#REF!</v>
      </c>
    </row>
    <row r="37" spans="2:4" x14ac:dyDescent="0.25">
      <c r="B37" s="249" t="str">
        <f ca="1">_xlfn.CONCAT("Fonte: ",paramFonte,". Emissão em ",TEXT(NOW(),"dd/mm/aaaa \à\s hh:mm:ss"))</f>
        <v>Fonte: Sistema MS Excel + SIAPC/PAD, Unidade Responsável: Secretaria da Fazenda / Setor de Contabilidade. Emissão em 09/05/2024 às 09:42:51</v>
      </c>
      <c r="C37" s="249"/>
      <c r="D37" s="249"/>
    </row>
    <row r="39" spans="2:4" x14ac:dyDescent="0.25">
      <c r="B39" t="s">
        <v>253</v>
      </c>
    </row>
    <row r="40" spans="2:4" x14ac:dyDescent="0.25">
      <c r="B40" s="247" t="str">
        <f>IFERROR(_xlfn.CONCAT(_xlfn._xlws.FILTER(tblNotasExplicativas[Nota Com Separador],tblNotasExplicativas[Demonstrativo]="RGF A6 Exec 2Sem")),"")</f>
        <v/>
      </c>
      <c r="C40" s="247"/>
      <c r="D40" s="247"/>
    </row>
    <row r="45" spans="2:4" x14ac:dyDescent="0.25">
      <c r="B45" t="str">
        <f>paramNomeContador</f>
        <v>EVERTON DA ROSA</v>
      </c>
      <c r="C45" s="247" t="str">
        <f>paramNomeSecretario</f>
        <v>ANA PAULA RODRIGUES SCHNEIDER SCHMIDT</v>
      </c>
      <c r="D45" s="247"/>
    </row>
    <row r="46" spans="2:4" x14ac:dyDescent="0.25">
      <c r="B46" t="str">
        <f>paramCargoContador</f>
        <v>Contador</v>
      </c>
      <c r="C46" s="247" t="str">
        <f>paramCargoSecretario</f>
        <v>Secretária da Fazenda</v>
      </c>
      <c r="D46" s="247"/>
    </row>
    <row r="47" spans="2:4" x14ac:dyDescent="0.25">
      <c r="B47" t="str">
        <f>_xlfn.CONCAT("CRC ",paramCRCContador)</f>
        <v>CRC 076595/O-3</v>
      </c>
      <c r="C47" s="46"/>
      <c r="D47" s="46"/>
    </row>
    <row r="48" spans="2:4" x14ac:dyDescent="0.25">
      <c r="C48" s="46"/>
      <c r="D48" s="46"/>
    </row>
    <row r="49" spans="2:4" x14ac:dyDescent="0.25">
      <c r="C49" s="46"/>
      <c r="D49" s="46"/>
    </row>
    <row r="50" spans="2:4" x14ac:dyDescent="0.25">
      <c r="C50" s="46"/>
      <c r="D50" s="46"/>
    </row>
    <row r="51" spans="2:4" x14ac:dyDescent="0.25">
      <c r="B51" t="str">
        <f>paramNomeControleInterno</f>
        <v>JEAN LENON CORO MONTEIRO</v>
      </c>
      <c r="C51" s="247" t="str">
        <f>paramNomePrefeito</f>
        <v>JOÃO EDÉCIO GRAEF</v>
      </c>
      <c r="D51" s="247"/>
    </row>
    <row r="52" spans="2:4" x14ac:dyDescent="0.25">
      <c r="B52" t="str">
        <f>paramCargoControleInterno</f>
        <v>Controlador Interno</v>
      </c>
      <c r="C52" s="247" t="str">
        <f>paramCargoPrefeito</f>
        <v>Prefeito Municipal</v>
      </c>
      <c r="D52" s="247"/>
    </row>
  </sheetData>
  <mergeCells count="17">
    <mergeCell ref="B37:D37"/>
    <mergeCell ref="B2:D2"/>
    <mergeCell ref="B3:D3"/>
    <mergeCell ref="B4:D4"/>
    <mergeCell ref="B5:D5"/>
    <mergeCell ref="B6:D6"/>
    <mergeCell ref="B7:D7"/>
    <mergeCell ref="B9:C9"/>
    <mergeCell ref="B10:C10"/>
    <mergeCell ref="B11:C11"/>
    <mergeCell ref="B12:C12"/>
    <mergeCell ref="B13:C13"/>
    <mergeCell ref="B40:D40"/>
    <mergeCell ref="C45:D45"/>
    <mergeCell ref="C46:D46"/>
    <mergeCell ref="C51:D51"/>
    <mergeCell ref="C52:D52"/>
  </mergeCells>
  <pageMargins left="0.25" right="0.25" top="0.75" bottom="0.75" header="0.3" footer="0.3"/>
  <pageSetup paperSize="9" scale="6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548135"/>
  </sheetPr>
  <dimension ref="B1:L19"/>
  <sheetViews>
    <sheetView workbookViewId="0">
      <selection activeCell="B17" sqref="B17:G17"/>
    </sheetView>
  </sheetViews>
  <sheetFormatPr defaultRowHeight="15" x14ac:dyDescent="0.25"/>
  <cols>
    <col min="2" max="2" width="29.140625" customWidth="1"/>
    <col min="3" max="3" width="35.42578125" customWidth="1"/>
    <col min="4" max="4" width="34.140625" customWidth="1"/>
    <col min="5" max="5" width="30.28515625" customWidth="1"/>
    <col min="6" max="6" width="68.85546875" customWidth="1"/>
    <col min="12" max="12" width="9.85546875" customWidth="1"/>
  </cols>
  <sheetData>
    <row r="1" spans="2:12" ht="15.75" customHeight="1" x14ac:dyDescent="0.25"/>
    <row r="2" spans="2:12" x14ac:dyDescent="0.25">
      <c r="B2" s="234" t="s">
        <v>86</v>
      </c>
      <c r="C2" s="3" t="s">
        <v>87</v>
      </c>
      <c r="D2" s="3" t="s">
        <v>88</v>
      </c>
      <c r="E2" s="3" t="s">
        <v>89</v>
      </c>
      <c r="F2" s="3" t="s">
        <v>90</v>
      </c>
    </row>
    <row r="3" spans="2:12" x14ac:dyDescent="0.25">
      <c r="B3" s="229"/>
      <c r="C3" s="5" t="s">
        <v>91</v>
      </c>
      <c r="D3" s="5" t="s">
        <v>92</v>
      </c>
      <c r="E3" s="5" t="s">
        <v>93</v>
      </c>
      <c r="F3" s="5" t="s">
        <v>94</v>
      </c>
    </row>
    <row r="4" spans="2:12" x14ac:dyDescent="0.25">
      <c r="B4" s="49" t="str">
        <f>_xlfn.CONCAT("Empenhos de ",YEAR(paramDataBase))</f>
        <v>Empenhos de 1900</v>
      </c>
      <c r="C4" s="118"/>
      <c r="D4" s="118"/>
      <c r="E4" s="118"/>
      <c r="F4" s="118"/>
    </row>
    <row r="5" spans="2:12" x14ac:dyDescent="0.25">
      <c r="B5" s="57" t="str">
        <f>_xlfn.CONCAT("Empenhos de ",YEAR(paramDataBase)-1)</f>
        <v>Empenhos de 1899</v>
      </c>
      <c r="C5" s="31">
        <v>4966107.74</v>
      </c>
      <c r="D5" s="31">
        <v>6579419.0599999996</v>
      </c>
      <c r="E5" s="31">
        <v>63376.57</v>
      </c>
      <c r="F5" s="31">
        <v>0</v>
      </c>
    </row>
    <row r="6" spans="2:12" x14ac:dyDescent="0.25">
      <c r="B6" s="57" t="str">
        <f>_xlfn.CONCAT("Empenhos de ",YEAR(paramDataBase)-2)</f>
        <v>Empenhos de 1898</v>
      </c>
      <c r="C6" s="31">
        <v>4469353.25</v>
      </c>
      <c r="D6" s="31">
        <v>6251270.6600000001</v>
      </c>
      <c r="E6" s="31">
        <v>64056.55</v>
      </c>
      <c r="F6" s="31">
        <v>0</v>
      </c>
    </row>
    <row r="7" spans="2:12" x14ac:dyDescent="0.25">
      <c r="B7" s="57" t="str">
        <f>_xlfn.CONCAT("Empenhos de ",YEAR(paramDataBase)-3)</f>
        <v>Empenhos de 1897</v>
      </c>
      <c r="C7" s="31">
        <v>4246982.26</v>
      </c>
      <c r="D7" s="31">
        <v>4588461.57</v>
      </c>
      <c r="E7" s="31">
        <v>97864.27</v>
      </c>
      <c r="F7" s="31">
        <v>0</v>
      </c>
    </row>
    <row r="8" spans="2:12" ht="15.75" customHeight="1" x14ac:dyDescent="0.25">
      <c r="B8" s="21" t="str">
        <f>_xlfn.CONCAT("Empenhos de ",YEAR(paramDataBase)-4," e anteriores")</f>
        <v>Empenhos de 1896 e anteriores</v>
      </c>
      <c r="C8" s="22">
        <v>3211439.67</v>
      </c>
      <c r="D8" s="22">
        <v>4292565.12</v>
      </c>
      <c r="E8" s="22">
        <v>68600.320000000007</v>
      </c>
      <c r="F8" s="22">
        <v>0</v>
      </c>
    </row>
    <row r="10" spans="2:12" x14ac:dyDescent="0.25">
      <c r="B10" s="235" t="s">
        <v>95</v>
      </c>
      <c r="C10" s="236"/>
      <c r="D10" s="236"/>
      <c r="E10" s="236"/>
      <c r="F10" s="236"/>
      <c r="G10" s="236"/>
      <c r="H10" s="236"/>
      <c r="I10" s="236"/>
      <c r="J10" s="236"/>
      <c r="K10" s="236"/>
      <c r="L10" s="95">
        <v>0</v>
      </c>
    </row>
    <row r="12" spans="2:12" ht="15.75" customHeight="1" x14ac:dyDescent="0.25"/>
    <row r="13" spans="2:12" x14ac:dyDescent="0.25">
      <c r="B13" s="237" t="s">
        <v>96</v>
      </c>
      <c r="C13" s="238"/>
      <c r="D13" s="238"/>
      <c r="E13" s="238"/>
      <c r="F13" s="238"/>
      <c r="G13" s="238"/>
      <c r="H13" s="241" t="s">
        <v>97</v>
      </c>
      <c r="I13" s="241"/>
      <c r="J13" s="241"/>
      <c r="K13" s="241"/>
      <c r="L13" s="242"/>
    </row>
    <row r="14" spans="2:12" x14ac:dyDescent="0.25">
      <c r="B14" s="239"/>
      <c r="C14" s="240"/>
      <c r="D14" s="240"/>
      <c r="E14" s="240"/>
      <c r="F14" s="240"/>
      <c r="G14" s="240"/>
      <c r="H14" s="243" t="s">
        <v>98</v>
      </c>
      <c r="I14" s="245" t="s">
        <v>99</v>
      </c>
      <c r="J14" s="245"/>
      <c r="K14" s="245"/>
      <c r="L14" s="44" t="s">
        <v>100</v>
      </c>
    </row>
    <row r="15" spans="2:12" x14ac:dyDescent="0.25">
      <c r="B15" s="239"/>
      <c r="C15" s="240"/>
      <c r="D15" s="240"/>
      <c r="E15" s="240"/>
      <c r="F15" s="240"/>
      <c r="G15" s="240"/>
      <c r="H15" s="244"/>
      <c r="I15" s="39" t="s">
        <v>101</v>
      </c>
      <c r="J15" s="39" t="s">
        <v>102</v>
      </c>
      <c r="K15" s="39" t="s">
        <v>103</v>
      </c>
      <c r="L15" s="85" t="s">
        <v>104</v>
      </c>
    </row>
    <row r="16" spans="2:12" x14ac:dyDescent="0.25">
      <c r="B16" s="239"/>
      <c r="C16" s="240"/>
      <c r="D16" s="240"/>
      <c r="E16" s="240"/>
      <c r="F16" s="240"/>
      <c r="G16" s="240"/>
      <c r="H16" s="5" t="s">
        <v>105</v>
      </c>
      <c r="I16" s="5" t="s">
        <v>106</v>
      </c>
      <c r="J16" s="5" t="s">
        <v>107</v>
      </c>
      <c r="K16" s="5" t="s">
        <v>108</v>
      </c>
      <c r="L16" s="6" t="s">
        <v>109</v>
      </c>
    </row>
    <row r="17" spans="2:12" x14ac:dyDescent="0.25">
      <c r="B17" s="230" t="str">
        <f>_xlfn.CONCAT("Restos a pagar cancelados ou prescritos em ",YEAR(paramDataBase)," a serem compensados (XXIV) (saldo inicial = XXIII)")</f>
        <v>Restos a pagar cancelados ou prescritos em 1900 a serem compensados (XXIV) (saldo inicial = XXIII)</v>
      </c>
      <c r="C17" s="231"/>
      <c r="D17" s="231"/>
      <c r="E17" s="231"/>
      <c r="F17" s="231"/>
      <c r="G17" s="231"/>
      <c r="H17" s="118"/>
      <c r="I17" s="118"/>
      <c r="J17" s="118"/>
      <c r="K17" s="118"/>
      <c r="L17" s="119"/>
    </row>
    <row r="18" spans="2:12" x14ac:dyDescent="0.25">
      <c r="B18" s="232" t="str">
        <f>_xlfn.CONCAT("Restos a pagar cancelados ou prescritos em ",YEAR(paramDataBase)-1," a serem compensados (XXV) (saldo inicial igual ao saldo final do demonstrativo do exercício anterior) = igual a (aa) de 2022")</f>
        <v>Restos a pagar cancelados ou prescritos em 1899 a serem compensados (XXV) (saldo inicial igual ao saldo final do demonstrativo do exercício anterior) = igual a (aa) de 2022</v>
      </c>
      <c r="C18" s="233"/>
      <c r="D18" s="233"/>
      <c r="E18" s="233"/>
      <c r="F18" s="233"/>
      <c r="G18" s="233"/>
      <c r="H18" s="31">
        <v>0</v>
      </c>
      <c r="I18" s="120"/>
      <c r="J18" s="120"/>
      <c r="K18" s="120"/>
      <c r="L18" s="121"/>
    </row>
    <row r="19" spans="2:12" x14ac:dyDescent="0.25">
      <c r="B19" s="232" t="s">
        <v>110</v>
      </c>
      <c r="C19" s="233"/>
      <c r="D19" s="233"/>
      <c r="E19" s="233"/>
      <c r="F19" s="233"/>
      <c r="G19" s="233"/>
      <c r="H19" s="31">
        <v>0</v>
      </c>
      <c r="I19" s="120"/>
      <c r="J19" s="120"/>
      <c r="K19" s="120"/>
      <c r="L19" s="121"/>
    </row>
  </sheetData>
  <mergeCells count="9">
    <mergeCell ref="B17:G17"/>
    <mergeCell ref="B18:G18"/>
    <mergeCell ref="B19:G19"/>
    <mergeCell ref="B2:B3"/>
    <mergeCell ref="B10:K10"/>
    <mergeCell ref="B13:G16"/>
    <mergeCell ref="H13:L13"/>
    <mergeCell ref="H14:H15"/>
    <mergeCell ref="I14:K1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548135"/>
  </sheetPr>
  <dimension ref="A1:Z15"/>
  <sheetViews>
    <sheetView workbookViewId="0">
      <selection activeCell="A16" sqref="A16"/>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111</v>
      </c>
      <c r="B1" s="132" t="s">
        <v>112</v>
      </c>
      <c r="C1" s="154"/>
      <c r="D1" s="154"/>
      <c r="E1" s="154"/>
      <c r="F1" s="154"/>
      <c r="G1" s="154"/>
      <c r="H1" s="154"/>
      <c r="I1" s="154"/>
      <c r="J1" s="154"/>
      <c r="K1" s="154"/>
      <c r="L1" s="154"/>
      <c r="M1" s="154"/>
      <c r="N1" s="154"/>
      <c r="O1" s="154"/>
      <c r="P1" s="154"/>
      <c r="Q1" s="154"/>
      <c r="R1" s="154"/>
      <c r="S1" s="154"/>
      <c r="T1" s="154"/>
      <c r="U1" s="154"/>
      <c r="V1" s="154"/>
      <c r="W1" s="154"/>
      <c r="X1" s="154"/>
      <c r="Y1" s="154"/>
      <c r="Z1" s="154"/>
    </row>
    <row r="2" spans="1:26" x14ac:dyDescent="0.25">
      <c r="A2">
        <v>242</v>
      </c>
      <c r="B2">
        <v>2023</v>
      </c>
    </row>
    <row r="3" spans="1:26" x14ac:dyDescent="0.25">
      <c r="A3">
        <v>1979</v>
      </c>
      <c r="B3">
        <v>2023</v>
      </c>
    </row>
    <row r="4" spans="1:26" x14ac:dyDescent="0.25">
      <c r="A4">
        <v>256</v>
      </c>
      <c r="B4">
        <v>2023</v>
      </c>
    </row>
    <row r="5" spans="1:26" x14ac:dyDescent="0.25">
      <c r="A5">
        <v>1933</v>
      </c>
      <c r="B5">
        <v>2023</v>
      </c>
    </row>
    <row r="6" spans="1:26" x14ac:dyDescent="0.25">
      <c r="A6">
        <v>1934</v>
      </c>
      <c r="B6">
        <v>2023</v>
      </c>
    </row>
    <row r="7" spans="1:26" x14ac:dyDescent="0.25">
      <c r="A7">
        <v>171</v>
      </c>
      <c r="B7">
        <v>2023</v>
      </c>
    </row>
    <row r="8" spans="1:26" x14ac:dyDescent="0.25">
      <c r="A8">
        <v>5163</v>
      </c>
      <c r="B8">
        <v>2023</v>
      </c>
    </row>
    <row r="9" spans="1:26" x14ac:dyDescent="0.25">
      <c r="A9">
        <v>323</v>
      </c>
      <c r="B9">
        <v>2023</v>
      </c>
    </row>
    <row r="10" spans="1:26" x14ac:dyDescent="0.25">
      <c r="A10">
        <v>324</v>
      </c>
      <c r="B10">
        <v>2023</v>
      </c>
    </row>
    <row r="11" spans="1:26" x14ac:dyDescent="0.25">
      <c r="A11">
        <v>255</v>
      </c>
      <c r="B11">
        <v>2023</v>
      </c>
    </row>
    <row r="12" spans="1:26" x14ac:dyDescent="0.25">
      <c r="A12">
        <v>34</v>
      </c>
      <c r="B12">
        <v>2024</v>
      </c>
    </row>
    <row r="13" spans="1:26" x14ac:dyDescent="0.25">
      <c r="A13">
        <v>45</v>
      </c>
      <c r="B13">
        <v>2024</v>
      </c>
    </row>
    <row r="14" spans="1:26" x14ac:dyDescent="0.25">
      <c r="A14">
        <v>1499</v>
      </c>
      <c r="B14">
        <v>2024</v>
      </c>
    </row>
    <row r="15" spans="1:26" x14ac:dyDescent="0.25">
      <c r="A15">
        <v>4005</v>
      </c>
      <c r="B15">
        <v>2024</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5FF83-C0C2-4EA9-B759-26347EE61F5F}">
  <sheetPr>
    <tabColor rgb="FF548135"/>
  </sheetPr>
  <dimension ref="A1:Z1"/>
  <sheetViews>
    <sheetView workbookViewId="0">
      <selection activeCell="A2" sqref="A2"/>
    </sheetView>
  </sheetViews>
  <sheetFormatPr defaultRowHeight="15" x14ac:dyDescent="0.25"/>
  <cols>
    <col min="1" max="1" width="49.42578125" customWidth="1"/>
    <col min="2" max="2" width="17.85546875" customWidth="1"/>
    <col min="3" max="9" width="11.5703125" style="110" customWidth="1"/>
    <col min="10" max="10" width="13.28515625" style="110" customWidth="1"/>
    <col min="11" max="13" width="11.5703125" style="110" customWidth="1"/>
    <col min="14" max="17" width="13.28515625" style="110" customWidth="1"/>
    <col min="18" max="26" width="10.7109375" style="110" customWidth="1"/>
  </cols>
  <sheetData>
    <row r="1" spans="1:26" x14ac:dyDescent="0.25">
      <c r="A1" s="132" t="s">
        <v>1324</v>
      </c>
      <c r="B1" s="132" t="s">
        <v>13</v>
      </c>
      <c r="C1" s="154"/>
      <c r="D1" s="154"/>
      <c r="E1" s="154"/>
      <c r="F1" s="154"/>
      <c r="G1" s="154"/>
      <c r="H1" s="154"/>
      <c r="I1" s="154"/>
      <c r="J1" s="154"/>
      <c r="K1" s="154"/>
      <c r="L1" s="154"/>
      <c r="M1" s="154"/>
      <c r="N1" s="154"/>
      <c r="O1" s="154"/>
      <c r="P1" s="154"/>
      <c r="Q1" s="154"/>
      <c r="R1" s="154"/>
      <c r="S1" s="154"/>
      <c r="T1" s="154"/>
      <c r="U1" s="154"/>
      <c r="V1" s="154"/>
      <c r="W1" s="154"/>
      <c r="X1" s="154"/>
      <c r="Y1" s="154"/>
      <c r="Z1" s="154"/>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13"/>
  <sheetViews>
    <sheetView workbookViewId="0"/>
  </sheetViews>
  <sheetFormatPr defaultRowHeight="15" x14ac:dyDescent="0.25"/>
  <cols>
    <col min="2" max="3" width="97.7109375" customWidth="1"/>
  </cols>
  <sheetData>
    <row r="2" spans="2:3" x14ac:dyDescent="0.25">
      <c r="B2" t="s">
        <v>0</v>
      </c>
      <c r="C2" t="s">
        <v>1</v>
      </c>
    </row>
    <row r="3" spans="2:3" x14ac:dyDescent="0.25">
      <c r="B3" s="113" t="s">
        <v>2</v>
      </c>
      <c r="C3" s="114">
        <f>_xlfn.SWITCH(MONTH(paramDataBase),1,1,2,1,3,2,4,2,5,3,6,3,7,4,8,4,9,5,10,5,11,6,12,6)</f>
        <v>1</v>
      </c>
    </row>
    <row r="4" spans="2:3" x14ac:dyDescent="0.25">
      <c r="B4" s="107" t="s">
        <v>3</v>
      </c>
      <c r="C4" s="105">
        <f>12/6*paramBimestre-1</f>
        <v>1</v>
      </c>
    </row>
    <row r="5" spans="2:3" x14ac:dyDescent="0.25">
      <c r="B5" s="113" t="s">
        <v>4</v>
      </c>
      <c r="C5" s="114">
        <f>C4+1</f>
        <v>2</v>
      </c>
    </row>
    <row r="6" spans="2:3" x14ac:dyDescent="0.25">
      <c r="B6" s="107" t="s">
        <v>5</v>
      </c>
      <c r="C6" s="115">
        <f>DATEVALUE("01/"&amp;TEXT(paramBimMesInicio,"00\/")&amp;YEAR(paramDataBase))</f>
        <v>1</v>
      </c>
    </row>
    <row r="7" spans="2:3" x14ac:dyDescent="0.25">
      <c r="B7" s="113" t="s">
        <v>6</v>
      </c>
      <c r="C7" s="116">
        <f>EOMONTH(C6,1)</f>
        <v>59</v>
      </c>
    </row>
    <row r="8" spans="2:3" x14ac:dyDescent="0.25">
      <c r="B8" s="113" t="s">
        <v>7</v>
      </c>
      <c r="C8" s="116">
        <f>DATE(YEAR(paramDataBase),1,1)</f>
        <v>1</v>
      </c>
    </row>
    <row r="9" spans="2:3" x14ac:dyDescent="0.25">
      <c r="B9" s="104" t="s">
        <v>8</v>
      </c>
      <c r="C9" s="117">
        <f>DATE(YEAR(paramDataBase),4,30)</f>
        <v>121</v>
      </c>
    </row>
    <row r="10" spans="2:3" x14ac:dyDescent="0.25">
      <c r="B10" s="113" t="s">
        <v>9</v>
      </c>
      <c r="C10" s="110">
        <f>IF(MONTH(paramDataBase)=6,'RREO A3'!O40,paramRCL1Sem)</f>
        <v>0</v>
      </c>
    </row>
    <row r="11" spans="2:3" x14ac:dyDescent="0.25">
      <c r="B11" s="162" t="s">
        <v>10</v>
      </c>
      <c r="C11" s="110">
        <f>IF(MONTH(paramDataBase)=6,'RREO A3'!O41,paramEmendasIndividuais1Sem)</f>
        <v>0</v>
      </c>
    </row>
    <row r="12" spans="2:3" x14ac:dyDescent="0.25">
      <c r="B12" s="113" t="s">
        <v>11</v>
      </c>
      <c r="C12" s="110">
        <f>IF(MONTH(paramDataBase)=12,'RREO A3'!O40,0)</f>
        <v>0</v>
      </c>
    </row>
    <row r="13" spans="2:3" x14ac:dyDescent="0.25">
      <c r="B13" s="162" t="s">
        <v>12</v>
      </c>
      <c r="C13" s="110">
        <f>IF(MONTH(paramDataBase)=12,'RREO A3'!O41,0)</f>
        <v>0</v>
      </c>
    </row>
  </sheetData>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806000"/>
  </sheetPr>
  <dimension ref="B2:D9"/>
  <sheetViews>
    <sheetView workbookViewId="0">
      <selection activeCell="C5" sqref="C5"/>
    </sheetView>
  </sheetViews>
  <sheetFormatPr defaultRowHeight="15" x14ac:dyDescent="0.25"/>
  <cols>
    <col min="2" max="2" width="16.28515625" customWidth="1"/>
    <col min="3" max="3" width="162.140625" customWidth="1"/>
  </cols>
  <sheetData>
    <row r="2" spans="2:4" x14ac:dyDescent="0.25">
      <c r="B2" t="s">
        <v>113</v>
      </c>
      <c r="C2" t="s">
        <v>114</v>
      </c>
      <c r="D2" t="s">
        <v>115</v>
      </c>
    </row>
    <row r="3" spans="2:4" ht="30" customHeight="1" x14ac:dyDescent="0.25">
      <c r="B3" t="s">
        <v>116</v>
      </c>
      <c r="C3" s="14" t="s">
        <v>117</v>
      </c>
      <c r="D3" t="str">
        <f>_xlfn.CONCAT(tblNotasExplicativas[[#This Row],[Nota]]," ")</f>
        <v xml:space="preserve">O valor registrado na linha "Superávit Financeiro Utilizado para Créditos Adicionais corresponde ao saldo financeiro do ano anterior desvinculado de compromissos que foi utilizado como fonte de recursos para abertura de créditos adicionais e que não figurou como receita orçamentária. </v>
      </c>
    </row>
    <row r="4" spans="2:4" x14ac:dyDescent="0.25">
      <c r="B4" t="s">
        <v>118</v>
      </c>
      <c r="C4" s="14" t="s">
        <v>119</v>
      </c>
      <c r="D4" t="str">
        <f>_xlfn.CONCAT(tblNotasExplicativas[[#This Row],[Nota]]," ")</f>
        <v xml:space="preserve">O Município não possui contratos de PPP vigentes. </v>
      </c>
    </row>
    <row r="5" spans="2:4" x14ac:dyDescent="0.25">
      <c r="B5" t="s">
        <v>51</v>
      </c>
      <c r="C5" s="14" t="str">
        <f>"O quadro das linhas 21 apresenta o rateio entre Creche e Pré-Escola com base nas matrículas de alunos, sendo "&amp;TEXT(paramMDERateioCreche,"00,00%")&amp;" da despesa para a Creche."</f>
        <v>O quadro das linhas 21 apresenta o rateio entre Creche e Pré-Escola com base nas matrículas de alunos, sendo 47,00% da despesa para a Creche.</v>
      </c>
      <c r="D5" t="str">
        <f>_xlfn.CONCAT(tblNotasExplicativas[[#This Row],[Nota]]," ")</f>
        <v xml:space="preserve">O quadro das linhas 21 apresenta o rateio entre Creche e Pré-Escola com base nas matrículas de alunos, sendo 47,00% da despesa para a Creche. </v>
      </c>
    </row>
    <row r="6" spans="2:4" ht="30" customHeight="1" x14ac:dyDescent="0.25">
      <c r="B6" t="s">
        <v>51</v>
      </c>
      <c r="C6" s="14" t="s">
        <v>120</v>
      </c>
      <c r="D6" t="str">
        <f>_xlfn.CONCAT(tblNotasExplicativas[[#This Row],[Nota]]," ")</f>
        <v xml:space="preserve">As linhas 10.2 apresentam na coluna Dotação Atualizada o mesmo valor da coluna Empenhado porque não há condições de separar a dotação de acordo com o código de acompanhamento orçamentário. </v>
      </c>
    </row>
    <row r="7" spans="2:4" x14ac:dyDescent="0.25">
      <c r="B7" t="s">
        <v>57</v>
      </c>
      <c r="C7" s="14" t="str">
        <f>_xlfn.CONCAT("Na apuração da despesa com ASPS foi considerado o valor executado via consórcios públicos, somando um total de ",TEXT('RREO A12'!R49,"R$ 0.000,00"))</f>
        <v>Na apuração da despesa com ASPS foi considerado o valor executado via consórcios públicos, somando um total de R$ 0.000,00</v>
      </c>
      <c r="D7" t="str">
        <f>_xlfn.CONCAT(tblNotasExplicativas[[#This Row],[Nota]]," ")</f>
        <v xml:space="preserve">Na apuração da despesa com ASPS foi considerado o valor executado via consórcios públicos, somando um total de R$ 0.000,00 </v>
      </c>
    </row>
    <row r="8" spans="2:4" ht="30" customHeight="1" x14ac:dyDescent="0.25">
      <c r="B8" t="s">
        <v>121</v>
      </c>
      <c r="C8" s="14" t="s">
        <v>122</v>
      </c>
      <c r="D8" t="str">
        <f>_xlfn.CONCAT(tblNotasExplicativas[[#This Row],[Nota]]," ")</f>
        <v xml:space="preserve">Incluídos R$ 623.358,33 referente a despesas liquidadas referentes a contratos que integram a despesa com pessoal porém registrados na despesa 3390 39 em vez da despesa 3390 34. </v>
      </c>
    </row>
    <row r="9" spans="2:4" x14ac:dyDescent="0.25">
      <c r="B9" t="s">
        <v>123</v>
      </c>
      <c r="C9" s="14" t="s">
        <v>124</v>
      </c>
      <c r="D9" t="str">
        <f>_xlfn.CONCAT(tblNotasExplicativas[[#This Row],[Nota]]," ")</f>
        <v xml:space="preserve">Republicação em virtude de diversas inconsistências identificadas posteriormente à publicação inicial.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43</vt:i4>
      </vt:variant>
      <vt:variant>
        <vt:lpstr>Intervalos Nomeados</vt:lpstr>
      </vt:variant>
      <vt:variant>
        <vt:i4>80</vt:i4>
      </vt:variant>
    </vt:vector>
  </HeadingPairs>
  <TitlesOfParts>
    <vt:vector size="123" baseType="lpstr">
      <vt:lpstr>Parâmetros</vt:lpstr>
      <vt:lpstr>Valores manuais</vt:lpstr>
      <vt:lpstr>Consórcios Despesas</vt:lpstr>
      <vt:lpstr>RREO A8 Valores Manuais</vt:lpstr>
      <vt:lpstr>RREO A12 Valores Manuais</vt:lpstr>
      <vt:lpstr>RGF A1 Exec Terceirização</vt:lpstr>
      <vt:lpstr>RGF A2 Outros ajustes</vt:lpstr>
      <vt:lpstr>Valores calculados</vt:lpstr>
      <vt:lpstr>Notas Explicativas</vt:lpstr>
      <vt:lpstr>RREO A1 BO Receita</vt:lpstr>
      <vt:lpstr>RREO A1 BO Despesa</vt:lpstr>
      <vt:lpstr>RREO A1 BO Receita Intra</vt:lpstr>
      <vt:lpstr>RREO A1 BO Despesa Intra</vt:lpstr>
      <vt:lpstr>RREO A2</vt:lpstr>
      <vt:lpstr>RREO A2 Intra</vt:lpstr>
      <vt:lpstr>RREO A3</vt:lpstr>
      <vt:lpstr>RREO A4</vt:lpstr>
      <vt:lpstr>RREO A6</vt:lpstr>
      <vt:lpstr>RREO A7</vt:lpstr>
      <vt:lpstr>RREO A7 Intra</vt:lpstr>
      <vt:lpstr>RREO A8</vt:lpstr>
      <vt:lpstr>RREO A9</vt:lpstr>
      <vt:lpstr>RREO A10</vt:lpstr>
      <vt:lpstr>RREO A11</vt:lpstr>
      <vt:lpstr>RREO A12</vt:lpstr>
      <vt:lpstr>RREO A13</vt:lpstr>
      <vt:lpstr>RREO A14 Resumido</vt:lpstr>
      <vt:lpstr>RREO A14 Completo</vt:lpstr>
      <vt:lpstr>RGF A1 Exec</vt:lpstr>
      <vt:lpstr>RGF A1 COFRON</vt:lpstr>
      <vt:lpstr>RGF A1 CISA</vt:lpstr>
      <vt:lpstr>RGF A2</vt:lpstr>
      <vt:lpstr>RGF A3</vt:lpstr>
      <vt:lpstr>RGF A4</vt:lpstr>
      <vt:lpstr>RGF A5 Exec 2 Sem</vt:lpstr>
      <vt:lpstr>RGF A6 Exec 1 Sem</vt:lpstr>
      <vt:lpstr>RGF A6 Exec 2 Sem</vt:lpstr>
      <vt:lpstr>RGF A1 Leg</vt:lpstr>
      <vt:lpstr>RGF A5 Leg 2 Sem</vt:lpstr>
      <vt:lpstr>RGF A6 Leg 2 Sem</vt:lpstr>
      <vt:lpstr>RGF A1 Consolidado</vt:lpstr>
      <vt:lpstr>RGF A5 Consolidado</vt:lpstr>
      <vt:lpstr>RGF A6 Consolidado</vt:lpstr>
      <vt:lpstr>'RGF A1 CISA'!Area_de_impressao</vt:lpstr>
      <vt:lpstr>'RGF A1 COFRON'!Area_de_impressao</vt:lpstr>
      <vt:lpstr>'RGF A1 Leg'!Area_de_impressao</vt:lpstr>
      <vt:lpstr>'RGF A2'!Area_de_impressao</vt:lpstr>
      <vt:lpstr>'RGF A3'!Area_de_impressao</vt:lpstr>
      <vt:lpstr>'RGF A4'!Area_de_impressao</vt:lpstr>
      <vt:lpstr>'RGF A5 Consolidado'!Area_de_impressao</vt:lpstr>
      <vt:lpstr>'RGF A5 Exec 2 Sem'!Area_de_impressao</vt:lpstr>
      <vt:lpstr>'RGF A5 Leg 2 Sem'!Area_de_impressao</vt:lpstr>
      <vt:lpstr>'RGF A6 Consolidado'!Area_de_impressao</vt:lpstr>
      <vt:lpstr>'RGF A6 Exec 1 Sem'!Area_de_impressao</vt:lpstr>
      <vt:lpstr>'RGF A6 Exec 2 Sem'!Area_de_impressao</vt:lpstr>
      <vt:lpstr>'RGF A6 Leg 2 Sem'!Area_de_impressao</vt:lpstr>
      <vt:lpstr>'RREO A1 BO Despesa'!Area_de_impressao</vt:lpstr>
      <vt:lpstr>'RREO A1 BO Despesa Intra'!Area_de_impressao</vt:lpstr>
      <vt:lpstr>'RREO A1 BO Receita'!Area_de_impressao</vt:lpstr>
      <vt:lpstr>'RREO A1 BO Receita Intra'!Area_de_impressao</vt:lpstr>
      <vt:lpstr>'RREO A12'!Area_de_impressao</vt:lpstr>
      <vt:lpstr>'RREO A13'!Area_de_impressao</vt:lpstr>
      <vt:lpstr>'RREO A14 Completo'!Area_de_impressao</vt:lpstr>
      <vt:lpstr>'RREO A14 Resumido'!Area_de_impressao</vt:lpstr>
      <vt:lpstr>'RREO A2'!Area_de_impressao</vt:lpstr>
      <vt:lpstr>'RREO A2 Intra'!Area_de_impressao</vt:lpstr>
      <vt:lpstr>'RREO A3'!Area_de_impressao</vt:lpstr>
      <vt:lpstr>'RREO A4'!Area_de_impressao</vt:lpstr>
      <vt:lpstr>'RREO A6'!Area_de_impressao</vt:lpstr>
      <vt:lpstr>'RREO A8'!Area_de_impressao</vt:lpstr>
      <vt:lpstr>param1quadFim</vt:lpstr>
      <vt:lpstr>param1quadInicio</vt:lpstr>
      <vt:lpstr>paramAcaoInativosLegislativo</vt:lpstr>
      <vt:lpstr>paramAcaoInativosLegislativoAnterior</vt:lpstr>
      <vt:lpstr>paramASPSRPInscritosSemDisponibilidadeEmpenhado</vt:lpstr>
      <vt:lpstr>paramASPSRPInscritosSemDisponibilidadeLiquidado</vt:lpstr>
      <vt:lpstr>paramASPSRPInscritosSemDisponibilidadePago</vt:lpstr>
      <vt:lpstr>paramASPSXIXdAnoAnterior</vt:lpstr>
      <vt:lpstr>paramBimDataFim</vt:lpstr>
      <vt:lpstr>paramBimDataInicio</vt:lpstr>
      <vt:lpstr>paramBimestre</vt:lpstr>
      <vt:lpstr>paramBimMesFim</vt:lpstr>
      <vt:lpstr>paramBimMesInicio</vt:lpstr>
      <vt:lpstr>paramCargoContador</vt:lpstr>
      <vt:lpstr>paramCargoControleInterno</vt:lpstr>
      <vt:lpstr>paramCargoPrefeito</vt:lpstr>
      <vt:lpstr>paramCargoPresidente</vt:lpstr>
      <vt:lpstr>paramCargoSecretario</vt:lpstr>
      <vt:lpstr>paramCRCContador</vt:lpstr>
      <vt:lpstr>paramDataBase</vt:lpstr>
      <vt:lpstr>paramEmendasIndividuais1Sem</vt:lpstr>
      <vt:lpstr>paramEmendasIndividuais1SemAtual</vt:lpstr>
      <vt:lpstr>paramEmendasIndividuais2SemAtual</vt:lpstr>
      <vt:lpstr>paramEmendasIndividuaisAnoAnterior</vt:lpstr>
      <vt:lpstr>paramEnte</vt:lpstr>
      <vt:lpstr>paramFonte</vt:lpstr>
      <vt:lpstr>paramFundebSuperavitAnteriorImpostos</vt:lpstr>
      <vt:lpstr>paramFundebSuperavitAnteriorNaoAplicadoImpostos</vt:lpstr>
      <vt:lpstr>paramFundebSuperavitAnteriorNaoAplicadoVAA_</vt:lpstr>
      <vt:lpstr>paramFundebSuperavitAnteriorVAA_</vt:lpstr>
      <vt:lpstr>paramGarantiasLimiteSenado</vt:lpstr>
      <vt:lpstr>paramMAximoSuperavitFundeb</vt:lpstr>
      <vt:lpstr>paramMDERateioCreche</vt:lpstr>
      <vt:lpstr>paramMinimoASPS</vt:lpstr>
      <vt:lpstr>paramMinimoFundebRemuneracao</vt:lpstr>
      <vt:lpstr>paramMinimoMDE</vt:lpstr>
      <vt:lpstr>paramNomeContador</vt:lpstr>
      <vt:lpstr>paramNomeControleInterno</vt:lpstr>
      <vt:lpstr>paramNomePrefeito</vt:lpstr>
      <vt:lpstr>paramNomePresidente</vt:lpstr>
      <vt:lpstr>paramNomeSecretario</vt:lpstr>
      <vt:lpstr>paramOperacaoCreditoLimiteSenado</vt:lpstr>
      <vt:lpstr>paramRCL1Sem</vt:lpstr>
      <vt:lpstr>paramRCL1SemAtual</vt:lpstr>
      <vt:lpstr>paramRCL2SemAtual</vt:lpstr>
      <vt:lpstr>paramRCLAnoAnterior</vt:lpstr>
      <vt:lpstr>'RGF A5 Consolidado'!Titulos_de_impressao</vt:lpstr>
      <vt:lpstr>'RGF A5 Exec 2 Sem'!Titulos_de_impressao</vt:lpstr>
      <vt:lpstr>'RGF A5 Leg 2 Sem'!Titulos_de_impressao</vt:lpstr>
      <vt:lpstr>'RREO A10'!Titulos_de_impressao</vt:lpstr>
      <vt:lpstr>'RREO A11'!Titulos_de_impressao</vt:lpstr>
      <vt:lpstr>'RREO A2'!Titulos_de_impressao</vt:lpstr>
      <vt:lpstr>'RREO A2 Intra'!Titulos_de_impressao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Everton da Rosa</dc:creator>
  <cp:keywords/>
  <dc:description/>
  <cp:lastModifiedBy>Everton da Rosa</cp:lastModifiedBy>
  <cp:lastPrinted>2024-05-09T12:42:48Z</cp:lastPrinted>
  <dcterms:created xsi:type="dcterms:W3CDTF">2023-01-19T12:07:13Z</dcterms:created>
  <dcterms:modified xsi:type="dcterms:W3CDTF">2024-05-09T12:42:51Z</dcterms:modified>
  <cp:category/>
</cp:coreProperties>
</file>