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v\work\data2ppt\dashboard-10\"/>
    </mc:Choice>
  </mc:AlternateContent>
  <bookViews>
    <workbookView xWindow="2640" yWindow="0" windowWidth="25035" windowHeight="15495" tabRatio="500"/>
  </bookViews>
  <sheets>
    <sheet name="Sheet1" sheetId="1" r:id="rId1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F8" i="1"/>
  <c r="B39" i="1"/>
  <c r="B38" i="1"/>
  <c r="E28" i="1"/>
  <c r="D28" i="1"/>
  <c r="C28" i="1"/>
  <c r="B28" i="1"/>
  <c r="B3" i="1"/>
  <c r="D3" i="1"/>
  <c r="F3" i="1"/>
  <c r="H3" i="1"/>
  <c r="J3" i="1"/>
  <c r="L3" i="1"/>
  <c r="B4" i="1"/>
  <c r="D4" i="1"/>
  <c r="F4" i="1"/>
  <c r="H4" i="1"/>
  <c r="J4" i="1"/>
  <c r="L4" i="1"/>
  <c r="H5" i="1"/>
  <c r="B16" i="1"/>
  <c r="C16" i="1"/>
  <c r="D16" i="1"/>
  <c r="E16" i="1"/>
  <c r="F16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B12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B25" i="1"/>
  <c r="C25" i="1"/>
  <c r="D25" i="1"/>
  <c r="E25" i="1"/>
  <c r="B26" i="1"/>
  <c r="C26" i="1"/>
  <c r="D26" i="1"/>
  <c r="E26" i="1"/>
  <c r="B27" i="1"/>
  <c r="C27" i="1"/>
  <c r="D27" i="1"/>
  <c r="E27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</calcChain>
</file>

<file path=xl/sharedStrings.xml><?xml version="1.0" encoding="utf-8"?>
<sst xmlns="http://schemas.openxmlformats.org/spreadsheetml/2006/main" count="150" uniqueCount="115">
  <si>
    <t>Headline Metrics</t>
  </si>
  <si>
    <t>Direct Margin</t>
  </si>
  <si>
    <t>Business EBA Margin</t>
  </si>
  <si>
    <t>Business CE Margin</t>
  </si>
  <si>
    <t>Firm Margin</t>
  </si>
  <si>
    <t>Gross Client Margin</t>
  </si>
  <si>
    <t>PRD Margin</t>
  </si>
  <si>
    <t>Current</t>
  </si>
  <si>
    <t>Prior Change (BPS)</t>
  </si>
  <si>
    <t>Plan Change (BPS)</t>
  </si>
  <si>
    <t>N/A</t>
  </si>
  <si>
    <t>Rates Vs. CS Salary Growth</t>
  </si>
  <si>
    <t>Current Year</t>
  </si>
  <si>
    <t>FY16</t>
  </si>
  <si>
    <t>Current Period</t>
  </si>
  <si>
    <t>Left Y Axis (Headcount) Max:</t>
  </si>
  <si>
    <t xml:space="preserve">Right Y Axis (Rate) Max: </t>
  </si>
  <si>
    <t>Period</t>
  </si>
  <si>
    <t>Average Firm Rate</t>
  </si>
  <si>
    <t>CS Salary per CS Staff</t>
  </si>
  <si>
    <t>Average Firm Rate - Rolling 39 Average</t>
  </si>
  <si>
    <t>Utilization &amp; Headcount Growth</t>
  </si>
  <si>
    <t>Total Headcount</t>
  </si>
  <si>
    <t>YoY Headcount Growth</t>
  </si>
  <si>
    <t>Utilization Rate - Current Year</t>
  </si>
  <si>
    <t>Utilization Rate - Prior Year</t>
  </si>
  <si>
    <t>Height / Width  (% of Max)</t>
  </si>
  <si>
    <t>Firm</t>
  </si>
  <si>
    <t>Advisory</t>
  </si>
  <si>
    <t>Audit</t>
  </si>
  <si>
    <t>Consulting</t>
  </si>
  <si>
    <t>Tax</t>
  </si>
  <si>
    <t>Earnings Per Partner</t>
  </si>
  <si>
    <t>Earnings by CS Staff</t>
  </si>
  <si>
    <t>Leverage w/ Partners</t>
  </si>
  <si>
    <t>Rate Per Hour</t>
  </si>
  <si>
    <t>Rate Per Hour YoY Growth</t>
  </si>
  <si>
    <t>Cost Per Hour</t>
  </si>
  <si>
    <t>Cost Per Hour YoY Growth</t>
  </si>
  <si>
    <t>Earnings Per Hour</t>
  </si>
  <si>
    <t>Earnings Per Hour YoY Growth</t>
  </si>
  <si>
    <t>Hours Per Person</t>
  </si>
  <si>
    <t>Hours Per Person YoY Growth</t>
  </si>
  <si>
    <t>Leverage w/ Partners YoY Growth</t>
  </si>
  <si>
    <t>Max of Y Axis (Earnings per CS Staff)</t>
  </si>
  <si>
    <t>Max of X Axis (Leverage W/ Partners)</t>
  </si>
  <si>
    <t>SOURCE DATA</t>
  </si>
  <si>
    <t xml:space="preserve">Firm </t>
  </si>
  <si>
    <t>EBA - Current YTD</t>
  </si>
  <si>
    <t>EBA - Prior YTD</t>
  </si>
  <si>
    <t>Contrallable Earnings - Current YTD</t>
  </si>
  <si>
    <t>Controllable Earnings - Prior YTD</t>
  </si>
  <si>
    <t>Gross Client Margin - Current YTD</t>
  </si>
  <si>
    <t>Gross Client Margin - Prior YTD</t>
  </si>
  <si>
    <t>EBA - Plan YTD</t>
  </si>
  <si>
    <t>PRD Margin - Prior YTD</t>
  </si>
  <si>
    <t>PRD Margin - Current YTD</t>
  </si>
  <si>
    <t>Revenue - Current YTD</t>
  </si>
  <si>
    <t>Revenue - Prior YTD</t>
  </si>
  <si>
    <t>CS Hours - Current YTD</t>
  </si>
  <si>
    <t>CS Hours - Prior YTD</t>
  </si>
  <si>
    <t>CS Salary - Current YTD</t>
  </si>
  <si>
    <t>CS Salary - Prior YTD</t>
  </si>
  <si>
    <t>CS Headcount - Current YTD</t>
  </si>
  <si>
    <t>CS Headcount - Prior YTD</t>
  </si>
  <si>
    <t>Partner Headcount - Current YTD</t>
  </si>
  <si>
    <t>Partner Headcount - Prior YTD</t>
  </si>
  <si>
    <t>Revenue - Plan YTD</t>
  </si>
  <si>
    <t>SERIES DATA</t>
  </si>
  <si>
    <t>Current Period -38</t>
  </si>
  <si>
    <t>Current Period -37</t>
  </si>
  <si>
    <t>Current Period -36</t>
  </si>
  <si>
    <t>Current Period -35</t>
  </si>
  <si>
    <t>Current Period -34</t>
  </si>
  <si>
    <t>Current Period -33</t>
  </si>
  <si>
    <t>Current Period -32</t>
  </si>
  <si>
    <t>Current Period -31</t>
  </si>
  <si>
    <t>Current Period -30</t>
  </si>
  <si>
    <t>Current Period -29</t>
  </si>
  <si>
    <t>Current Period -28</t>
  </si>
  <si>
    <t>Current Period -27</t>
  </si>
  <si>
    <t>Current Period -26</t>
  </si>
  <si>
    <t>Current Period -25</t>
  </si>
  <si>
    <t>Current Period -24</t>
  </si>
  <si>
    <t>Current Period -23</t>
  </si>
  <si>
    <t>Current Period -22</t>
  </si>
  <si>
    <t>Current Period -21</t>
  </si>
  <si>
    <t>Current Period -20</t>
  </si>
  <si>
    <t>Current Period -19</t>
  </si>
  <si>
    <t>Current Period -18</t>
  </si>
  <si>
    <t>Current Period -17</t>
  </si>
  <si>
    <t>Current Period -16</t>
  </si>
  <si>
    <t>Current Period -15</t>
  </si>
  <si>
    <t>Current Period -14</t>
  </si>
  <si>
    <t>Current Period -13</t>
  </si>
  <si>
    <t>Current Period -12</t>
  </si>
  <si>
    <t>Current Period -11</t>
  </si>
  <si>
    <t>Current Period -10</t>
  </si>
  <si>
    <t>Current Period -9</t>
  </si>
  <si>
    <t>Current Period -8</t>
  </si>
  <si>
    <t>Current Period -7</t>
  </si>
  <si>
    <t>Current Period -6</t>
  </si>
  <si>
    <t>Current Period -5</t>
  </si>
  <si>
    <t>Current Period -4</t>
  </si>
  <si>
    <t>Current Period -3</t>
  </si>
  <si>
    <t>Current Period -2</t>
  </si>
  <si>
    <t>Current Period -1</t>
  </si>
  <si>
    <t xml:space="preserve">Current Period </t>
  </si>
  <si>
    <t>Firm Revenue (Current Period)</t>
  </si>
  <si>
    <t>Firm CS Hours (Current Period)</t>
  </si>
  <si>
    <t>Firm CS Salary</t>
  </si>
  <si>
    <t>Firm CS Staff</t>
  </si>
  <si>
    <t>Value at Origin (Y Axis)</t>
  </si>
  <si>
    <t>Earnings Per Parter (EPP)</t>
  </si>
  <si>
    <t>Earnings Per Parter (EPP) YoY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</si>
</sst>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0.0%"/>
    <numFmt numFmtId="166" formatCode="0.0"/>
    <numFmt numFmtId="167" formatCode="_-&quot;$&quot;* #,##0_-;\-&quot;$&quot;* #,##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0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/>
    <xf numFmtId="164" fontId="0" fillId="0" borderId="0" xfId="1" applyFont="1"/>
    <xf numFmtId="164" fontId="0" fillId="0" borderId="0" xfId="1" applyFont="1" applyAlignment="1">
      <alignment horizontal="right"/>
    </xf>
    <xf numFmtId="164" fontId="0" fillId="0" borderId="0" xfId="1" applyFont="1" applyAlignment="1">
      <alignment horizontal="center"/>
    </xf>
    <xf numFmtId="165" fontId="0" fillId="0" borderId="2" xfId="2" applyNumberFormat="1" applyFont="1" applyBorder="1"/>
    <xf numFmtId="1" fontId="0" fillId="0" borderId="2" xfId="0" applyNumberFormat="1" applyBorder="1"/>
    <xf numFmtId="1" fontId="0" fillId="0" borderId="3" xfId="0" applyNumberFormat="1" applyBorder="1"/>
    <xf numFmtId="0" fontId="6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3" borderId="0" xfId="0" applyNumberFormat="1" applyFill="1"/>
    <xf numFmtId="0" fontId="6" fillId="0" borderId="0" xfId="0" applyFont="1"/>
    <xf numFmtId="167" fontId="0" fillId="0" borderId="0" xfId="1" applyNumberFormat="1" applyFont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04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3" xfId="197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4"/>
  <sheetViews>
    <sheetView tabSelected="1" workbookViewId="0">
      <selection activeCell="H9" sqref="H9"/>
    </sheetView>
  </sheetViews>
  <sheetFormatPr defaultColWidth="11" defaultRowHeight="15.75" x14ac:dyDescent="0.25"/>
  <cols>
    <col min="1" max="1" width="33.375" customWidth="1"/>
    <col min="2" max="2" width="19.875" customWidth="1"/>
    <col min="3" max="3" width="16.125" customWidth="1"/>
    <col min="4" max="4" width="18.625" customWidth="1"/>
    <col min="5" max="5" width="21.125" customWidth="1"/>
    <col min="6" max="6" width="19.375" customWidth="1"/>
    <col min="7" max="7" width="20.125" customWidth="1"/>
    <col min="8" max="8" width="21.5" customWidth="1"/>
    <col min="9" max="9" width="19.625" customWidth="1"/>
    <col min="10" max="10" width="19" customWidth="1"/>
    <col min="11" max="11" width="20.625" customWidth="1"/>
    <col min="12" max="12" width="19.125" customWidth="1"/>
    <col min="13" max="13" width="19.625" customWidth="1"/>
    <col min="14" max="14" width="18.5" customWidth="1"/>
    <col min="15" max="15" width="18.625" customWidth="1"/>
    <col min="16" max="16" width="18" customWidth="1"/>
    <col min="17" max="17" width="20" customWidth="1"/>
    <col min="18" max="18" width="16.375" bestFit="1" customWidth="1"/>
    <col min="19" max="19" width="19" customWidth="1"/>
    <col min="20" max="20" width="19.5" customWidth="1"/>
    <col min="21" max="21" width="20.125" customWidth="1"/>
    <col min="22" max="22" width="19.375" customWidth="1"/>
    <col min="23" max="23" width="19.125" customWidth="1"/>
    <col min="24" max="25" width="16.375" bestFit="1" customWidth="1"/>
    <col min="26" max="26" width="17.625" bestFit="1" customWidth="1"/>
    <col min="27" max="27" width="18.5" customWidth="1"/>
    <col min="28" max="28" width="18" customWidth="1"/>
    <col min="29" max="29" width="17.625" customWidth="1"/>
    <col min="30" max="30" width="20.625" customWidth="1"/>
    <col min="31" max="31" width="17.5" customWidth="1"/>
    <col min="32" max="32" width="20.625" customWidth="1"/>
    <col min="33" max="33" width="20.875" customWidth="1"/>
    <col min="34" max="34" width="19" customWidth="1"/>
    <col min="35" max="35" width="18.875" customWidth="1"/>
    <col min="36" max="37" width="18.125" customWidth="1"/>
    <col min="38" max="38" width="18.375" customWidth="1"/>
    <col min="39" max="39" width="16.375" customWidth="1"/>
    <col min="40" max="40" width="18.375" customWidth="1"/>
    <col min="41" max="41" width="12.5" bestFit="1" customWidth="1"/>
    <col min="42" max="42" width="14.875" customWidth="1"/>
    <col min="43" max="43" width="15.125" customWidth="1"/>
    <col min="44" max="44" width="14.375" customWidth="1"/>
  </cols>
  <sheetData>
    <row r="1" spans="1:45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45" s="3" customFormat="1" ht="31.5" x14ac:dyDescent="0.25">
      <c r="B2" s="6" t="s">
        <v>1</v>
      </c>
      <c r="D2" s="6" t="s">
        <v>2</v>
      </c>
      <c r="F2" s="6" t="s">
        <v>3</v>
      </c>
      <c r="H2" s="6" t="s">
        <v>4</v>
      </c>
      <c r="I2" s="4"/>
      <c r="J2" s="6" t="s">
        <v>5</v>
      </c>
      <c r="K2" s="4"/>
      <c r="L2" s="6" t="s">
        <v>6</v>
      </c>
    </row>
    <row r="3" spans="1:45" x14ac:dyDescent="0.25">
      <c r="A3" s="5" t="s">
        <v>7</v>
      </c>
      <c r="B3" s="21">
        <f>(K43-P43)/K43</f>
        <v>0.51480732484387948</v>
      </c>
      <c r="D3" s="21">
        <f>(B44+B45+B46+B47)/K43</f>
        <v>0.42835953366423157</v>
      </c>
      <c r="F3" s="21">
        <f>(E44+E45+E46+E47)/K43</f>
        <v>0.31747876279647957</v>
      </c>
      <c r="H3" s="21">
        <f>B43/K43</f>
        <v>0.20268868217320046</v>
      </c>
      <c r="J3" s="21">
        <f>G43/K43</f>
        <v>0.46399982563264497</v>
      </c>
      <c r="L3" s="21">
        <f>I43/K43</f>
        <v>0.44085806225317647</v>
      </c>
    </row>
    <row r="4" spans="1:45" x14ac:dyDescent="0.25">
      <c r="A4" s="5" t="s">
        <v>8</v>
      </c>
      <c r="B4" s="22">
        <f>(((K43-P43)/K43)-((L43-Q43)/L43))*10000</f>
        <v>41.235765726446161</v>
      </c>
      <c r="D4" s="22">
        <f>(((B44+B45+B46+B47)/K43)-((C44+C45+C46+C47)/L43))*10000</f>
        <v>5.7559873047741128</v>
      </c>
      <c r="F4" s="22">
        <f>(((E44+E45+E46+E47)/K43)-((F44+F45+F46+F47)/L43))*10000</f>
        <v>105.93868313217902</v>
      </c>
      <c r="H4" s="22">
        <f>((B43/K43)-(C43/L43))*10000</f>
        <v>107.62698212569255</v>
      </c>
      <c r="J4" s="22">
        <f>((G43/K43)-(H43/L43))*10000</f>
        <v>-26.127417873469394</v>
      </c>
      <c r="L4" s="22">
        <f>((I43/K43)-(J43/L43))*10000</f>
        <v>131.29875451517225</v>
      </c>
    </row>
    <row r="5" spans="1:45" x14ac:dyDescent="0.25">
      <c r="A5" s="5" t="s">
        <v>9</v>
      </c>
      <c r="B5" s="7" t="s">
        <v>10</v>
      </c>
      <c r="D5" s="7" t="s">
        <v>10</v>
      </c>
      <c r="F5" s="7" t="s">
        <v>10</v>
      </c>
      <c r="H5" s="23">
        <f>((B43/K43)-(D43/M43))*10000</f>
        <v>150.55983492622104</v>
      </c>
      <c r="J5" s="7" t="s">
        <v>10</v>
      </c>
      <c r="L5" s="7" t="s">
        <v>10</v>
      </c>
    </row>
    <row r="7" spans="1:45" x14ac:dyDescent="0.25">
      <c r="A7" s="37" t="s">
        <v>11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  <row r="8" spans="1:45" s="3" customFormat="1" ht="31.5" x14ac:dyDescent="0.25">
      <c r="A8" s="11" t="s">
        <v>12</v>
      </c>
      <c r="B8" s="12" t="s">
        <v>13</v>
      </c>
      <c r="C8" s="13" t="s">
        <v>14</v>
      </c>
      <c r="D8" s="14">
        <v>4</v>
      </c>
      <c r="E8" s="11" t="s">
        <v>15</v>
      </c>
      <c r="F8" s="14">
        <f>IF((ROUNDUP(MAX(B10:AN10)/5,-1)*5&gt;250),((ROUNDUP(MAX(B10:AN10)/5,-1)*5)),250)</f>
        <v>250</v>
      </c>
      <c r="G8" s="11" t="s">
        <v>16</v>
      </c>
      <c r="H8" s="14">
        <f>IF((ROUNDUP(MAX(B11:AN11)/5,-3)*5&gt;10000),((ROUNDUP(MAX(B11:AN11)/5,-3)*5)),10000)</f>
        <v>10000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6"/>
    </row>
    <row r="9" spans="1:45" x14ac:dyDescent="0.25">
      <c r="A9" s="8" t="s">
        <v>17</v>
      </c>
      <c r="B9" s="9">
        <f>SUM(IF((D8+1)&lt;=13,D8+1,1))</f>
        <v>5</v>
      </c>
      <c r="C9" s="9">
        <f>SUM(IF((B9+1)&lt;=13,B9+1,1))</f>
        <v>6</v>
      </c>
      <c r="D9" s="9">
        <f>SUM(IF((C9+1)&lt;=13,C9+1,1))</f>
        <v>7</v>
      </c>
      <c r="E9" s="9">
        <f t="shared" ref="E9:J9" si="0">SUM(IF((D9+1)&lt;=13,D9+1,1))</f>
        <v>8</v>
      </c>
      <c r="F9" s="9">
        <f t="shared" si="0"/>
        <v>9</v>
      </c>
      <c r="G9" s="9">
        <f t="shared" si="0"/>
        <v>10</v>
      </c>
      <c r="H9" s="9">
        <f t="shared" si="0"/>
        <v>11</v>
      </c>
      <c r="I9" s="9">
        <f t="shared" si="0"/>
        <v>12</v>
      </c>
      <c r="J9" s="9">
        <f t="shared" si="0"/>
        <v>13</v>
      </c>
      <c r="K9" s="9">
        <f>SUM(IF((J9+1)&lt;=13,J9+1,1))</f>
        <v>1</v>
      </c>
      <c r="L9" s="9">
        <f>SUM(IF((K9+1)&lt;=13,K9+1,1))</f>
        <v>2</v>
      </c>
      <c r="M9" s="9">
        <f>SUM(IF((L9+1)&lt;=13,L9+1,1))</f>
        <v>3</v>
      </c>
      <c r="N9" s="9">
        <f>SUM(IF((M9+1)&lt;=13,M9+1,1))</f>
        <v>4</v>
      </c>
      <c r="O9" s="9">
        <f t="shared" ref="O9:AN9" si="1">SUM(IF((N9+1)&lt;=13,N9+1,1))</f>
        <v>5</v>
      </c>
      <c r="P9" s="9">
        <f t="shared" si="1"/>
        <v>6</v>
      </c>
      <c r="Q9" s="9">
        <f t="shared" si="1"/>
        <v>7</v>
      </c>
      <c r="R9" s="9">
        <f t="shared" si="1"/>
        <v>8</v>
      </c>
      <c r="S9" s="9">
        <f t="shared" si="1"/>
        <v>9</v>
      </c>
      <c r="T9" s="9">
        <f t="shared" si="1"/>
        <v>10</v>
      </c>
      <c r="U9" s="9">
        <f t="shared" si="1"/>
        <v>11</v>
      </c>
      <c r="V9" s="9">
        <f t="shared" si="1"/>
        <v>12</v>
      </c>
      <c r="W9" s="9">
        <f t="shared" si="1"/>
        <v>13</v>
      </c>
      <c r="X9" s="9">
        <f t="shared" si="1"/>
        <v>1</v>
      </c>
      <c r="Y9" s="9">
        <f t="shared" si="1"/>
        <v>2</v>
      </c>
      <c r="Z9" s="9">
        <f t="shared" si="1"/>
        <v>3</v>
      </c>
      <c r="AA9" s="9">
        <f t="shared" si="1"/>
        <v>4</v>
      </c>
      <c r="AB9" s="9">
        <f t="shared" si="1"/>
        <v>5</v>
      </c>
      <c r="AC9" s="9">
        <f t="shared" si="1"/>
        <v>6</v>
      </c>
      <c r="AD9" s="9">
        <f t="shared" si="1"/>
        <v>7</v>
      </c>
      <c r="AE9" s="9">
        <f t="shared" si="1"/>
        <v>8</v>
      </c>
      <c r="AF9" s="9">
        <f t="shared" si="1"/>
        <v>9</v>
      </c>
      <c r="AG9" s="9">
        <f t="shared" si="1"/>
        <v>10</v>
      </c>
      <c r="AH9" s="9">
        <f t="shared" si="1"/>
        <v>11</v>
      </c>
      <c r="AI9" s="9">
        <f t="shared" si="1"/>
        <v>12</v>
      </c>
      <c r="AJ9" s="9">
        <f t="shared" si="1"/>
        <v>13</v>
      </c>
      <c r="AK9" s="9">
        <f t="shared" si="1"/>
        <v>1</v>
      </c>
      <c r="AL9" s="9">
        <f t="shared" si="1"/>
        <v>2</v>
      </c>
      <c r="AM9" s="9">
        <f t="shared" si="1"/>
        <v>3</v>
      </c>
      <c r="AN9" s="10">
        <f t="shared" si="1"/>
        <v>4</v>
      </c>
    </row>
    <row r="10" spans="1:45" x14ac:dyDescent="0.25">
      <c r="A10" t="s">
        <v>18</v>
      </c>
      <c r="B10" s="28">
        <f>B51/B52</f>
        <v>162.80253773567193</v>
      </c>
      <c r="C10" s="28">
        <f t="shared" ref="C10:AN10" si="2">C51/C52</f>
        <v>163.30395409617745</v>
      </c>
      <c r="D10" s="28">
        <f t="shared" si="2"/>
        <v>164.93442336127001</v>
      </c>
      <c r="E10" s="28">
        <f t="shared" si="2"/>
        <v>155.6377168480991</v>
      </c>
      <c r="F10" s="28">
        <f t="shared" si="2"/>
        <v>158.13269412447636</v>
      </c>
      <c r="G10" s="28">
        <f t="shared" si="2"/>
        <v>161.23842002964511</v>
      </c>
      <c r="H10" s="28">
        <f t="shared" si="2"/>
        <v>153.98411255026232</v>
      </c>
      <c r="I10" s="28">
        <f t="shared" si="2"/>
        <v>157.55612969893093</v>
      </c>
      <c r="J10" s="28">
        <f t="shared" si="2"/>
        <v>163.66470160378918</v>
      </c>
      <c r="K10" s="28">
        <f t="shared" si="2"/>
        <v>150.36932556159638</v>
      </c>
      <c r="L10" s="28">
        <f t="shared" si="2"/>
        <v>149.81133165228715</v>
      </c>
      <c r="M10" s="28">
        <f t="shared" si="2"/>
        <v>153.31171876518084</v>
      </c>
      <c r="N10" s="28">
        <f t="shared" si="2"/>
        <v>162.53213158024511</v>
      </c>
      <c r="O10" s="28">
        <f t="shared" si="2"/>
        <v>157.25046236351568</v>
      </c>
      <c r="P10" s="28">
        <f t="shared" si="2"/>
        <v>155.16797869359422</v>
      </c>
      <c r="Q10" s="28">
        <f t="shared" si="2"/>
        <v>160.65068324143405</v>
      </c>
      <c r="R10" s="28">
        <f t="shared" si="2"/>
        <v>147.76888806866091</v>
      </c>
      <c r="S10" s="28">
        <f t="shared" si="2"/>
        <v>151.95445347288486</v>
      </c>
      <c r="T10" s="28">
        <f t="shared" si="2"/>
        <v>161.67310323524376</v>
      </c>
      <c r="U10" s="28">
        <f t="shared" si="2"/>
        <v>154.63939215095738</v>
      </c>
      <c r="V10" s="28">
        <f t="shared" si="2"/>
        <v>155.25438478542392</v>
      </c>
      <c r="W10" s="28">
        <f t="shared" si="2"/>
        <v>164.73797862383788</v>
      </c>
      <c r="X10" s="28">
        <f t="shared" si="2"/>
        <v>149.96311457344993</v>
      </c>
      <c r="Y10" s="28">
        <f t="shared" si="2"/>
        <v>150.04877554683486</v>
      </c>
      <c r="Z10" s="28">
        <f t="shared" si="2"/>
        <v>154.70840891070401</v>
      </c>
      <c r="AA10" s="28">
        <f t="shared" si="2"/>
        <v>165.85016770530467</v>
      </c>
      <c r="AB10" s="28">
        <f t="shared" si="2"/>
        <v>156.83522762024825</v>
      </c>
      <c r="AC10" s="28">
        <f t="shared" si="2"/>
        <v>156.60563728796745</v>
      </c>
      <c r="AD10" s="28">
        <f t="shared" si="2"/>
        <v>163.7545662630711</v>
      </c>
      <c r="AE10" s="28">
        <f t="shared" si="2"/>
        <v>151.46681135897362</v>
      </c>
      <c r="AF10" s="28">
        <f t="shared" si="2"/>
        <v>152.93555217540816</v>
      </c>
      <c r="AG10" s="28">
        <f t="shared" si="2"/>
        <v>164.08909309277826</v>
      </c>
      <c r="AH10" s="28">
        <f t="shared" si="2"/>
        <v>151.56549933335629</v>
      </c>
      <c r="AI10" s="28">
        <f t="shared" si="2"/>
        <v>155.84152340307983</v>
      </c>
      <c r="AJ10" s="28">
        <f t="shared" si="2"/>
        <v>159.62503972457202</v>
      </c>
      <c r="AK10" s="28">
        <f t="shared" si="2"/>
        <v>149.83291628787873</v>
      </c>
      <c r="AL10" s="28">
        <f t="shared" si="2"/>
        <v>152.80447036259753</v>
      </c>
      <c r="AM10" s="28">
        <f t="shared" si="2"/>
        <v>150.95008591128587</v>
      </c>
      <c r="AN10" s="28">
        <f t="shared" si="2"/>
        <v>165.94433722588425</v>
      </c>
      <c r="AQ10" s="28"/>
      <c r="AS10" s="28"/>
    </row>
    <row r="11" spans="1:45" x14ac:dyDescent="0.25">
      <c r="A11" t="s">
        <v>19</v>
      </c>
      <c r="B11" s="28">
        <f>B53/B54</f>
        <v>8825.4321732668232</v>
      </c>
      <c r="C11" s="28">
        <f t="shared" ref="C11:AN11" si="3">C53/C54</f>
        <v>8609.7706094361711</v>
      </c>
      <c r="D11" s="28">
        <f t="shared" si="3"/>
        <v>8666.3793203828554</v>
      </c>
      <c r="E11" s="28">
        <f t="shared" si="3"/>
        <v>8458.673738522948</v>
      </c>
      <c r="F11" s="28">
        <f t="shared" si="3"/>
        <v>8819.7398576727901</v>
      </c>
      <c r="G11" s="28">
        <f t="shared" si="3"/>
        <v>8701.8879967406665</v>
      </c>
      <c r="H11" s="28">
        <f t="shared" si="3"/>
        <v>8564.968800567478</v>
      </c>
      <c r="I11" s="28">
        <f t="shared" si="3"/>
        <v>8224.0790577211556</v>
      </c>
      <c r="J11" s="28">
        <f t="shared" si="3"/>
        <v>9017.2523264215961</v>
      </c>
      <c r="K11" s="28">
        <f t="shared" si="3"/>
        <v>8647.2110177905888</v>
      </c>
      <c r="L11" s="28">
        <f t="shared" si="3"/>
        <v>8541.0194733844037</v>
      </c>
      <c r="M11" s="28">
        <f t="shared" si="3"/>
        <v>8310.0597619403725</v>
      </c>
      <c r="N11" s="28">
        <f t="shared" si="3"/>
        <v>9107.7886470199028</v>
      </c>
      <c r="O11" s="28">
        <f t="shared" si="3"/>
        <v>8731.381738977514</v>
      </c>
      <c r="P11" s="28">
        <f t="shared" si="3"/>
        <v>8540.8221289068224</v>
      </c>
      <c r="Q11" s="28">
        <f t="shared" si="3"/>
        <v>8540.2985855081388</v>
      </c>
      <c r="R11" s="28">
        <f t="shared" si="3"/>
        <v>8446.5025560139893</v>
      </c>
      <c r="S11" s="28">
        <f t="shared" si="3"/>
        <v>8285.8554998543696</v>
      </c>
      <c r="T11" s="28">
        <f t="shared" si="3"/>
        <v>8436.6229673882954</v>
      </c>
      <c r="U11" s="28">
        <f t="shared" si="3"/>
        <v>8228.6371279673094</v>
      </c>
      <c r="V11" s="28">
        <f t="shared" si="3"/>
        <v>8115.7230685574468</v>
      </c>
      <c r="W11" s="28">
        <f t="shared" si="3"/>
        <v>7750.2900455505751</v>
      </c>
      <c r="X11" s="28">
        <f t="shared" si="3"/>
        <v>8536.9390667076113</v>
      </c>
      <c r="Y11" s="28">
        <f t="shared" si="3"/>
        <v>8446.2258583991988</v>
      </c>
      <c r="Z11" s="28">
        <f t="shared" si="3"/>
        <v>8405.4974333764549</v>
      </c>
      <c r="AA11" s="28">
        <f t="shared" si="3"/>
        <v>9010.6433649575374</v>
      </c>
      <c r="AB11" s="28">
        <f t="shared" si="3"/>
        <v>8852.5634596289292</v>
      </c>
      <c r="AC11" s="28">
        <f t="shared" si="3"/>
        <v>8588.9967959492042</v>
      </c>
      <c r="AD11" s="28">
        <f t="shared" si="3"/>
        <v>8739.6716921640946</v>
      </c>
      <c r="AE11" s="28">
        <f t="shared" si="3"/>
        <v>8420.1359730758049</v>
      </c>
      <c r="AF11" s="28">
        <f t="shared" si="3"/>
        <v>8244.5933718347951</v>
      </c>
      <c r="AG11" s="28">
        <f t="shared" si="3"/>
        <v>8303.3075446199036</v>
      </c>
      <c r="AH11" s="28">
        <f t="shared" si="3"/>
        <v>8313.117967021466</v>
      </c>
      <c r="AI11" s="28">
        <f t="shared" si="3"/>
        <v>8375.2074070603267</v>
      </c>
      <c r="AJ11" s="28">
        <f t="shared" si="3"/>
        <v>9252.2159126325678</v>
      </c>
      <c r="AK11" s="28">
        <f t="shared" si="3"/>
        <v>8378.7718321102766</v>
      </c>
      <c r="AL11" s="28">
        <f t="shared" si="3"/>
        <v>8357.3699648796282</v>
      </c>
      <c r="AM11" s="28">
        <f t="shared" si="3"/>
        <v>8495.3546589369071</v>
      </c>
      <c r="AN11" s="28">
        <f t="shared" si="3"/>
        <v>8842.3081848714555</v>
      </c>
      <c r="AQ11" s="28"/>
      <c r="AS11" s="28"/>
    </row>
    <row r="12" spans="1:45" x14ac:dyDescent="0.25">
      <c r="A12" t="s">
        <v>20</v>
      </c>
      <c r="B12" s="29">
        <f>AVERAGE(B10:AN10)</f>
        <v>156.90250638529687</v>
      </c>
    </row>
    <row r="14" spans="1:45" x14ac:dyDescent="0.25">
      <c r="A14" s="36" t="s">
        <v>21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45" x14ac:dyDescent="0.25">
      <c r="B15" s="2" t="s">
        <v>27</v>
      </c>
      <c r="C15" s="2" t="s">
        <v>28</v>
      </c>
      <c r="D15" s="2" t="s">
        <v>29</v>
      </c>
      <c r="E15" s="2" t="s">
        <v>30</v>
      </c>
      <c r="F15" s="2" t="s">
        <v>31</v>
      </c>
    </row>
    <row r="16" spans="1:45" x14ac:dyDescent="0.25">
      <c r="A16" s="2" t="s">
        <v>22</v>
      </c>
      <c r="B16">
        <f>R43</f>
        <v>61370.12</v>
      </c>
      <c r="C16">
        <f>R44</f>
        <v>9757.2800000000007</v>
      </c>
      <c r="D16">
        <f>R45</f>
        <v>9002.4074999999993</v>
      </c>
      <c r="E16">
        <f>R46</f>
        <v>32612.197500000002</v>
      </c>
      <c r="F16">
        <f>R47</f>
        <v>9365.5674999999992</v>
      </c>
    </row>
    <row r="17" spans="1:14" x14ac:dyDescent="0.25">
      <c r="A17" s="2" t="s">
        <v>23</v>
      </c>
      <c r="B17" s="31">
        <f>$R43/$S43-1</f>
        <v>0.11843394040346089</v>
      </c>
      <c r="C17" s="31">
        <f>$R44/$S44-1</f>
        <v>0.18545373254734643</v>
      </c>
      <c r="D17" s="31">
        <f>$R45/$S45-1</f>
        <v>5.1755918853027882E-2</v>
      </c>
      <c r="E17" s="31">
        <f>$R46/$S46-1</f>
        <v>0.13493388481162483</v>
      </c>
      <c r="F17" s="31">
        <f>$R47/$S47-1</f>
        <v>7.4816279524814178E-2</v>
      </c>
    </row>
    <row r="18" spans="1:14" x14ac:dyDescent="0.25">
      <c r="A18" s="2" t="s">
        <v>24</v>
      </c>
      <c r="B18" s="31">
        <f>($N43/($R43*(160*$D$8)))</f>
        <v>0.70827522691417244</v>
      </c>
      <c r="C18" s="31">
        <f>($N44/($R44*(160*$D$8)))</f>
        <v>0.68701228723578689</v>
      </c>
      <c r="D18" s="31">
        <f>($N45/($R45*(160*$D$8)))</f>
        <v>0.60330950012538309</v>
      </c>
      <c r="E18" s="31">
        <f>($N46/($R46*(160*$D$8)))</f>
        <v>0.77678249114077624</v>
      </c>
      <c r="F18" s="31">
        <f>($N47/($R47*(160*$D$8)))</f>
        <v>0.72621987402258337</v>
      </c>
    </row>
    <row r="19" spans="1:14" x14ac:dyDescent="0.25">
      <c r="A19" s="2" t="s">
        <v>25</v>
      </c>
      <c r="B19" s="31">
        <f>($O43/($S43*(160*$D$8)))</f>
        <v>0.70736475085073791</v>
      </c>
      <c r="C19" s="31">
        <f>($O44/($S44*(160*$D$8)))</f>
        <v>0.67905920617610105</v>
      </c>
      <c r="D19" s="31">
        <f>($O45/($S45*(160*$D$8)))</f>
        <v>0.63435651065800991</v>
      </c>
      <c r="E19" s="31">
        <f>($O46/($S46*(160*$D$8)))</f>
        <v>0.77113625868989377</v>
      </c>
      <c r="F19" s="31">
        <f>($O47/($S47*(160*$D$8)))</f>
        <v>0.71474260341108664</v>
      </c>
    </row>
    <row r="20" spans="1:14" x14ac:dyDescent="0.25">
      <c r="A20" s="2" t="s">
        <v>26</v>
      </c>
      <c r="B20" s="30">
        <f>SQRT(B16/MAX($B$16:$F$16))</f>
        <v>1</v>
      </c>
      <c r="C20" s="30">
        <f>SQRT(C16/MAX($B$16:$F$16))</f>
        <v>0.39873641303933255</v>
      </c>
      <c r="D20" s="30">
        <f>SQRT(D16/MAX($B$16:$F$16))</f>
        <v>0.38300182871745003</v>
      </c>
      <c r="E20" s="30">
        <f>SQRT(E16/MAX($B$16:$F$16))</f>
        <v>0.7289731722112347</v>
      </c>
      <c r="F20" s="30">
        <f>SQRT(F16/MAX($B$16:$F$16))</f>
        <v>0.39065066046433572</v>
      </c>
    </row>
    <row r="21" spans="1:14" x14ac:dyDescent="0.25">
      <c r="A21" s="17" t="s">
        <v>112</v>
      </c>
      <c r="B21" s="32">
        <f>B18</f>
        <v>0.70827522691417244</v>
      </c>
      <c r="I21" s="30"/>
      <c r="J21" s="31"/>
    </row>
    <row r="23" spans="1:14" x14ac:dyDescent="0.25">
      <c r="A23" s="36" t="s">
        <v>32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1:14" x14ac:dyDescent="0.25">
      <c r="B24" s="2" t="s">
        <v>28</v>
      </c>
      <c r="C24" s="2" t="s">
        <v>29</v>
      </c>
      <c r="D24" s="33" t="s">
        <v>30</v>
      </c>
      <c r="E24" s="33" t="s">
        <v>31</v>
      </c>
    </row>
    <row r="25" spans="1:14" x14ac:dyDescent="0.25">
      <c r="A25" s="2" t="s">
        <v>33</v>
      </c>
      <c r="B25" s="28">
        <f>ROUND($B44/$S44,-3)</f>
        <v>44000</v>
      </c>
      <c r="C25" s="28">
        <f>ROUND($B45/$S45,-3)</f>
        <v>23000</v>
      </c>
      <c r="D25" s="28">
        <f>ROUND($B46/$S46,-3)</f>
        <v>28000</v>
      </c>
      <c r="E25" s="28">
        <f>ROUND($B47/$S47,-3)</f>
        <v>56000</v>
      </c>
    </row>
    <row r="26" spans="1:14" x14ac:dyDescent="0.25">
      <c r="A26" s="2" t="s">
        <v>34</v>
      </c>
      <c r="B26" s="26">
        <f>$R44/$T44</f>
        <v>19.334267951353628</v>
      </c>
      <c r="C26" s="26">
        <f>$R45/$T45</f>
        <v>11.83515085781897</v>
      </c>
      <c r="D26" s="26">
        <f>$R46/$T46</f>
        <v>36.324062652279849</v>
      </c>
      <c r="E26" s="26">
        <f>$R47/$T47</f>
        <v>15.69258061543359</v>
      </c>
    </row>
    <row r="27" spans="1:14" x14ac:dyDescent="0.25">
      <c r="A27" s="2" t="s">
        <v>113</v>
      </c>
      <c r="B27" s="18">
        <f>ROUND(B25*B26, -4)</f>
        <v>850000</v>
      </c>
      <c r="C27" s="18">
        <f>ROUND(C25*C26, -4)</f>
        <v>270000</v>
      </c>
      <c r="D27" s="18">
        <f>ROUND(D25*D26, -4)</f>
        <v>1020000</v>
      </c>
      <c r="E27" s="18">
        <f>ROUND(E25*E26, -4)</f>
        <v>880000</v>
      </c>
    </row>
    <row r="28" spans="1:14" x14ac:dyDescent="0.25">
      <c r="A28" s="2" t="s">
        <v>114</v>
      </c>
      <c r="B28" s="31">
        <f>(($B44/$R44)*($R44/$T44))/(($C44/$S44)*($S44/$U44)) -1</f>
        <v>0.12291001235291699</v>
      </c>
      <c r="C28" s="31">
        <f>(($B45/$R45)*($R45/$T45))/(($C45/$S45)*($S45/$U45)) -1</f>
        <v>4.6202974553824605E-2</v>
      </c>
      <c r="D28" s="31">
        <f>(($B46/$R46)*($R46/$T46))/(($C46/$S46)*($S46/$U46)) -1</f>
        <v>5.6691005852327558E-2</v>
      </c>
      <c r="E28" s="31">
        <f>(($B47/$R47)*($R47/$T47))/(($C47/$S47)*($S47/$U47)) -1</f>
        <v>9.5651304849651009E-2</v>
      </c>
    </row>
    <row r="29" spans="1:14" x14ac:dyDescent="0.25">
      <c r="A29" s="2" t="s">
        <v>35</v>
      </c>
      <c r="B29" s="29">
        <f>$K44/$N44</f>
        <v>185.37443227959739</v>
      </c>
      <c r="C29" s="29">
        <f>$K45/$N45</f>
        <v>166.32177904709397</v>
      </c>
      <c r="D29" s="29">
        <f>$K46/$N46</f>
        <v>131.03599308599692</v>
      </c>
      <c r="E29" s="29">
        <f>$K47/$N47</f>
        <v>193.47950250442506</v>
      </c>
    </row>
    <row r="30" spans="1:14" x14ac:dyDescent="0.25">
      <c r="A30" s="2" t="s">
        <v>36</v>
      </c>
      <c r="B30" s="31">
        <f>($K44/$N44)/($L44/$O44)-1</f>
        <v>-2.5259345127570221E-2</v>
      </c>
      <c r="C30" s="31">
        <f>($K45/$N45)/($L45/$O45)-1</f>
        <v>4.035328616698064E-2</v>
      </c>
      <c r="D30" s="31">
        <f>($K46/$N46)/($L46/$O46)-1</f>
        <v>-1.2234266759285628E-2</v>
      </c>
      <c r="E30" s="31">
        <f>($K47/$N47)/($L47/$O47)-1</f>
        <v>4.3897451722234582E-3</v>
      </c>
    </row>
    <row r="31" spans="1:14" x14ac:dyDescent="0.25">
      <c r="A31" s="2" t="s">
        <v>37</v>
      </c>
      <c r="B31" s="34">
        <f>($K44-$B44)/$N44</f>
        <v>100.77564076200838</v>
      </c>
      <c r="C31" s="34">
        <f>($K45-$B45)/$N45</f>
        <v>109.32656083846906</v>
      </c>
      <c r="D31" s="34">
        <f>($K46-$B46)/$N46</f>
        <v>82.052677157403352</v>
      </c>
      <c r="E31" s="34">
        <f>($K47-$B47)/$N47</f>
        <v>80.615241566196545</v>
      </c>
    </row>
    <row r="32" spans="1:14" x14ac:dyDescent="0.25">
      <c r="A32" s="2" t="s">
        <v>38</v>
      </c>
      <c r="B32" s="31">
        <f>(($K44-$B44)/$N44)/(($L44-$C44)/$O44)-1</f>
        <v>-1.8626684450219755E-2</v>
      </c>
      <c r="C32" s="31">
        <f>(($K45-$B45)/$N45)/(($L45-$C45)/$O45)-1</f>
        <v>4.5787658374858875E-2</v>
      </c>
      <c r="D32" s="31">
        <f>(($K46-$B46)/$N46)/(($L46-$C46)/$O46)-1</f>
        <v>-1.3649390724422839E-2</v>
      </c>
      <c r="E32" s="31">
        <f>(($K47-$B47)/$N47)/(($L47-$C47)/$O47)-1</f>
        <v>-9.5138053814126655E-3</v>
      </c>
    </row>
    <row r="33" spans="1:21" x14ac:dyDescent="0.25">
      <c r="A33" s="2" t="s">
        <v>39</v>
      </c>
      <c r="B33" s="29">
        <f>$B44/$N44</f>
        <v>84.598791517589007</v>
      </c>
      <c r="C33" s="29">
        <f>$B45/$N45</f>
        <v>56.995218208624919</v>
      </c>
      <c r="D33" s="29">
        <f>$B46/$N46</f>
        <v>48.983315928593569</v>
      </c>
      <c r="E33" s="29">
        <f>$B47/$N47</f>
        <v>112.86426093822853</v>
      </c>
    </row>
    <row r="34" spans="1:21" x14ac:dyDescent="0.25">
      <c r="A34" s="2" t="s">
        <v>40</v>
      </c>
      <c r="B34" s="31">
        <f>($B44/$N44)/($C44/$O44)-1</f>
        <v>-3.3044218594259545E-2</v>
      </c>
      <c r="C34" s="31">
        <f>($B45/$N45)/($C45/$O45)-1</f>
        <v>3.0085743634941986E-2</v>
      </c>
      <c r="D34" s="31">
        <f>($B46/$N46)/($C46/$O46)-1</f>
        <v>-9.8546517793494104E-3</v>
      </c>
      <c r="E34" s="31">
        <f>($B47/$N47)/($C47/$O47)-1</f>
        <v>1.4561985140199463E-2</v>
      </c>
    </row>
    <row r="35" spans="1:21" x14ac:dyDescent="0.25">
      <c r="A35" s="2" t="s">
        <v>41</v>
      </c>
      <c r="B35" s="27">
        <f>$N44/$R44</f>
        <v>439.68786383090361</v>
      </c>
      <c r="C35" s="27">
        <f>$N45/$R45</f>
        <v>386.11808008024519</v>
      </c>
      <c r="D35" s="27">
        <f>$N46/$R46</f>
        <v>497.14079433009681</v>
      </c>
      <c r="E35" s="27">
        <f>$N47/$R47</f>
        <v>464.78071937445333</v>
      </c>
    </row>
    <row r="36" spans="1:21" x14ac:dyDescent="0.25">
      <c r="A36" s="2" t="s">
        <v>42</v>
      </c>
      <c r="B36" s="31">
        <f>($N44/$R44)/($O44/$S44)-1</f>
        <v>1.1711911107826767E-2</v>
      </c>
      <c r="C36" s="31">
        <f>($N45/$R45)/($O44/$S45)-1</f>
        <v>-7.6084897767053405E-2</v>
      </c>
      <c r="D36" s="31">
        <f>($N46/$R46)/($O46/$S46)-1</f>
        <v>7.3219646816697903E-3</v>
      </c>
      <c r="E36" s="31">
        <f>($N47/$R47)/($O47/$S47)-1</f>
        <v>1.6057907499457347E-2</v>
      </c>
    </row>
    <row r="37" spans="1:21" x14ac:dyDescent="0.25">
      <c r="A37" s="2" t="s">
        <v>43</v>
      </c>
      <c r="B37" s="31">
        <f>B26/($S44/$U44)-1</f>
        <v>0.14784032181757256</v>
      </c>
      <c r="C37" s="31">
        <f>C26/($S45/$U45)-1</f>
        <v>6.7912847679423516E-2</v>
      </c>
      <c r="D37" s="31">
        <f>D26/($S46/$U46)-1</f>
        <v>5.9450708093975901E-2</v>
      </c>
      <c r="E37" s="31">
        <f>E26/($S47/$U47)-1</f>
        <v>6.2858168391473068E-2</v>
      </c>
    </row>
    <row r="38" spans="1:21" x14ac:dyDescent="0.25">
      <c r="A38" s="2" t="s">
        <v>44</v>
      </c>
      <c r="B38" s="38">
        <f>IF((ROUNDUP(MAX(B25:E25)*5,-3)*5&gt;50000),((ROUNDUP(MAX(B25:E25)/5,-3)*5)),50000)</f>
        <v>60000</v>
      </c>
      <c r="C38" s="38"/>
      <c r="D38" s="38"/>
      <c r="E38" s="38"/>
    </row>
    <row r="39" spans="1:21" x14ac:dyDescent="0.25">
      <c r="A39" s="2" t="s">
        <v>45</v>
      </c>
      <c r="B39" s="39">
        <f>IF((ROUNDUP(MAX(B26:E26)/5,0)*5&gt;30),((ROUNDUP(MAX(B26:E26)/5,0)*5)),30)</f>
        <v>40</v>
      </c>
      <c r="C39" s="39"/>
      <c r="D39" s="39"/>
      <c r="E39" s="39"/>
    </row>
    <row r="40" spans="1:21" x14ac:dyDescent="0.25">
      <c r="B40" s="18"/>
      <c r="C40" s="18"/>
    </row>
    <row r="41" spans="1:21" x14ac:dyDescent="0.25">
      <c r="A41" s="35" t="s">
        <v>46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21" s="4" customFormat="1" ht="31.5" x14ac:dyDescent="0.25">
      <c r="B42" s="4" t="s">
        <v>48</v>
      </c>
      <c r="C42" s="4" t="s">
        <v>49</v>
      </c>
      <c r="D42" s="4" t="s">
        <v>54</v>
      </c>
      <c r="E42" s="4" t="s">
        <v>50</v>
      </c>
      <c r="F42" s="4" t="s">
        <v>51</v>
      </c>
      <c r="G42" s="4" t="s">
        <v>52</v>
      </c>
      <c r="H42" s="4" t="s">
        <v>53</v>
      </c>
      <c r="I42" s="4" t="s">
        <v>56</v>
      </c>
      <c r="J42" s="4" t="s">
        <v>55</v>
      </c>
      <c r="K42" s="4" t="s">
        <v>57</v>
      </c>
      <c r="L42" s="4" t="s">
        <v>58</v>
      </c>
      <c r="M42" s="4" t="s">
        <v>67</v>
      </c>
      <c r="N42" s="4" t="s">
        <v>59</v>
      </c>
      <c r="O42" s="4" t="s">
        <v>60</v>
      </c>
      <c r="P42" s="4" t="s">
        <v>61</v>
      </c>
      <c r="Q42" s="4" t="s">
        <v>62</v>
      </c>
      <c r="R42" s="4" t="s">
        <v>63</v>
      </c>
      <c r="S42" s="4" t="s">
        <v>64</v>
      </c>
      <c r="T42" s="4" t="s">
        <v>65</v>
      </c>
      <c r="U42" s="4" t="s">
        <v>66</v>
      </c>
    </row>
    <row r="43" spans="1:21" x14ac:dyDescent="0.25">
      <c r="A43" s="2" t="s">
        <v>47</v>
      </c>
      <c r="B43" s="18">
        <v>873719597.22000074</v>
      </c>
      <c r="C43" s="18">
        <v>740371767.17999971</v>
      </c>
      <c r="D43" s="20">
        <v>787059362.40999937</v>
      </c>
      <c r="E43" t="s">
        <v>10</v>
      </c>
      <c r="F43" t="s">
        <v>10</v>
      </c>
      <c r="G43" s="18">
        <v>2000140000</v>
      </c>
      <c r="H43" s="18">
        <v>1800000000</v>
      </c>
      <c r="I43" s="18">
        <v>1900384000</v>
      </c>
      <c r="J43" s="18">
        <v>1650000000</v>
      </c>
      <c r="K43" s="18">
        <v>4310648171.6300001</v>
      </c>
      <c r="L43" s="18">
        <v>3857590055.8199997</v>
      </c>
      <c r="M43" s="20">
        <v>4194681246.6299992</v>
      </c>
      <c r="N43">
        <v>27818838.827999998</v>
      </c>
      <c r="O43">
        <v>24841054.234999996</v>
      </c>
      <c r="P43" s="19">
        <v>2091494918.0499997</v>
      </c>
      <c r="Q43" s="19">
        <v>1887581506.8200002</v>
      </c>
      <c r="R43">
        <v>61370.12</v>
      </c>
      <c r="S43">
        <v>54871.475000000006</v>
      </c>
      <c r="T43">
        <v>2989.6950000000002</v>
      </c>
      <c r="U43">
        <v>2974.8175000000001</v>
      </c>
    </row>
    <row r="44" spans="1:21" x14ac:dyDescent="0.25">
      <c r="A44" s="2" t="s">
        <v>28</v>
      </c>
      <c r="B44" s="18">
        <v>362942148.38</v>
      </c>
      <c r="C44" s="18">
        <v>312960350.69</v>
      </c>
      <c r="D44" s="18">
        <v>344547208.51999992</v>
      </c>
      <c r="E44" s="18">
        <v>261106314.44000003</v>
      </c>
      <c r="F44" s="18">
        <v>224842078.05000004</v>
      </c>
      <c r="G44" t="s">
        <v>10</v>
      </c>
      <c r="H44" t="s">
        <v>10</v>
      </c>
      <c r="I44" t="s">
        <v>10</v>
      </c>
      <c r="J44" t="s">
        <v>10</v>
      </c>
      <c r="K44" s="18">
        <v>795285529.49000001</v>
      </c>
      <c r="L44" s="18">
        <v>680287558.99000001</v>
      </c>
      <c r="M44" s="1" t="s">
        <v>10</v>
      </c>
      <c r="N44">
        <v>4290157.5999999996</v>
      </c>
      <c r="O44">
        <v>3577105.7129999995</v>
      </c>
      <c r="P44" s="19">
        <v>360663041.68999994</v>
      </c>
      <c r="Q44" s="19">
        <v>303121618.6099999</v>
      </c>
      <c r="R44">
        <v>9757.2800000000007</v>
      </c>
      <c r="S44">
        <v>8230.84</v>
      </c>
      <c r="T44">
        <v>504.66250000000002</v>
      </c>
      <c r="U44">
        <v>488.65</v>
      </c>
    </row>
    <row r="45" spans="1:21" x14ac:dyDescent="0.25">
      <c r="A45" s="2" t="s">
        <v>29</v>
      </c>
      <c r="B45" s="18">
        <v>198114939.63</v>
      </c>
      <c r="C45" s="18">
        <v>192274691.24000001</v>
      </c>
      <c r="D45" s="18">
        <v>175005691.02000016</v>
      </c>
      <c r="E45" s="18">
        <v>135645167.08999982</v>
      </c>
      <c r="F45" s="18">
        <v>119729879.17999998</v>
      </c>
      <c r="G45" t="s">
        <v>10</v>
      </c>
      <c r="H45" t="s">
        <v>10</v>
      </c>
      <c r="I45" t="s">
        <v>10</v>
      </c>
      <c r="J45" t="s">
        <v>10</v>
      </c>
      <c r="K45" s="18">
        <v>578133223.28999996</v>
      </c>
      <c r="L45" s="18">
        <v>555552820.63999987</v>
      </c>
      <c r="M45" s="1" t="s">
        <v>10</v>
      </c>
      <c r="N45">
        <v>3475992.3</v>
      </c>
      <c r="O45">
        <v>3475018.16</v>
      </c>
      <c r="P45" s="19">
        <v>242090010.36000001</v>
      </c>
      <c r="Q45" s="19">
        <v>234054239.26000011</v>
      </c>
      <c r="R45">
        <v>9002.4074999999993</v>
      </c>
      <c r="S45">
        <v>8559.4075000000012</v>
      </c>
      <c r="T45">
        <v>760.65</v>
      </c>
      <c r="U45">
        <v>772.33500000000015</v>
      </c>
    </row>
    <row r="46" spans="1:21" x14ac:dyDescent="0.25">
      <c r="A46" s="2" t="s">
        <v>30</v>
      </c>
      <c r="B46" s="18">
        <v>794159338.31999922</v>
      </c>
      <c r="C46" s="18">
        <v>701568092.72000003</v>
      </c>
      <c r="D46" s="18">
        <v>751638923.16999996</v>
      </c>
      <c r="E46" s="18">
        <v>562277962.56999934</v>
      </c>
      <c r="F46" s="18">
        <v>475962051.00000018</v>
      </c>
      <c r="G46" t="s">
        <v>10</v>
      </c>
      <c r="H46" t="s">
        <v>10</v>
      </c>
      <c r="I46" t="s">
        <v>10</v>
      </c>
      <c r="J46" t="s">
        <v>10</v>
      </c>
      <c r="K46" s="18">
        <v>2124467394.5099988</v>
      </c>
      <c r="L46" s="18">
        <v>1881296500.98</v>
      </c>
      <c r="M46" s="1" t="s">
        <v>10</v>
      </c>
      <c r="N46">
        <v>16212853.769999998</v>
      </c>
      <c r="O46">
        <v>14181448.73</v>
      </c>
      <c r="P46" s="19">
        <v>1139628949.2799997</v>
      </c>
      <c r="Q46" s="19">
        <v>1012096567.2099999</v>
      </c>
      <c r="R46">
        <v>32612.197500000002</v>
      </c>
      <c r="S46">
        <v>28734.887500000004</v>
      </c>
      <c r="T46">
        <v>897.8125</v>
      </c>
      <c r="U46">
        <v>838.1</v>
      </c>
    </row>
    <row r="47" spans="1:21" x14ac:dyDescent="0.25">
      <c r="A47" s="2" t="s">
        <v>31</v>
      </c>
      <c r="B47" s="18">
        <v>491290814.25999999</v>
      </c>
      <c r="C47" s="18">
        <v>443411918.78999972</v>
      </c>
      <c r="D47" s="18">
        <v>473462457.71000004</v>
      </c>
      <c r="E47" s="18">
        <v>409509804.27999991</v>
      </c>
      <c r="F47" s="18">
        <v>363302109.00999969</v>
      </c>
      <c r="G47" t="s">
        <v>10</v>
      </c>
      <c r="H47" t="s">
        <v>10</v>
      </c>
      <c r="I47" t="s">
        <v>10</v>
      </c>
      <c r="J47" t="s">
        <v>10</v>
      </c>
      <c r="K47" s="18">
        <v>842203736.93000007</v>
      </c>
      <c r="L47" s="18">
        <v>767824911.36999977</v>
      </c>
      <c r="M47" s="1" t="s">
        <v>10</v>
      </c>
      <c r="N47">
        <v>4352935.2</v>
      </c>
      <c r="O47">
        <v>3985928.5199999996</v>
      </c>
      <c r="P47" s="19">
        <v>294516385.6400001</v>
      </c>
      <c r="Q47" s="19">
        <v>268884718.82999998</v>
      </c>
      <c r="R47">
        <v>9365.5674999999992</v>
      </c>
      <c r="S47">
        <v>8713.6450000000004</v>
      </c>
      <c r="T47">
        <v>596.81500000000005</v>
      </c>
      <c r="U47">
        <v>590.17499999999995</v>
      </c>
    </row>
    <row r="49" spans="1:40" x14ac:dyDescent="0.25">
      <c r="A49" s="35" t="s">
        <v>68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40" ht="31.5" x14ac:dyDescent="0.25">
      <c r="A50" s="25" t="s">
        <v>17</v>
      </c>
      <c r="B50" s="24" t="s">
        <v>69</v>
      </c>
      <c r="C50" s="24" t="s">
        <v>70</v>
      </c>
      <c r="D50" s="24" t="s">
        <v>71</v>
      </c>
      <c r="E50" s="24" t="s">
        <v>72</v>
      </c>
      <c r="F50" s="24" t="s">
        <v>73</v>
      </c>
      <c r="G50" s="24" t="s">
        <v>74</v>
      </c>
      <c r="H50" s="24" t="s">
        <v>75</v>
      </c>
      <c r="I50" s="24" t="s">
        <v>76</v>
      </c>
      <c r="J50" s="24" t="s">
        <v>77</v>
      </c>
      <c r="K50" s="24" t="s">
        <v>78</v>
      </c>
      <c r="L50" s="24" t="s">
        <v>79</v>
      </c>
      <c r="M50" s="24" t="s">
        <v>80</v>
      </c>
      <c r="N50" s="24" t="s">
        <v>81</v>
      </c>
      <c r="O50" s="24" t="s">
        <v>82</v>
      </c>
      <c r="P50" s="24" t="s">
        <v>83</v>
      </c>
      <c r="Q50" s="24" t="s">
        <v>84</v>
      </c>
      <c r="R50" s="24" t="s">
        <v>85</v>
      </c>
      <c r="S50" s="24" t="s">
        <v>86</v>
      </c>
      <c r="T50" s="24" t="s">
        <v>87</v>
      </c>
      <c r="U50" s="24" t="s">
        <v>88</v>
      </c>
      <c r="V50" s="24" t="s">
        <v>89</v>
      </c>
      <c r="W50" s="24" t="s">
        <v>90</v>
      </c>
      <c r="X50" s="24" t="s">
        <v>91</v>
      </c>
      <c r="Y50" s="24" t="s">
        <v>92</v>
      </c>
      <c r="Z50" s="24" t="s">
        <v>93</v>
      </c>
      <c r="AA50" s="24" t="s">
        <v>94</v>
      </c>
      <c r="AB50" s="24" t="s">
        <v>95</v>
      </c>
      <c r="AC50" s="24" t="s">
        <v>96</v>
      </c>
      <c r="AD50" s="24" t="s">
        <v>97</v>
      </c>
      <c r="AE50" s="24" t="s">
        <v>98</v>
      </c>
      <c r="AF50" s="24" t="s">
        <v>99</v>
      </c>
      <c r="AG50" s="24" t="s">
        <v>100</v>
      </c>
      <c r="AH50" s="24" t="s">
        <v>101</v>
      </c>
      <c r="AI50" s="24" t="s">
        <v>102</v>
      </c>
      <c r="AJ50" s="24" t="s">
        <v>103</v>
      </c>
      <c r="AK50" s="24" t="s">
        <v>104</v>
      </c>
      <c r="AL50" s="24" t="s">
        <v>105</v>
      </c>
      <c r="AM50" s="24" t="s">
        <v>106</v>
      </c>
      <c r="AN50" s="24" t="s">
        <v>107</v>
      </c>
    </row>
    <row r="51" spans="1:40" x14ac:dyDescent="0.25">
      <c r="A51" s="2" t="s">
        <v>108</v>
      </c>
      <c r="B51" s="18">
        <v>926821556.12999964</v>
      </c>
      <c r="C51" s="18">
        <v>949459630.77000046</v>
      </c>
      <c r="D51" s="18">
        <v>897048881.27000046</v>
      </c>
      <c r="E51" s="18">
        <v>638487708.90999985</v>
      </c>
      <c r="F51" s="18">
        <v>1102090771.6999998</v>
      </c>
      <c r="G51" s="18">
        <v>1185389712.4700003</v>
      </c>
      <c r="H51" s="18">
        <v>1026065755.0599995</v>
      </c>
      <c r="I51" s="18">
        <v>940610900.99000168</v>
      </c>
      <c r="J51" s="18">
        <v>875738047.69000053</v>
      </c>
      <c r="K51" s="18">
        <v>838413941.62999964</v>
      </c>
      <c r="L51" s="18">
        <v>820665133.82999945</v>
      </c>
      <c r="M51" s="18">
        <v>925250559.07999992</v>
      </c>
      <c r="N51" s="18">
        <v>967217882.43000078</v>
      </c>
      <c r="O51" s="18">
        <v>976365716.76999998</v>
      </c>
      <c r="P51" s="18">
        <v>1015939301.3099995</v>
      </c>
      <c r="Q51" s="18">
        <v>954259410.93999958</v>
      </c>
      <c r="R51" s="18">
        <v>665950659.7699995</v>
      </c>
      <c r="S51" s="18">
        <v>1140404508.0500002</v>
      </c>
      <c r="T51" s="18">
        <v>1287191790.54</v>
      </c>
      <c r="U51" s="18">
        <v>1124532287.2399998</v>
      </c>
      <c r="V51" s="18">
        <v>1012859871.8000011</v>
      </c>
      <c r="W51" s="18">
        <v>1000972291.7299995</v>
      </c>
      <c r="X51" s="18">
        <v>905663673.29999948</v>
      </c>
      <c r="Y51" s="18">
        <v>893274906.85999942</v>
      </c>
      <c r="Z51" s="18">
        <v>1003749903.980001</v>
      </c>
      <c r="AA51" s="18">
        <v>1054901571.6799998</v>
      </c>
      <c r="AB51" s="18">
        <v>1051420097.5200005</v>
      </c>
      <c r="AC51" s="18">
        <v>1101131858.710001</v>
      </c>
      <c r="AD51" s="18">
        <v>1049896822.1500006</v>
      </c>
      <c r="AE51" s="18">
        <v>680177762.64999962</v>
      </c>
      <c r="AF51" s="18">
        <v>1222489840.6500006</v>
      </c>
      <c r="AG51" s="18">
        <v>1373438335.3500004</v>
      </c>
      <c r="AH51" s="18">
        <v>1185948453.1800003</v>
      </c>
      <c r="AI51" s="18">
        <v>1090740248.7000008</v>
      </c>
      <c r="AJ51" s="18">
        <v>1049548462.9100018</v>
      </c>
      <c r="AK51" s="18">
        <v>995621688.70000029</v>
      </c>
      <c r="AL51" s="18">
        <v>1011110212.0299997</v>
      </c>
      <c r="AM51" s="18">
        <v>1124761521.599999</v>
      </c>
      <c r="AN51" s="18">
        <v>1179154749.3000011</v>
      </c>
    </row>
    <row r="52" spans="1:40" x14ac:dyDescent="0.25">
      <c r="A52" s="2" t="s">
        <v>109</v>
      </c>
      <c r="B52" s="27">
        <v>5692918.3600000003</v>
      </c>
      <c r="C52" s="27">
        <v>5814063.9399999995</v>
      </c>
      <c r="D52" s="27">
        <v>5438821.459999999</v>
      </c>
      <c r="E52" s="27">
        <v>4102397.04</v>
      </c>
      <c r="F52" s="27">
        <v>6969404.8899999997</v>
      </c>
      <c r="G52" s="27">
        <v>7351781.9900000002</v>
      </c>
      <c r="H52" s="27">
        <v>6663452.0799999991</v>
      </c>
      <c r="I52" s="27">
        <v>5970005.1200000001</v>
      </c>
      <c r="J52" s="27">
        <v>5350805.88</v>
      </c>
      <c r="K52" s="27">
        <v>5575697.9590000007</v>
      </c>
      <c r="L52" s="27">
        <v>5477991.0490000006</v>
      </c>
      <c r="M52" s="27">
        <v>6035093.5110000009</v>
      </c>
      <c r="N52" s="27">
        <v>5950933.3509999989</v>
      </c>
      <c r="O52" s="27">
        <v>6208984.7119999984</v>
      </c>
      <c r="P52" s="27">
        <v>6547351.5209999988</v>
      </c>
      <c r="Q52" s="27">
        <v>5939964.8459999999</v>
      </c>
      <c r="R52" s="27">
        <v>4506704.1409999989</v>
      </c>
      <c r="S52" s="27">
        <v>7504910.0700000003</v>
      </c>
      <c r="T52" s="27">
        <v>7961694.0899999989</v>
      </c>
      <c r="U52" s="27">
        <v>7271965.2579999994</v>
      </c>
      <c r="V52" s="27">
        <v>6523872.8889999995</v>
      </c>
      <c r="W52" s="27">
        <v>6076147.7110000001</v>
      </c>
      <c r="X52" s="27">
        <v>6039242.8889999986</v>
      </c>
      <c r="Y52" s="27">
        <v>5953230.2319999989</v>
      </c>
      <c r="Z52" s="27">
        <v>6488011.2919999994</v>
      </c>
      <c r="AA52" s="27">
        <v>6360569.8219999997</v>
      </c>
      <c r="AB52" s="27">
        <v>6703979.1599999992</v>
      </c>
      <c r="AC52" s="27">
        <v>7031240.2399999984</v>
      </c>
      <c r="AD52" s="27">
        <v>6411404.8609999996</v>
      </c>
      <c r="AE52" s="27">
        <v>4490605.9390000002</v>
      </c>
      <c r="AF52" s="27">
        <v>7993496.7590000005</v>
      </c>
      <c r="AG52" s="27">
        <v>8370076.9470000006</v>
      </c>
      <c r="AH52" s="27">
        <v>7824659.6909999996</v>
      </c>
      <c r="AI52" s="27">
        <v>6999034.8200000003</v>
      </c>
      <c r="AJ52" s="27">
        <v>6575086.6199999992</v>
      </c>
      <c r="AK52" s="27">
        <v>6644879.5990000004</v>
      </c>
      <c r="AL52" s="27">
        <v>6617019.8399999999</v>
      </c>
      <c r="AM52" s="27">
        <v>7451214.8489999995</v>
      </c>
      <c r="AN52" s="27">
        <v>7105724.5399999991</v>
      </c>
    </row>
    <row r="53" spans="1:40" x14ac:dyDescent="0.25">
      <c r="A53" s="2" t="s">
        <v>110</v>
      </c>
      <c r="B53" s="18">
        <v>440312725.45771575</v>
      </c>
      <c r="C53" s="18">
        <v>430334587.77331185</v>
      </c>
      <c r="D53" s="18">
        <v>433000129.9239459</v>
      </c>
      <c r="E53" s="18">
        <v>422383365.61271906</v>
      </c>
      <c r="F53" s="18">
        <v>453415417.50147772</v>
      </c>
      <c r="G53" s="18">
        <v>448628620.276124</v>
      </c>
      <c r="H53" s="18">
        <v>438619246.85085297</v>
      </c>
      <c r="I53" s="18">
        <v>416762854.64354324</v>
      </c>
      <c r="J53" s="18">
        <v>451663258.15514278</v>
      </c>
      <c r="K53" s="18">
        <v>442684715.5400002</v>
      </c>
      <c r="L53" s="18">
        <v>445472500.69999993</v>
      </c>
      <c r="M53" s="18">
        <v>437313820.25000012</v>
      </c>
      <c r="N53" s="18">
        <v>478003707.24999976</v>
      </c>
      <c r="O53" s="18">
        <v>470659195.30000043</v>
      </c>
      <c r="P53" s="18">
        <v>462356799.54999971</v>
      </c>
      <c r="Q53" s="18">
        <v>460901040.60000038</v>
      </c>
      <c r="R53" s="18">
        <v>454971873.76000023</v>
      </c>
      <c r="S53" s="18">
        <v>456596624.53999996</v>
      </c>
      <c r="T53" s="18">
        <v>465869518.77999973</v>
      </c>
      <c r="U53" s="18">
        <v>450049755.59000015</v>
      </c>
      <c r="V53" s="18">
        <v>439392916.28999996</v>
      </c>
      <c r="W53" s="18">
        <v>415354047.88999939</v>
      </c>
      <c r="X53" s="18">
        <v>460265783.06000018</v>
      </c>
      <c r="Y53" s="18">
        <v>464460451.59000015</v>
      </c>
      <c r="Z53" s="18">
        <v>465080165.60000014</v>
      </c>
      <c r="AA53" s="18">
        <v>497775106.56999969</v>
      </c>
      <c r="AB53" s="18">
        <v>499570472.66000032</v>
      </c>
      <c r="AC53" s="18">
        <v>487894999.78999996</v>
      </c>
      <c r="AD53" s="18">
        <v>496906225.9000001</v>
      </c>
      <c r="AE53" s="18">
        <v>478146641.28000021</v>
      </c>
      <c r="AF53" s="18">
        <v>479474344.71999931</v>
      </c>
      <c r="AG53" s="18">
        <v>490320980.26000023</v>
      </c>
      <c r="AH53" s="18">
        <v>487115418.82999992</v>
      </c>
      <c r="AI53" s="18">
        <v>486183218.78999996</v>
      </c>
      <c r="AJ53" s="18">
        <v>536282166.22999954</v>
      </c>
      <c r="AK53" s="18">
        <v>501277871.63999969</v>
      </c>
      <c r="AL53" s="18">
        <v>514048956.19</v>
      </c>
      <c r="AM53" s="18">
        <v>528216176.34999967</v>
      </c>
      <c r="AN53" s="18">
        <v>547951913.87000036</v>
      </c>
    </row>
    <row r="54" spans="1:40" x14ac:dyDescent="0.25">
      <c r="A54" s="2" t="s">
        <v>111</v>
      </c>
      <c r="B54" s="27">
        <v>49891.35</v>
      </c>
      <c r="C54" s="27">
        <v>49982.12</v>
      </c>
      <c r="D54" s="27">
        <v>49963.210000000006</v>
      </c>
      <c r="E54" s="27">
        <v>49934.939999999995</v>
      </c>
      <c r="F54" s="27">
        <v>51409.16</v>
      </c>
      <c r="G54" s="27">
        <v>51555.32</v>
      </c>
      <c r="H54" s="27">
        <v>51210.84</v>
      </c>
      <c r="I54" s="27">
        <v>50675.93</v>
      </c>
      <c r="J54" s="27">
        <v>50088.79</v>
      </c>
      <c r="K54" s="27">
        <v>51193.93</v>
      </c>
      <c r="L54" s="27">
        <v>52156.83</v>
      </c>
      <c r="M54" s="27">
        <v>52624.63</v>
      </c>
      <c r="N54" s="27">
        <v>52482.960000000006</v>
      </c>
      <c r="O54" s="27">
        <v>53904.320000000007</v>
      </c>
      <c r="P54" s="27">
        <v>54134.929000000004</v>
      </c>
      <c r="Q54" s="27">
        <v>53967.790000000008</v>
      </c>
      <c r="R54" s="27">
        <v>53865.119999999995</v>
      </c>
      <c r="S54" s="27">
        <v>55105.55</v>
      </c>
      <c r="T54" s="27">
        <v>55219.904999999999</v>
      </c>
      <c r="U54" s="27">
        <v>54693.11</v>
      </c>
      <c r="V54" s="27">
        <v>54140.945</v>
      </c>
      <c r="W54" s="27">
        <v>53592.065000000002</v>
      </c>
      <c r="X54" s="27">
        <v>53914.615000000005</v>
      </c>
      <c r="Y54" s="27">
        <v>54990.294999999998</v>
      </c>
      <c r="Z54" s="27">
        <v>55330.475000000006</v>
      </c>
      <c r="AA54" s="27">
        <v>55243.014999999999</v>
      </c>
      <c r="AB54" s="27">
        <v>56432.294999999998</v>
      </c>
      <c r="AC54" s="27">
        <v>56804.655000000006</v>
      </c>
      <c r="AD54" s="27">
        <v>56856.394999999997</v>
      </c>
      <c r="AE54" s="27">
        <v>56786.095000000008</v>
      </c>
      <c r="AF54" s="27">
        <v>58156.215000000004</v>
      </c>
      <c r="AG54" s="27">
        <v>59051.285000000003</v>
      </c>
      <c r="AH54" s="27">
        <v>58595.994999999995</v>
      </c>
      <c r="AI54" s="27">
        <v>58050.289999999994</v>
      </c>
      <c r="AJ54" s="27">
        <v>57962.565000000002</v>
      </c>
      <c r="AK54" s="27">
        <v>59827.130000000005</v>
      </c>
      <c r="AL54" s="27">
        <v>61508.46</v>
      </c>
      <c r="AM54" s="27">
        <v>62177.060000000005</v>
      </c>
      <c r="AN54" s="27">
        <v>61969.330000000009</v>
      </c>
    </row>
  </sheetData>
  <mergeCells count="8">
    <mergeCell ref="A49:N49"/>
    <mergeCell ref="A1:N1"/>
    <mergeCell ref="A7:N7"/>
    <mergeCell ref="A14:N14"/>
    <mergeCell ref="A23:N23"/>
    <mergeCell ref="A41:N41"/>
    <mergeCell ref="B38:E38"/>
    <mergeCell ref="B39:E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User</cp:lastModifiedBy>
  <dcterms:created xsi:type="dcterms:W3CDTF">2015-11-24T21:30:14Z</dcterms:created>
  <dcterms:modified xsi:type="dcterms:W3CDTF">2015-12-21T03:23:46Z</dcterms:modified>
</cp:coreProperties>
</file>