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20" windowHeight="984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D34" i="1"/>
  <c r="C34" i="1"/>
  <c r="B34" i="1"/>
  <c r="B33" i="1"/>
  <c r="B29" i="1"/>
  <c r="G21" i="1"/>
  <c r="F21" i="1"/>
  <c r="E21" i="1"/>
  <c r="D21" i="1"/>
  <c r="C21" i="1"/>
  <c r="B21" i="1"/>
  <c r="B8" i="1"/>
  <c r="D16" i="1"/>
  <c r="E16" i="1"/>
  <c r="F16" i="1"/>
  <c r="G16" i="1"/>
  <c r="H16" i="1"/>
  <c r="I16" i="1"/>
  <c r="J16" i="1"/>
  <c r="C16" i="1"/>
  <c r="B16" i="1"/>
  <c r="H43" i="1"/>
  <c r="F43" i="1"/>
  <c r="E43" i="1"/>
  <c r="D43" i="1"/>
  <c r="C43" i="1"/>
  <c r="G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E35" i="1"/>
  <c r="D35" i="1"/>
  <c r="C35" i="1"/>
  <c r="B35" i="1"/>
  <c r="E33" i="1"/>
  <c r="D33" i="1"/>
  <c r="C33" i="1"/>
  <c r="E32" i="1"/>
  <c r="D32" i="1"/>
  <c r="C32" i="1"/>
  <c r="B32" i="1"/>
  <c r="E31" i="1"/>
  <c r="D31" i="1"/>
  <c r="C31" i="1"/>
  <c r="B31" i="1"/>
  <c r="G26" i="1"/>
  <c r="F26" i="1"/>
  <c r="E26" i="1"/>
  <c r="D26" i="1"/>
  <c r="C26" i="1"/>
  <c r="B26" i="1"/>
  <c r="G24" i="1"/>
  <c r="F24" i="1"/>
  <c r="E24" i="1"/>
  <c r="D24" i="1"/>
  <c r="C24" i="1"/>
  <c r="B24" i="1"/>
  <c r="G22" i="1"/>
  <c r="F22" i="1"/>
  <c r="E22" i="1"/>
  <c r="D22" i="1"/>
  <c r="C22" i="1"/>
  <c r="B22" i="1"/>
  <c r="G25" i="1"/>
  <c r="F25" i="1"/>
  <c r="E25" i="1"/>
  <c r="D25" i="1"/>
  <c r="C25" i="1"/>
  <c r="B25" i="1"/>
  <c r="G23" i="1"/>
  <c r="F23" i="1"/>
  <c r="E23" i="1"/>
  <c r="D23" i="1"/>
  <c r="C23" i="1"/>
  <c r="B23" i="1"/>
  <c r="B20" i="1"/>
  <c r="C20" i="1"/>
  <c r="D20" i="1"/>
  <c r="E20" i="1"/>
  <c r="F20" i="1"/>
  <c r="G20" i="1"/>
  <c r="J15" i="1"/>
  <c r="I15" i="1"/>
  <c r="H15" i="1"/>
  <c r="G15" i="1"/>
  <c r="F15" i="1"/>
  <c r="E15" i="1"/>
  <c r="D15" i="1"/>
  <c r="C15" i="1"/>
  <c r="B15" i="1"/>
  <c r="B11" i="1"/>
  <c r="J13" i="1"/>
  <c r="I13" i="1"/>
  <c r="H13" i="1"/>
  <c r="G13" i="1"/>
  <c r="F13" i="1"/>
  <c r="E13" i="1"/>
  <c r="D13" i="1"/>
  <c r="C13" i="1"/>
  <c r="B13" i="1"/>
  <c r="D11" i="1"/>
  <c r="E11" i="1"/>
  <c r="F11" i="1"/>
  <c r="G11" i="1"/>
  <c r="H11" i="1"/>
  <c r="I11" i="1"/>
  <c r="J11" i="1"/>
  <c r="C11" i="1"/>
  <c r="C14" i="1"/>
  <c r="D14" i="1"/>
  <c r="E14" i="1"/>
  <c r="F14" i="1"/>
  <c r="G14" i="1"/>
  <c r="H14" i="1"/>
  <c r="I14" i="1"/>
  <c r="J14" i="1"/>
  <c r="B14" i="1"/>
  <c r="C12" i="1"/>
  <c r="D12" i="1"/>
  <c r="E12" i="1"/>
  <c r="F12" i="1"/>
  <c r="G12" i="1"/>
  <c r="H12" i="1"/>
  <c r="I12" i="1"/>
  <c r="J12" i="1"/>
  <c r="B12" i="1"/>
  <c r="C10" i="1"/>
  <c r="D10" i="1"/>
  <c r="E10" i="1"/>
  <c r="F10" i="1"/>
  <c r="G10" i="1"/>
  <c r="H10" i="1"/>
  <c r="I10" i="1"/>
  <c r="J10" i="1"/>
  <c r="B10" i="1"/>
  <c r="H5" i="1"/>
  <c r="H4" i="1"/>
  <c r="H3" i="1"/>
  <c r="F5" i="1"/>
  <c r="F4" i="1"/>
  <c r="D5" i="1"/>
  <c r="D4" i="1"/>
  <c r="B5" i="1"/>
  <c r="B4" i="1"/>
  <c r="F3" i="1"/>
  <c r="D3" i="1"/>
  <c r="B3" i="1"/>
</calcChain>
</file>

<file path=xl/sharedStrings.xml><?xml version="1.0" encoding="utf-8"?>
<sst xmlns="http://schemas.openxmlformats.org/spreadsheetml/2006/main" count="106" uniqueCount="83">
  <si>
    <t>Headline Metrics</t>
  </si>
  <si>
    <t>Current</t>
  </si>
  <si>
    <t>N/A</t>
  </si>
  <si>
    <t>Total Headcount</t>
  </si>
  <si>
    <t>YoY Headcount Growth</t>
  </si>
  <si>
    <t>Height / Width  (% of Max)</t>
  </si>
  <si>
    <t>SOURCE DATA</t>
  </si>
  <si>
    <t>EA &amp; Parent Costs</t>
  </si>
  <si>
    <t>EA &amp; Parent Headcount</t>
  </si>
  <si>
    <t>Non-Function Cost as % of Firm Revenue</t>
  </si>
  <si>
    <t>Non-Function Cost per Total Firm Headcount</t>
  </si>
  <si>
    <t>Enabling Areas &amp; Parent Costs</t>
  </si>
  <si>
    <t>Total Amount</t>
  </si>
  <si>
    <t>Parent</t>
  </si>
  <si>
    <t>IT</t>
  </si>
  <si>
    <t>Talent</t>
  </si>
  <si>
    <t>Occupancy</t>
  </si>
  <si>
    <t>F&amp;A</t>
  </si>
  <si>
    <t>Market Dev.</t>
  </si>
  <si>
    <t>Federal EA</t>
  </si>
  <si>
    <t>OGC</t>
  </si>
  <si>
    <t>Current Amount</t>
  </si>
  <si>
    <t>Plan Amount</t>
  </si>
  <si>
    <t>Prior Amount</t>
  </si>
  <si>
    <t>Cost Breakdown For Parent</t>
  </si>
  <si>
    <t>Subscription Fee</t>
  </si>
  <si>
    <t>Partner Retirement</t>
  </si>
  <si>
    <t>F,S, &amp; L Taxes</t>
  </si>
  <si>
    <t>Net Interest</t>
  </si>
  <si>
    <t>Interest Credit</t>
  </si>
  <si>
    <t>Other</t>
  </si>
  <si>
    <t>Total EA &amp; Parent Headcount</t>
  </si>
  <si>
    <t>US</t>
  </si>
  <si>
    <t>India</t>
  </si>
  <si>
    <t>Mexico</t>
  </si>
  <si>
    <t>Total EA &amp; Parent</t>
  </si>
  <si>
    <t>YoY EA &amp; Parent Headcount Growth</t>
  </si>
  <si>
    <t>Total Firm Headcount</t>
  </si>
  <si>
    <t>YoY Total Firm Headcount Growth</t>
  </si>
  <si>
    <t>Max of Scale</t>
  </si>
  <si>
    <t>EA Total Headcount &amp; Cost</t>
  </si>
  <si>
    <t>Total Cost</t>
  </si>
  <si>
    <t>Total Cost Growth</t>
  </si>
  <si>
    <t>Fed. EA</t>
  </si>
  <si>
    <t>SINT</t>
  </si>
  <si>
    <t>Current YTD</t>
  </si>
  <si>
    <t>Prior YTD</t>
  </si>
  <si>
    <t>Plan YTD</t>
  </si>
  <si>
    <t>Firm Revenue</t>
  </si>
  <si>
    <t>Overall Parent Cost</t>
  </si>
  <si>
    <t>IT Costs</t>
  </si>
  <si>
    <t>Talent Costs</t>
  </si>
  <si>
    <t>Occupancy Costs</t>
  </si>
  <si>
    <t>F&amp;A Costs</t>
  </si>
  <si>
    <t>Market Development Costs</t>
  </si>
  <si>
    <t>SINT Costs</t>
  </si>
  <si>
    <t>Federal EA Costs</t>
  </si>
  <si>
    <t>Office of General Council Costs</t>
  </si>
  <si>
    <t>Subscription Fee Cost</t>
  </si>
  <si>
    <t>Partner Retirement Cost</t>
  </si>
  <si>
    <t>Federal, State &amp; Local Taxes</t>
  </si>
  <si>
    <t>Other Parent Costs</t>
  </si>
  <si>
    <t>EA &amp; Parent Headcount - US</t>
  </si>
  <si>
    <t>EA &amp; Parent Headcount - India</t>
  </si>
  <si>
    <t>EA &amp; Parent Headcount - Mexico</t>
  </si>
  <si>
    <t>Total Firm Headcount - US</t>
  </si>
  <si>
    <t>Total Firm Headcount - India</t>
  </si>
  <si>
    <t>Total Firm Headcount - Mexico</t>
  </si>
  <si>
    <t>IT Headcount</t>
  </si>
  <si>
    <t>Talent Headcount</t>
  </si>
  <si>
    <t>F&amp;A Headcount</t>
  </si>
  <si>
    <t>Market Development Headcount</t>
  </si>
  <si>
    <t>SINT Headcount</t>
  </si>
  <si>
    <t>Federal EA Headcount</t>
  </si>
  <si>
    <t>OGC Headcount</t>
  </si>
  <si>
    <t xml:space="preserve">Prior Change </t>
  </si>
  <si>
    <t xml:space="preserve">Plan Change </t>
  </si>
  <si>
    <t>Plan Marker Height (% of Max)</t>
  </si>
  <si>
    <t>Prior Marker Height (% of Max)</t>
  </si>
  <si>
    <t>Bar Height (% of Max)</t>
  </si>
  <si>
    <t>YoY Cost Growth</t>
  </si>
  <si>
    <t>YoY Growth (%)</t>
  </si>
  <si>
    <t>Prior Firm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</si>
</sst>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2" xfId="2" applyNumberFormat="1" applyFon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/>
    <xf numFmtId="9" fontId="0" fillId="0" borderId="0" xfId="2" applyFont="1"/>
    <xf numFmtId="0" fontId="3" fillId="0" borderId="0" xfId="0" applyFont="1"/>
    <xf numFmtId="44" fontId="0" fillId="0" borderId="0" xfId="1" applyFont="1"/>
    <xf numFmtId="0" fontId="3" fillId="0" borderId="0" xfId="0" applyFont="1" applyAlignment="1">
      <alignment horizontal="center" vertical="center" wrapText="1"/>
    </xf>
    <xf numFmtId="0" fontId="2" fillId="0" borderId="8" xfId="0" applyFont="1" applyBorder="1"/>
    <xf numFmtId="44" fontId="0" fillId="0" borderId="4" xfId="0" applyNumberFormat="1" applyBorder="1"/>
    <xf numFmtId="0" fontId="2" fillId="0" borderId="4" xfId="0" applyFont="1" applyBorder="1"/>
    <xf numFmtId="164" fontId="0" fillId="0" borderId="4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Font="1" applyBorder="1"/>
    <xf numFmtId="44" fontId="0" fillId="0" borderId="7" xfId="0" applyNumberFormat="1" applyFont="1" applyBorder="1"/>
    <xf numFmtId="9" fontId="0" fillId="0" borderId="0" xfId="2" applyFont="1" applyBorder="1" applyAlignment="1"/>
    <xf numFmtId="9" fontId="0" fillId="0" borderId="7" xfId="2" applyFont="1" applyBorder="1" applyAlignment="1"/>
    <xf numFmtId="44" fontId="0" fillId="0" borderId="0" xfId="0" applyNumberFormat="1" applyBorder="1"/>
    <xf numFmtId="44" fontId="0" fillId="0" borderId="7" xfId="0" applyNumberFormat="1" applyBorder="1"/>
    <xf numFmtId="9" fontId="0" fillId="0" borderId="0" xfId="2" applyFont="1" applyBorder="1"/>
    <xf numFmtId="9" fontId="0" fillId="0" borderId="7" xfId="2" applyFont="1" applyBorder="1"/>
    <xf numFmtId="0" fontId="2" fillId="0" borderId="9" xfId="0" applyFont="1" applyBorder="1"/>
    <xf numFmtId="9" fontId="0" fillId="0" borderId="10" xfId="2" applyFont="1" applyBorder="1"/>
    <xf numFmtId="9" fontId="0" fillId="0" borderId="11" xfId="2" applyFont="1" applyBorder="1"/>
    <xf numFmtId="0" fontId="3" fillId="0" borderId="7" xfId="0" applyFont="1" applyBorder="1"/>
    <xf numFmtId="0" fontId="6" fillId="0" borderId="0" xfId="0" applyFont="1"/>
    <xf numFmtId="44" fontId="6" fillId="0" borderId="0" xfId="0" applyNumberFormat="1" applyFont="1"/>
    <xf numFmtId="0" fontId="2" fillId="0" borderId="0" xfId="0" applyFont="1" applyFill="1" applyBorder="1"/>
    <xf numFmtId="44" fontId="6" fillId="0" borderId="0" xfId="1" applyFont="1"/>
    <xf numFmtId="0" fontId="6" fillId="0" borderId="0" xfId="1" applyNumberFormat="1" applyFont="1"/>
    <xf numFmtId="0" fontId="0" fillId="0" borderId="0" xfId="0" applyNumberFormat="1"/>
    <xf numFmtId="44" fontId="0" fillId="0" borderId="2" xfId="1" applyFont="1" applyBorder="1"/>
    <xf numFmtId="0" fontId="0" fillId="0" borderId="2" xfId="2" applyNumberFormat="1" applyFont="1" applyBorder="1"/>
    <xf numFmtId="4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44" fontId="0" fillId="0" borderId="3" xfId="1" applyFont="1" applyBorder="1"/>
    <xf numFmtId="0" fontId="0" fillId="0" borderId="8" xfId="0" applyBorder="1"/>
    <xf numFmtId="0" fontId="2" fillId="0" borderId="5" xfId="0" applyFon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3" fillId="0" borderId="9" xfId="0" applyNumberFormat="1" applyFont="1" applyBorder="1"/>
  </cellXfs>
  <cellStyles count="13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tabSelected="1" topLeftCell="A48" workbookViewId="0">
      <selection activeCell="E34" sqref="E34"/>
    </sheetView>
  </sheetViews>
  <sheetFormatPr baseColWidth="10" defaultRowHeight="15" x14ac:dyDescent="0"/>
  <cols>
    <col min="1" max="1" width="33.33203125" customWidth="1"/>
    <col min="2" max="2" width="19.83203125" customWidth="1"/>
    <col min="3" max="3" width="21.5" customWidth="1"/>
    <col min="4" max="4" width="18.6640625" customWidth="1"/>
    <col min="5" max="5" width="21.1640625" customWidth="1"/>
    <col min="6" max="6" width="19.33203125" customWidth="1"/>
    <col min="7" max="7" width="20.1640625" customWidth="1"/>
    <col min="8" max="8" width="21.5" customWidth="1"/>
    <col min="9" max="9" width="19.6640625" customWidth="1"/>
    <col min="10" max="10" width="19" customWidth="1"/>
    <col min="11" max="11" width="20.6640625" customWidth="1"/>
    <col min="12" max="12" width="19.1640625" customWidth="1"/>
    <col min="13" max="13" width="19.6640625" customWidth="1"/>
    <col min="14" max="14" width="18.5" customWidth="1"/>
    <col min="15" max="15" width="18.6640625" customWidth="1"/>
    <col min="16" max="16" width="18" customWidth="1"/>
    <col min="17" max="17" width="20" customWidth="1"/>
    <col min="18" max="18" width="16.33203125" bestFit="1" customWidth="1"/>
    <col min="19" max="19" width="19" customWidth="1"/>
    <col min="20" max="20" width="19.5" customWidth="1"/>
    <col min="21" max="21" width="20.1640625" customWidth="1"/>
    <col min="22" max="22" width="19.33203125" customWidth="1"/>
    <col min="23" max="23" width="19.1640625" customWidth="1"/>
    <col min="24" max="24" width="16.33203125" bestFit="1" customWidth="1"/>
    <col min="25" max="25" width="21" customWidth="1"/>
    <col min="26" max="26" width="17.6640625" bestFit="1" customWidth="1"/>
    <col min="27" max="27" width="18.5" customWidth="1"/>
    <col min="28" max="28" width="18" customWidth="1"/>
    <col min="29" max="29" width="20.83203125" customWidth="1"/>
    <col min="30" max="30" width="20.6640625" customWidth="1"/>
    <col min="31" max="31" width="17.5" customWidth="1"/>
    <col min="32" max="32" width="20.6640625" customWidth="1"/>
    <col min="33" max="33" width="20.83203125" customWidth="1"/>
    <col min="34" max="34" width="19" customWidth="1"/>
    <col min="35" max="35" width="18.83203125" customWidth="1"/>
    <col min="36" max="37" width="18.1640625" customWidth="1"/>
    <col min="38" max="38" width="18.33203125" customWidth="1"/>
    <col min="39" max="39" width="16.33203125" customWidth="1"/>
    <col min="40" max="40" width="18.33203125" customWidth="1"/>
    <col min="41" max="41" width="12.5" bestFit="1" customWidth="1"/>
    <col min="42" max="42" width="14.83203125" customWidth="1"/>
    <col min="43" max="43" width="15.1640625" customWidth="1"/>
    <col min="44" max="44" width="14.33203125" customWidth="1"/>
  </cols>
  <sheetData>
    <row r="1" spans="1:4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45" s="1" customFormat="1" ht="30">
      <c r="B2" s="2" t="s">
        <v>7</v>
      </c>
      <c r="D2" s="2" t="s">
        <v>8</v>
      </c>
      <c r="F2" s="2" t="s">
        <v>9</v>
      </c>
      <c r="H2" s="2" t="s">
        <v>10</v>
      </c>
      <c r="I2" s="3"/>
      <c r="J2"/>
      <c r="K2" s="3"/>
      <c r="L2" s="2"/>
    </row>
    <row r="3" spans="1:45">
      <c r="A3" s="4" t="s">
        <v>1</v>
      </c>
      <c r="B3" s="45">
        <f>ROUND(B47,-6)</f>
        <v>968000000</v>
      </c>
      <c r="D3" s="46">
        <f>ROUND(C47,-1)</f>
        <v>10730</v>
      </c>
      <c r="F3" s="5">
        <f>B47/D47</f>
        <v>0.22600000003735538</v>
      </c>
      <c r="G3" s="15"/>
      <c r="H3" s="45">
        <f>ROUND(B47/(W47+X47+Y47),-2)</f>
        <v>13300</v>
      </c>
      <c r="L3" s="5"/>
    </row>
    <row r="4" spans="1:45">
      <c r="A4" s="4" t="s">
        <v>75</v>
      </c>
      <c r="B4" s="5">
        <f>B47/B48-1</f>
        <v>6.0000000197107495E-2</v>
      </c>
      <c r="D4" s="5">
        <f>C47/C48-1</f>
        <v>5.9962461720833637E-2</v>
      </c>
      <c r="F4" s="6">
        <f>((B47/D47)-(B48/D48))*10000</f>
        <v>-102.00423563342414</v>
      </c>
      <c r="H4" s="45">
        <f>ROUND(B47/(W47+X47+Y47)-(B48/(W48+X48+Y48)),-2)</f>
        <v>-700</v>
      </c>
      <c r="L4" s="6"/>
    </row>
    <row r="5" spans="1:45">
      <c r="A5" s="4" t="s">
        <v>76</v>
      </c>
      <c r="B5" s="47">
        <f>ROUND(B47-B49,-6)</f>
        <v>10000000</v>
      </c>
      <c r="D5" s="48">
        <f>C47-C49</f>
        <v>-311</v>
      </c>
      <c r="F5" s="49">
        <f>((B47/D47)-(B49/D49))*10000</f>
        <v>32.384063205709303</v>
      </c>
      <c r="H5" s="50">
        <f>ROUND(B47/(W47+X47+Y47)-(B49/(W49+X49+Y49)),-2)</f>
        <v>200</v>
      </c>
      <c r="L5" s="7"/>
    </row>
    <row r="7" spans="1:45">
      <c r="A7" s="53" t="s">
        <v>11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45" s="1" customFormat="1">
      <c r="A8" s="20" t="s">
        <v>12</v>
      </c>
      <c r="B8" s="21">
        <f>ROUND(SUM(E47:M47),-6)</f>
        <v>964000000</v>
      </c>
      <c r="C8" s="22"/>
      <c r="D8" s="23"/>
      <c r="E8" s="22"/>
      <c r="F8" s="21"/>
      <c r="G8" s="22"/>
      <c r="H8" s="21"/>
      <c r="I8" s="24"/>
      <c r="J8" s="25"/>
      <c r="K8" s="2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5">
      <c r="A9" s="26"/>
      <c r="B9" s="11" t="s">
        <v>13</v>
      </c>
      <c r="C9" s="11" t="s">
        <v>14</v>
      </c>
      <c r="D9" s="11" t="s">
        <v>15</v>
      </c>
      <c r="E9" s="11" t="s">
        <v>16</v>
      </c>
      <c r="F9" s="11" t="s">
        <v>17</v>
      </c>
      <c r="G9" s="11" t="s">
        <v>18</v>
      </c>
      <c r="H9" s="11" t="s">
        <v>44</v>
      </c>
      <c r="I9" s="11" t="s">
        <v>19</v>
      </c>
      <c r="J9" s="12" t="s">
        <v>20</v>
      </c>
      <c r="K9" s="12"/>
      <c r="L9" s="17"/>
      <c r="M9" s="17"/>
      <c r="N9" s="17"/>
      <c r="O9" s="17"/>
      <c r="P9" s="38"/>
      <c r="Q9" s="39"/>
      <c r="R9" s="39"/>
      <c r="S9" s="39"/>
      <c r="T9" s="17"/>
      <c r="U9" s="17"/>
      <c r="V9" s="17"/>
      <c r="W9" s="17"/>
      <c r="X9" s="17"/>
      <c r="Y9" s="17"/>
      <c r="Z9" s="38"/>
      <c r="AA9" s="39"/>
      <c r="AB9" s="39"/>
      <c r="AC9" s="39"/>
      <c r="AD9" s="11"/>
      <c r="AE9" s="11"/>
      <c r="AF9" s="11"/>
      <c r="AG9" s="12"/>
      <c r="AK9" s="11"/>
      <c r="AL9" s="11"/>
      <c r="AM9" s="11"/>
      <c r="AN9" s="12"/>
    </row>
    <row r="10" spans="1:45">
      <c r="A10" s="10" t="s">
        <v>21</v>
      </c>
      <c r="B10" s="27">
        <f>ROUND(E47,-6)</f>
        <v>257000000</v>
      </c>
      <c r="C10" s="27">
        <f t="shared" ref="C10:J10" si="0">ROUND(F47,-6)</f>
        <v>174000000</v>
      </c>
      <c r="D10" s="27">
        <f t="shared" si="0"/>
        <v>151000000</v>
      </c>
      <c r="E10" s="27">
        <f t="shared" si="0"/>
        <v>115000000</v>
      </c>
      <c r="F10" s="27">
        <f t="shared" si="0"/>
        <v>100000000</v>
      </c>
      <c r="G10" s="27">
        <f t="shared" si="0"/>
        <v>95000000</v>
      </c>
      <c r="H10" s="27">
        <f t="shared" si="0"/>
        <v>23000000</v>
      </c>
      <c r="I10" s="27">
        <f t="shared" si="0"/>
        <v>38000000</v>
      </c>
      <c r="J10" s="28">
        <f t="shared" si="0"/>
        <v>11000000</v>
      </c>
      <c r="K10" s="28"/>
      <c r="L10" s="40"/>
      <c r="M10" s="40"/>
      <c r="N10" s="40"/>
      <c r="O10" s="40"/>
      <c r="P10" s="40"/>
      <c r="Q10" s="39"/>
      <c r="R10" s="39"/>
      <c r="S10" s="40"/>
      <c r="T10" s="40"/>
      <c r="U10" s="40"/>
      <c r="V10" s="40"/>
      <c r="W10" s="40"/>
      <c r="X10" s="40"/>
      <c r="Y10" s="40"/>
      <c r="Z10" s="40"/>
      <c r="AA10" s="39"/>
      <c r="AB10" s="39"/>
      <c r="AC10" s="40"/>
      <c r="AD10" s="13"/>
      <c r="AE10" s="13"/>
      <c r="AF10" s="13"/>
      <c r="AG10" s="13"/>
      <c r="AJ10" s="13"/>
      <c r="AK10" s="13"/>
      <c r="AL10" s="13"/>
      <c r="AM10" s="13"/>
      <c r="AN10" s="13"/>
      <c r="AQ10" s="13"/>
      <c r="AS10" s="13"/>
    </row>
    <row r="11" spans="1:45">
      <c r="A11" s="10" t="s">
        <v>79</v>
      </c>
      <c r="B11" s="29">
        <f>E47/MAX($E47:$M49)</f>
        <v>0.96000119533222761</v>
      </c>
      <c r="C11" s="29">
        <f>F47/MAX($E47:$M49)</f>
        <v>0.64996189878524357</v>
      </c>
      <c r="D11" s="29">
        <f t="shared" ref="D11:J11" si="1">G47/MAX($E47:$M49)</f>
        <v>0.56404739492282641</v>
      </c>
      <c r="E11" s="29">
        <f t="shared" si="1"/>
        <v>0.42957251931208629</v>
      </c>
      <c r="F11" s="29">
        <f t="shared" si="1"/>
        <v>0.37354132114094463</v>
      </c>
      <c r="G11" s="29">
        <f t="shared" si="1"/>
        <v>0.35486425508389741</v>
      </c>
      <c r="H11" s="29">
        <f t="shared" si="1"/>
        <v>8.5914503862417266E-2</v>
      </c>
      <c r="I11" s="29">
        <f t="shared" si="1"/>
        <v>0.14194570203355894</v>
      </c>
      <c r="J11" s="30">
        <f t="shared" si="1"/>
        <v>4.1089545325503907E-2</v>
      </c>
      <c r="K11" s="30"/>
      <c r="L11" s="40"/>
      <c r="M11" s="40"/>
      <c r="N11" s="40"/>
      <c r="O11" s="40"/>
      <c r="P11" s="40"/>
      <c r="Q11" s="39"/>
      <c r="R11" s="39"/>
      <c r="S11" s="40"/>
      <c r="T11" s="40"/>
      <c r="U11" s="40"/>
      <c r="V11" s="40"/>
      <c r="W11" s="40"/>
      <c r="X11" s="40"/>
      <c r="Y11" s="40"/>
      <c r="Z11" s="40"/>
      <c r="AA11" s="39"/>
      <c r="AB11" s="39"/>
      <c r="AC11" s="40"/>
      <c r="AD11" s="13"/>
      <c r="AE11" s="13"/>
      <c r="AF11" s="13"/>
      <c r="AG11" s="13"/>
      <c r="AJ11" s="13"/>
      <c r="AK11" s="13"/>
      <c r="AL11" s="13"/>
      <c r="AM11" s="13"/>
      <c r="AN11" s="13"/>
      <c r="AQ11" s="13"/>
      <c r="AS11" s="13"/>
    </row>
    <row r="12" spans="1:45">
      <c r="A12" s="10" t="s">
        <v>22</v>
      </c>
      <c r="B12" s="31">
        <f>ROUND(E49,-6)</f>
        <v>225000000</v>
      </c>
      <c r="C12" s="31">
        <f t="shared" ref="C12:J12" si="2">ROUND(F49,-6)</f>
        <v>175000000</v>
      </c>
      <c r="D12" s="31">
        <f t="shared" si="2"/>
        <v>145000000</v>
      </c>
      <c r="E12" s="31">
        <f t="shared" si="2"/>
        <v>117000000</v>
      </c>
      <c r="F12" s="31">
        <f t="shared" si="2"/>
        <v>102000000</v>
      </c>
      <c r="G12" s="31">
        <f t="shared" si="2"/>
        <v>94000000</v>
      </c>
      <c r="H12" s="31">
        <f t="shared" si="2"/>
        <v>32000000</v>
      </c>
      <c r="I12" s="31">
        <f t="shared" si="2"/>
        <v>45000000</v>
      </c>
      <c r="J12" s="32">
        <f t="shared" si="2"/>
        <v>14000000</v>
      </c>
      <c r="K12" s="32"/>
    </row>
    <row r="13" spans="1:45">
      <c r="A13" s="10" t="s">
        <v>77</v>
      </c>
      <c r="B13" s="33">
        <f t="shared" ref="B13:J13" si="3">E49/MAX($E47:$M49)</f>
        <v>0.84046797256712535</v>
      </c>
      <c r="C13" s="33">
        <f t="shared" si="3"/>
        <v>0.65182960539094836</v>
      </c>
      <c r="D13" s="33">
        <f t="shared" si="3"/>
        <v>0.54163491565436972</v>
      </c>
      <c r="E13" s="33">
        <f t="shared" si="3"/>
        <v>0.43704334573490522</v>
      </c>
      <c r="F13" s="33">
        <f t="shared" si="3"/>
        <v>0.3810121475637635</v>
      </c>
      <c r="G13" s="33">
        <f t="shared" si="3"/>
        <v>0.35112884187248794</v>
      </c>
      <c r="H13" s="33">
        <f t="shared" si="3"/>
        <v>0.11953322276510228</v>
      </c>
      <c r="I13" s="33">
        <f t="shared" si="3"/>
        <v>0.16809359451342507</v>
      </c>
      <c r="J13" s="34">
        <f t="shared" si="3"/>
        <v>5.2295784959732243E-2</v>
      </c>
      <c r="K13" s="34"/>
    </row>
    <row r="14" spans="1:45">
      <c r="A14" s="10" t="s">
        <v>23</v>
      </c>
      <c r="B14" s="31">
        <f>ROUND(E48,-6)</f>
        <v>268000000</v>
      </c>
      <c r="C14" s="31">
        <f t="shared" ref="C14:J14" si="4">ROUND(F48,-6)</f>
        <v>141000000</v>
      </c>
      <c r="D14" s="31">
        <f t="shared" si="4"/>
        <v>129000000</v>
      </c>
      <c r="E14" s="31">
        <f t="shared" si="4"/>
        <v>114000000</v>
      </c>
      <c r="F14" s="31">
        <f t="shared" si="4"/>
        <v>95000000</v>
      </c>
      <c r="G14" s="31">
        <f t="shared" si="4"/>
        <v>83000000</v>
      </c>
      <c r="H14" s="31">
        <f t="shared" si="4"/>
        <v>18000000</v>
      </c>
      <c r="I14" s="31">
        <f t="shared" si="4"/>
        <v>45000000</v>
      </c>
      <c r="J14" s="32">
        <f t="shared" si="4"/>
        <v>14000000</v>
      </c>
      <c r="K14" s="32"/>
    </row>
    <row r="15" spans="1:45">
      <c r="A15" s="10" t="s">
        <v>78</v>
      </c>
      <c r="B15" s="33">
        <f t="shared" ref="B15:J15" si="5">E48/MAX($E47:$M49)</f>
        <v>1</v>
      </c>
      <c r="C15" s="33">
        <f t="shared" si="5"/>
        <v>0.52841902371240301</v>
      </c>
      <c r="D15" s="33">
        <f t="shared" si="5"/>
        <v>0.4820886936512917</v>
      </c>
      <c r="E15" s="33">
        <f t="shared" si="5"/>
        <v>0.42531788366429096</v>
      </c>
      <c r="F15" s="33">
        <f t="shared" si="5"/>
        <v>0.35575328342821283</v>
      </c>
      <c r="G15" s="33">
        <f t="shared" si="5"/>
        <v>0.31128443303898279</v>
      </c>
      <c r="H15" s="33">
        <f t="shared" si="5"/>
        <v>6.7088021276913656E-2</v>
      </c>
      <c r="I15" s="33">
        <f t="shared" si="5"/>
        <v>0.16898262285774052</v>
      </c>
      <c r="J15" s="34">
        <f t="shared" si="5"/>
        <v>5.2359623171515234E-2</v>
      </c>
      <c r="K15" s="37"/>
    </row>
    <row r="16" spans="1:45">
      <c r="A16" s="55" t="s">
        <v>80</v>
      </c>
      <c r="B16" s="36">
        <f>E47/E48-1</f>
        <v>-3.9998804667772392E-2</v>
      </c>
      <c r="C16" s="36">
        <f>F47/F48-1</f>
        <v>0.23001230012300122</v>
      </c>
      <c r="D16" s="36">
        <f t="shared" ref="D16:J16" si="6">G47/G48-1</f>
        <v>0.17000751594232089</v>
      </c>
      <c r="E16" s="36">
        <f t="shared" si="6"/>
        <v>1.0003425229007323E-2</v>
      </c>
      <c r="F16" s="36">
        <f t="shared" si="6"/>
        <v>5.0001050001049929E-2</v>
      </c>
      <c r="G16" s="36">
        <f t="shared" si="6"/>
        <v>0.14000000456000006</v>
      </c>
      <c r="H16" s="36">
        <f t="shared" si="6"/>
        <v>0.28062360801781727</v>
      </c>
      <c r="I16" s="36">
        <f t="shared" si="6"/>
        <v>-0.15999823157522441</v>
      </c>
      <c r="J16" s="37">
        <f t="shared" si="6"/>
        <v>-0.21524367753934659</v>
      </c>
      <c r="K16" s="33"/>
    </row>
    <row r="18" spans="1:14">
      <c r="A18" s="53" t="s">
        <v>24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1"/>
      <c r="B19" s="22" t="s">
        <v>25</v>
      </c>
      <c r="C19" s="22" t="s">
        <v>26</v>
      </c>
      <c r="D19" s="22" t="s">
        <v>27</v>
      </c>
      <c r="E19" s="22" t="s">
        <v>28</v>
      </c>
      <c r="F19" s="22" t="s">
        <v>29</v>
      </c>
      <c r="G19" s="52" t="s">
        <v>30</v>
      </c>
    </row>
    <row r="20" spans="1:14">
      <c r="A20" s="10" t="s">
        <v>21</v>
      </c>
      <c r="B20" s="31">
        <f>ROUND(N47,-6)</f>
        <v>88000000</v>
      </c>
      <c r="C20" s="31">
        <f t="shared" ref="C20:G20" si="7">ROUND(O47,-6)</f>
        <v>87000000</v>
      </c>
      <c r="D20" s="31">
        <f t="shared" si="7"/>
        <v>44000000</v>
      </c>
      <c r="E20" s="31">
        <f t="shared" si="7"/>
        <v>40000000</v>
      </c>
      <c r="F20" s="31">
        <f t="shared" si="7"/>
        <v>-61000000</v>
      </c>
      <c r="G20" s="32">
        <f t="shared" si="7"/>
        <v>56000000</v>
      </c>
    </row>
    <row r="21" spans="1:14">
      <c r="A21" s="10" t="s">
        <v>81</v>
      </c>
      <c r="B21" s="33">
        <f>N47/N48-1</f>
        <v>0.1100039102410475</v>
      </c>
      <c r="C21" s="33">
        <f>O47/O48-1</f>
        <v>0.22000813338755587</v>
      </c>
      <c r="D21" s="33">
        <f>P47/P48-1</f>
        <v>0.36000173091129395</v>
      </c>
      <c r="E21" s="33">
        <f>Q47/Q48-1</f>
        <v>3.0131341746072682E-2</v>
      </c>
      <c r="F21" s="33">
        <f>R47/R48-1</f>
        <v>7.0175438596491224E-2</v>
      </c>
      <c r="G21" s="33">
        <f>S47/S48-1</f>
        <v>-0.36363636363636365</v>
      </c>
    </row>
    <row r="22" spans="1:14">
      <c r="A22" s="10" t="s">
        <v>79</v>
      </c>
      <c r="B22" s="33">
        <f t="shared" ref="B22:G22" si="8">N47/MAX($N47:$S49)</f>
        <v>1</v>
      </c>
      <c r="C22" s="33">
        <f t="shared" si="8"/>
        <v>0.98863636363636365</v>
      </c>
      <c r="D22" s="33">
        <f t="shared" si="8"/>
        <v>0.5</v>
      </c>
      <c r="E22" s="33">
        <f t="shared" si="8"/>
        <v>0.45454545454545453</v>
      </c>
      <c r="F22" s="33">
        <f t="shared" si="8"/>
        <v>-0.69318181818181823</v>
      </c>
      <c r="G22" s="34">
        <f t="shared" si="8"/>
        <v>0.63636363636363635</v>
      </c>
    </row>
    <row r="23" spans="1:14">
      <c r="A23" s="10" t="s">
        <v>22</v>
      </c>
      <c r="B23" s="31">
        <f t="shared" ref="B23:G23" si="9">ROUND(N49,-6)</f>
        <v>87000000</v>
      </c>
      <c r="C23" s="31">
        <f t="shared" si="9"/>
        <v>84000000</v>
      </c>
      <c r="D23" s="31">
        <f t="shared" si="9"/>
        <v>45000000</v>
      </c>
      <c r="E23" s="31">
        <f t="shared" si="9"/>
        <v>46000000</v>
      </c>
      <c r="F23" s="31">
        <f t="shared" si="9"/>
        <v>-55000000</v>
      </c>
      <c r="G23" s="32">
        <f t="shared" si="9"/>
        <v>18000000</v>
      </c>
    </row>
    <row r="24" spans="1:14">
      <c r="A24" s="10" t="s">
        <v>77</v>
      </c>
      <c r="B24" s="33">
        <f t="shared" ref="B24:G24" si="10">N49/MAX($N47:$S49)</f>
        <v>0.98863636363636365</v>
      </c>
      <c r="C24" s="33">
        <f t="shared" si="10"/>
        <v>0.95454545454545459</v>
      </c>
      <c r="D24" s="33">
        <f t="shared" si="10"/>
        <v>0.51136363636363635</v>
      </c>
      <c r="E24" s="33">
        <f t="shared" si="10"/>
        <v>0.52272727272727271</v>
      </c>
      <c r="F24" s="33">
        <f t="shared" si="10"/>
        <v>-0.625</v>
      </c>
      <c r="G24" s="34">
        <f t="shared" si="10"/>
        <v>0.20454545454545456</v>
      </c>
    </row>
    <row r="25" spans="1:14">
      <c r="A25" s="10" t="s">
        <v>23</v>
      </c>
      <c r="B25" s="31">
        <f t="shared" ref="B25:G25" si="11">ROUND(N48,-6)</f>
        <v>79000000</v>
      </c>
      <c r="C25" s="31">
        <f t="shared" si="11"/>
        <v>71000000</v>
      </c>
      <c r="D25" s="31">
        <f t="shared" si="11"/>
        <v>32000000</v>
      </c>
      <c r="E25" s="31">
        <f t="shared" si="11"/>
        <v>39000000</v>
      </c>
      <c r="F25" s="31">
        <f t="shared" si="11"/>
        <v>-57000000</v>
      </c>
      <c r="G25" s="32">
        <f t="shared" si="11"/>
        <v>88000000</v>
      </c>
    </row>
    <row r="26" spans="1:14">
      <c r="A26" s="35" t="s">
        <v>78</v>
      </c>
      <c r="B26" s="36">
        <f t="shared" ref="B26:G26" si="12">N48/MAX($N47:$S49)</f>
        <v>0.90089772727272732</v>
      </c>
      <c r="C26" s="36">
        <f t="shared" si="12"/>
        <v>0.81035227272727273</v>
      </c>
      <c r="D26" s="36">
        <f t="shared" si="12"/>
        <v>0.36764659090909091</v>
      </c>
      <c r="E26" s="36">
        <f t="shared" si="12"/>
        <v>0.44124999999999998</v>
      </c>
      <c r="F26" s="36">
        <f t="shared" si="12"/>
        <v>-0.64772727272727271</v>
      </c>
      <c r="G26" s="37">
        <f t="shared" si="12"/>
        <v>1</v>
      </c>
    </row>
    <row r="28" spans="1:14">
      <c r="A28" s="53" t="s">
        <v>31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>
      <c r="A29" s="41" t="s">
        <v>39</v>
      </c>
      <c r="B29">
        <f>IF((ROUNDUP(MAX(W47,W48)/5,-3)*5&gt;10000),((ROUNDUP(MAX(W47,W48)/5,-3)*5)),10000)</f>
        <v>50000</v>
      </c>
    </row>
    <row r="30" spans="1:14">
      <c r="B30" s="14" t="s">
        <v>32</v>
      </c>
      <c r="C30" s="14" t="s">
        <v>33</v>
      </c>
      <c r="D30" s="14" t="s">
        <v>34</v>
      </c>
      <c r="E30" s="14" t="s">
        <v>35</v>
      </c>
    </row>
    <row r="31" spans="1:14">
      <c r="A31" t="s">
        <v>8</v>
      </c>
      <c r="B31">
        <f>T47</f>
        <v>7385</v>
      </c>
      <c r="C31">
        <f>U47</f>
        <v>3279</v>
      </c>
      <c r="D31">
        <f>V47</f>
        <v>66</v>
      </c>
      <c r="E31">
        <f>SUM(T47:V47)</f>
        <v>10730</v>
      </c>
    </row>
    <row r="32" spans="1:14">
      <c r="A32" t="s">
        <v>36</v>
      </c>
      <c r="B32" s="16">
        <f>T47/T48-1</f>
        <v>5.9997129323955845E-2</v>
      </c>
      <c r="C32" s="16">
        <f>U47/U48-1</f>
        <v>4.9951969260326523E-2</v>
      </c>
      <c r="D32" s="16">
        <f>V47/V48-1</f>
        <v>0.15789473684210531</v>
      </c>
      <c r="E32" s="16">
        <f>(T47+U47+V47)/(T48+U48+V49)-1</f>
        <v>5.5375233598898399E-2</v>
      </c>
    </row>
    <row r="33" spans="1:40">
      <c r="A33" t="s">
        <v>37</v>
      </c>
      <c r="B33">
        <f>W47</f>
        <v>49852</v>
      </c>
      <c r="C33">
        <f>X47</f>
        <v>21792</v>
      </c>
      <c r="D33">
        <f>Y47</f>
        <v>976</v>
      </c>
      <c r="E33">
        <f>W47+X47+Y47</f>
        <v>72620</v>
      </c>
    </row>
    <row r="34" spans="1:40">
      <c r="A34" t="s">
        <v>82</v>
      </c>
      <c r="B34">
        <f>W48</f>
        <v>45508</v>
      </c>
      <c r="C34">
        <f>X48</f>
        <v>18879</v>
      </c>
      <c r="D34">
        <f>Y48</f>
        <v>904</v>
      </c>
      <c r="E34">
        <f>W48+X48+Y48</f>
        <v>65291</v>
      </c>
    </row>
    <row r="35" spans="1:40">
      <c r="A35" t="s">
        <v>38</v>
      </c>
      <c r="B35" s="16">
        <f>W47/W48-1</f>
        <v>9.545574404500301E-2</v>
      </c>
      <c r="C35" s="16">
        <f>X47/X48-1</f>
        <v>0.15429842682345463</v>
      </c>
      <c r="D35" s="16">
        <f>Y47/Y48-1</f>
        <v>7.9646017699114946E-2</v>
      </c>
      <c r="E35" s="16">
        <f>(X47+Y47+Z47)/(X48+Y48+Z48)-1</f>
        <v>0.14752783544064907</v>
      </c>
    </row>
    <row r="37" spans="1:40">
      <c r="A37" s="53" t="s">
        <v>40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</row>
    <row r="38" spans="1:40">
      <c r="B38" t="s">
        <v>14</v>
      </c>
      <c r="C38" t="s">
        <v>15</v>
      </c>
      <c r="D38" t="s">
        <v>17</v>
      </c>
      <c r="E38" t="s">
        <v>18</v>
      </c>
      <c r="F38" t="s">
        <v>43</v>
      </c>
      <c r="G38" t="s">
        <v>44</v>
      </c>
      <c r="H38" t="s">
        <v>20</v>
      </c>
    </row>
    <row r="39" spans="1:40">
      <c r="A39" s="14" t="s">
        <v>3</v>
      </c>
      <c r="B39">
        <f t="shared" ref="B39:H39" si="13">Z47</f>
        <v>1555</v>
      </c>
      <c r="C39">
        <f t="shared" si="13"/>
        <v>2415</v>
      </c>
      <c r="D39">
        <f t="shared" si="13"/>
        <v>3467</v>
      </c>
      <c r="E39">
        <f t="shared" si="13"/>
        <v>1894</v>
      </c>
      <c r="F39">
        <f t="shared" si="13"/>
        <v>465</v>
      </c>
      <c r="G39">
        <f t="shared" si="13"/>
        <v>730</v>
      </c>
      <c r="H39">
        <f t="shared" si="13"/>
        <v>100</v>
      </c>
    </row>
    <row r="40" spans="1:40">
      <c r="A40" s="14" t="s">
        <v>4</v>
      </c>
      <c r="B40" s="15">
        <f t="shared" ref="B40:H40" si="14">Z47/Z48-1</f>
        <v>0.10049539985845723</v>
      </c>
      <c r="C40" s="15">
        <f t="shared" si="14"/>
        <v>8.0053667262969697E-2</v>
      </c>
      <c r="D40" s="15">
        <f t="shared" si="14"/>
        <v>5.7720057720067608E-4</v>
      </c>
      <c r="E40" s="15">
        <f t="shared" si="14"/>
        <v>5.9876888640179038E-2</v>
      </c>
      <c r="F40" s="15">
        <f t="shared" si="14"/>
        <v>5.2036199095022662E-2</v>
      </c>
      <c r="G40" s="15">
        <f t="shared" si="14"/>
        <v>0.14960629921259838</v>
      </c>
      <c r="H40" s="15">
        <f t="shared" si="14"/>
        <v>8.6956521739130377E-2</v>
      </c>
    </row>
    <row r="41" spans="1:40">
      <c r="A41" s="14" t="s">
        <v>41</v>
      </c>
      <c r="B41" s="18">
        <f>ROUND(F47,-6)</f>
        <v>174000000</v>
      </c>
      <c r="C41" s="18">
        <f>ROUND(G47,-6)</f>
        <v>151000000</v>
      </c>
      <c r="D41" s="18">
        <f>ROUND(I47,-6)</f>
        <v>100000000</v>
      </c>
      <c r="E41" s="18">
        <f>ROUND(J47,-6)</f>
        <v>95000000</v>
      </c>
      <c r="F41" s="18">
        <f>ROUND(L47,-6)</f>
        <v>38000000</v>
      </c>
      <c r="G41" s="18">
        <f>ROUND(K47,-6)</f>
        <v>23000000</v>
      </c>
      <c r="H41" s="18">
        <f>ROUND(M47,-6)</f>
        <v>11000000</v>
      </c>
    </row>
    <row r="42" spans="1:40">
      <c r="A42" s="14" t="s">
        <v>42</v>
      </c>
      <c r="B42" s="15">
        <f>F47/F48-1</f>
        <v>0.23001230012300122</v>
      </c>
      <c r="C42" s="15">
        <f>G47/G48-1</f>
        <v>0.17000751594232089</v>
      </c>
      <c r="D42" s="15">
        <f>I47/I48-1</f>
        <v>5.0001050001049929E-2</v>
      </c>
      <c r="E42" s="15">
        <f>J47/J48-1</f>
        <v>0.14000000456000006</v>
      </c>
      <c r="F42" s="15">
        <f>L47/L48-1</f>
        <v>-0.15999823157522441</v>
      </c>
      <c r="G42" s="15">
        <f>K47/K48-1</f>
        <v>0.28062360801781727</v>
      </c>
      <c r="H42" s="15">
        <f>M47/M48-1</f>
        <v>-0.21524367753934659</v>
      </c>
    </row>
    <row r="43" spans="1:40">
      <c r="A43" s="14" t="s">
        <v>5</v>
      </c>
      <c r="B43" s="16">
        <f>SQRT($B41/MAX(F47,G47,I47,J47,K47,L47,M47))</f>
        <v>1</v>
      </c>
      <c r="C43" s="16">
        <f>SQRT(G47/MAX(F47,G47,I47,J47,K47,L47,M47))</f>
        <v>0.93156647210707566</v>
      </c>
      <c r="D43" s="16">
        <f>SQRT(I47/MAX(F47,G47,I47,J47,K47,L47,M47))</f>
        <v>0.75809804357890342</v>
      </c>
      <c r="E43" s="16">
        <f>SQRT(J47/MAX(F47,G47,I47,J47,K47,L47,M47))</f>
        <v>0.73890257239655954</v>
      </c>
      <c r="F43" s="16">
        <f>SQRT(L47/MAX(F47,G47,I47,J47,K47,L47,M47))</f>
        <v>0.46732301954611777</v>
      </c>
      <c r="G43" s="16">
        <f>SQRT(K47/MAX(F47,G47,I47,J47,K47,L47,M47))</f>
        <v>0.36357104951574049</v>
      </c>
      <c r="H43" s="16">
        <f>SQRT(M47/MAX(F47,G47,I47,J47,K47,L47,M47))</f>
        <v>0.25143267648537193</v>
      </c>
    </row>
    <row r="44" spans="1:40" s="3" customFormat="1">
      <c r="A44"/>
      <c r="B44"/>
      <c r="C44"/>
      <c r="D44"/>
      <c r="E44"/>
      <c r="F44"/>
      <c r="G44" s="39"/>
      <c r="H44" s="39"/>
      <c r="I44" s="39"/>
      <c r="J44" s="39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0">
      <c r="A45" s="54" t="s">
        <v>6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  <row r="46" spans="1:40" ht="30">
      <c r="A46" s="39"/>
      <c r="B46" s="19" t="s">
        <v>7</v>
      </c>
      <c r="C46" s="2" t="s">
        <v>8</v>
      </c>
      <c r="D46" s="19" t="s">
        <v>48</v>
      </c>
      <c r="E46" s="19" t="s">
        <v>49</v>
      </c>
      <c r="F46" s="19" t="s">
        <v>50</v>
      </c>
      <c r="G46" s="19" t="s">
        <v>51</v>
      </c>
      <c r="H46" s="19" t="s">
        <v>52</v>
      </c>
      <c r="I46" s="19" t="s">
        <v>53</v>
      </c>
      <c r="J46" s="19" t="s">
        <v>54</v>
      </c>
      <c r="K46" s="19" t="s">
        <v>55</v>
      </c>
      <c r="L46" s="19" t="s">
        <v>56</v>
      </c>
      <c r="M46" s="19" t="s">
        <v>57</v>
      </c>
      <c r="N46" s="19" t="s">
        <v>58</v>
      </c>
      <c r="O46" s="19" t="s">
        <v>59</v>
      </c>
      <c r="P46" s="19" t="s">
        <v>60</v>
      </c>
      <c r="Q46" s="19" t="s">
        <v>28</v>
      </c>
      <c r="R46" s="19" t="s">
        <v>29</v>
      </c>
      <c r="S46" s="19" t="s">
        <v>61</v>
      </c>
      <c r="T46" s="19" t="s">
        <v>62</v>
      </c>
      <c r="U46" s="19" t="s">
        <v>63</v>
      </c>
      <c r="V46" s="19" t="s">
        <v>64</v>
      </c>
      <c r="W46" s="19" t="s">
        <v>65</v>
      </c>
      <c r="X46" s="19" t="s">
        <v>66</v>
      </c>
      <c r="Y46" s="19" t="s">
        <v>67</v>
      </c>
      <c r="Z46" s="19" t="s">
        <v>68</v>
      </c>
      <c r="AA46" s="19" t="s">
        <v>69</v>
      </c>
      <c r="AB46" s="19" t="s">
        <v>70</v>
      </c>
      <c r="AC46" s="19" t="s">
        <v>71</v>
      </c>
      <c r="AD46" s="19" t="s">
        <v>72</v>
      </c>
      <c r="AE46" s="19" t="s">
        <v>73</v>
      </c>
      <c r="AF46" s="19" t="s">
        <v>74</v>
      </c>
    </row>
    <row r="47" spans="1:40">
      <c r="A47" s="17" t="s">
        <v>45</v>
      </c>
      <c r="B47" s="42">
        <v>968000000</v>
      </c>
      <c r="C47" s="43">
        <v>10730</v>
      </c>
      <c r="D47" s="42">
        <v>4283185840</v>
      </c>
      <c r="E47" s="42">
        <v>257000000</v>
      </c>
      <c r="F47" s="42">
        <v>174000000</v>
      </c>
      <c r="G47" s="42">
        <v>151000000</v>
      </c>
      <c r="H47" s="42">
        <v>115000000</v>
      </c>
      <c r="I47" s="42">
        <v>100000000</v>
      </c>
      <c r="J47" s="42">
        <v>95000000</v>
      </c>
      <c r="K47" s="42">
        <v>23000000</v>
      </c>
      <c r="L47" s="42">
        <v>38000000</v>
      </c>
      <c r="M47" s="42">
        <v>11000000</v>
      </c>
      <c r="N47" s="42">
        <v>88000000</v>
      </c>
      <c r="O47" s="42">
        <v>87000000</v>
      </c>
      <c r="P47" s="42">
        <v>44000000</v>
      </c>
      <c r="Q47" s="42">
        <v>40000000</v>
      </c>
      <c r="R47" s="42">
        <v>-61000000</v>
      </c>
      <c r="S47" s="42">
        <v>56000000</v>
      </c>
      <c r="T47" s="43">
        <v>7385</v>
      </c>
      <c r="U47" s="43">
        <v>3279</v>
      </c>
      <c r="V47" s="43">
        <v>66</v>
      </c>
      <c r="W47" s="43">
        <v>49852</v>
      </c>
      <c r="X47" s="44">
        <v>21792</v>
      </c>
      <c r="Y47" s="43">
        <v>976</v>
      </c>
      <c r="Z47" s="43">
        <v>1555</v>
      </c>
      <c r="AA47" s="43">
        <v>2415</v>
      </c>
      <c r="AB47" s="43">
        <v>3467</v>
      </c>
      <c r="AC47" s="43">
        <v>1894</v>
      </c>
      <c r="AD47" s="43">
        <v>465</v>
      </c>
      <c r="AE47" s="43">
        <v>730</v>
      </c>
      <c r="AF47" s="43">
        <v>100</v>
      </c>
    </row>
    <row r="48" spans="1:40">
      <c r="A48" s="17" t="s">
        <v>46</v>
      </c>
      <c r="B48" s="42">
        <v>913207547</v>
      </c>
      <c r="C48" s="43">
        <v>10123</v>
      </c>
      <c r="D48" s="42">
        <v>3866240090</v>
      </c>
      <c r="E48" s="42">
        <v>267708000</v>
      </c>
      <c r="F48" s="42">
        <v>141462000</v>
      </c>
      <c r="G48" s="42">
        <v>129059000</v>
      </c>
      <c r="H48" s="42">
        <v>113861000</v>
      </c>
      <c r="I48" s="42">
        <v>95238000</v>
      </c>
      <c r="J48" s="42">
        <v>83333333</v>
      </c>
      <c r="K48" s="42">
        <v>17960000</v>
      </c>
      <c r="L48" s="42">
        <v>45238000</v>
      </c>
      <c r="M48" s="42">
        <v>14017090</v>
      </c>
      <c r="N48" s="42">
        <v>79279000</v>
      </c>
      <c r="O48" s="42">
        <v>71311000</v>
      </c>
      <c r="P48" s="42">
        <v>32352900</v>
      </c>
      <c r="Q48" s="42">
        <v>38830000</v>
      </c>
      <c r="R48" s="42">
        <v>-57000000</v>
      </c>
      <c r="S48" s="42">
        <v>88000000</v>
      </c>
      <c r="T48" s="43">
        <v>6967</v>
      </c>
      <c r="U48" s="43">
        <v>3123</v>
      </c>
      <c r="V48" s="43">
        <v>57</v>
      </c>
      <c r="W48" s="43">
        <v>45508</v>
      </c>
      <c r="X48">
        <v>18879</v>
      </c>
      <c r="Y48" s="43">
        <v>904</v>
      </c>
      <c r="Z48" s="43">
        <v>1413</v>
      </c>
      <c r="AA48" s="43">
        <v>2236</v>
      </c>
      <c r="AB48" s="43">
        <v>3465</v>
      </c>
      <c r="AC48" s="44">
        <v>1787</v>
      </c>
      <c r="AD48" s="43">
        <v>442</v>
      </c>
      <c r="AE48" s="43">
        <v>635</v>
      </c>
      <c r="AF48" s="43">
        <v>92</v>
      </c>
    </row>
    <row r="49" spans="1:40">
      <c r="A49" s="17" t="s">
        <v>47</v>
      </c>
      <c r="B49" s="42">
        <v>958000000</v>
      </c>
      <c r="C49" s="43">
        <v>11041</v>
      </c>
      <c r="D49" s="42">
        <v>4300561798</v>
      </c>
      <c r="E49" s="42">
        <v>225000000</v>
      </c>
      <c r="F49" s="42">
        <v>174500000</v>
      </c>
      <c r="G49" s="42">
        <v>145000000</v>
      </c>
      <c r="H49" s="42">
        <v>117000000</v>
      </c>
      <c r="I49" s="42">
        <v>102000000</v>
      </c>
      <c r="J49" s="42">
        <v>94000000</v>
      </c>
      <c r="K49" s="42">
        <v>32000000</v>
      </c>
      <c r="L49" s="42">
        <v>45000000</v>
      </c>
      <c r="M49" s="42">
        <v>14000000</v>
      </c>
      <c r="N49" s="42">
        <v>87000000</v>
      </c>
      <c r="O49" s="42">
        <v>84000000</v>
      </c>
      <c r="P49" s="42">
        <v>45000000</v>
      </c>
      <c r="Q49" s="42">
        <v>46000000</v>
      </c>
      <c r="R49" s="42">
        <v>-55000000</v>
      </c>
      <c r="S49" s="42">
        <v>18000000</v>
      </c>
      <c r="T49" s="43">
        <v>7585</v>
      </c>
      <c r="U49" s="43">
        <v>3379</v>
      </c>
      <c r="V49" s="43">
        <v>77</v>
      </c>
      <c r="W49" s="43">
        <v>50000</v>
      </c>
      <c r="X49" s="43">
        <v>21800</v>
      </c>
      <c r="Y49" s="43">
        <v>970</v>
      </c>
      <c r="Z49" s="44" t="s">
        <v>2</v>
      </c>
      <c r="AA49" s="44" t="s">
        <v>2</v>
      </c>
      <c r="AB49" s="44" t="s">
        <v>2</v>
      </c>
      <c r="AC49" s="44" t="s">
        <v>2</v>
      </c>
      <c r="AD49" s="44" t="s">
        <v>2</v>
      </c>
      <c r="AE49" s="44" t="s">
        <v>2</v>
      </c>
      <c r="AF49" s="44" t="s">
        <v>2</v>
      </c>
    </row>
    <row r="50" spans="1:4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1:40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1:40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 spans="1:40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 spans="1:40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1:40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1:40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 spans="1:40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1:40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 spans="1:40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1:40">
      <c r="B60" s="18"/>
      <c r="C60" s="18"/>
    </row>
    <row r="62" spans="1:40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AI62" s="3"/>
      <c r="AJ62" s="3"/>
      <c r="AK62" s="3"/>
      <c r="AL62" s="3"/>
      <c r="AM62" s="3"/>
      <c r="AN62" s="3"/>
    </row>
    <row r="63" spans="1:40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 spans="1:40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 spans="1:40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40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1:40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1:40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1:40">
      <c r="B69" s="18"/>
      <c r="C69" s="18"/>
    </row>
    <row r="70" spans="1:4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spans="1:40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 spans="1:40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1:40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AI73" s="3"/>
      <c r="AJ73" s="3"/>
      <c r="AK73" s="3"/>
      <c r="AL73" s="3"/>
      <c r="AM73" s="3"/>
      <c r="AN73" s="3"/>
    </row>
    <row r="74" spans="1:40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 spans="1:40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 spans="1:40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 spans="1:40">
      <c r="B77" s="18"/>
      <c r="C77" s="18"/>
    </row>
  </sheetData>
  <mergeCells count="6">
    <mergeCell ref="A45:N45"/>
    <mergeCell ref="A1:N1"/>
    <mergeCell ref="A7:N7"/>
    <mergeCell ref="A18:N18"/>
    <mergeCell ref="A28:N28"/>
    <mergeCell ref="A37:N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2015-11-30T00:41:56Z</dcterms:created>
  <dcterms:modified xsi:type="dcterms:W3CDTF">2015-12-17T21:48:08Z</dcterms:modified>
</cp:coreProperties>
</file>