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80" yWindow="2180" windowWidth="26000" windowHeight="9960" tabRatio="500"/>
  </bookViews>
  <sheets>
    <sheet name="P4" sheetId="1" r:id="rId1"/>
    <sheet name="Dummy Tree" sheetId="2" r:id="rId2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D8" i="2"/>
  <c r="E10" i="2"/>
  <c r="E12" i="2"/>
  <c r="D10" i="2"/>
  <c r="D12" i="2"/>
  <c r="C12" i="2"/>
  <c r="B12" i="2"/>
  <c r="E11" i="2"/>
  <c r="D11" i="2"/>
  <c r="C11" i="2"/>
  <c r="B11" i="2"/>
  <c r="C10" i="2"/>
  <c r="B10" i="2"/>
  <c r="C8" i="2"/>
  <c r="B8" i="2"/>
  <c r="B2" i="2"/>
  <c r="E6" i="2"/>
  <c r="D6" i="2"/>
  <c r="C6" i="2"/>
  <c r="B6" i="2"/>
  <c r="H36" i="1"/>
  <c r="F36" i="1"/>
  <c r="D33" i="1"/>
  <c r="B32" i="1"/>
  <c r="B43" i="1"/>
  <c r="B47" i="1"/>
  <c r="C32" i="1"/>
  <c r="D32" i="1"/>
  <c r="E32" i="1"/>
  <c r="F32" i="1"/>
  <c r="G32" i="1"/>
  <c r="H32" i="1"/>
  <c r="I32" i="1"/>
  <c r="J32" i="1"/>
  <c r="K32" i="1"/>
  <c r="L32" i="1"/>
  <c r="M32" i="1"/>
  <c r="N3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B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B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B39" i="1"/>
  <c r="AF38" i="1"/>
  <c r="AG38" i="1"/>
  <c r="AH38" i="1"/>
  <c r="AI38" i="1"/>
  <c r="AJ38" i="1"/>
  <c r="AK38" i="1"/>
  <c r="AL38" i="1"/>
  <c r="AM38" i="1"/>
  <c r="AN38" i="1"/>
  <c r="C31" i="1"/>
  <c r="D31" i="1"/>
  <c r="E31" i="1"/>
  <c r="F31" i="1"/>
  <c r="G31" i="1"/>
  <c r="H31" i="1"/>
  <c r="I31" i="1"/>
  <c r="J31" i="1"/>
  <c r="K31" i="1"/>
  <c r="L31" i="1"/>
  <c r="M31" i="1"/>
  <c r="N31" i="1"/>
  <c r="B31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25" i="1"/>
  <c r="B25" i="1"/>
  <c r="B33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B49" i="1"/>
  <c r="B50" i="1"/>
  <c r="B51" i="1"/>
  <c r="B52" i="1"/>
  <c r="B53" i="1"/>
  <c r="B54" i="1"/>
  <c r="B55" i="1"/>
  <c r="B56" i="1"/>
  <c r="B57" i="1"/>
  <c r="B58" i="1"/>
  <c r="D58" i="1"/>
  <c r="D57" i="1"/>
  <c r="D56" i="1"/>
  <c r="D55" i="1"/>
  <c r="D54" i="1"/>
  <c r="D53" i="1"/>
  <c r="D52" i="1"/>
  <c r="D51" i="1"/>
  <c r="D50" i="1"/>
  <c r="D49" i="1"/>
  <c r="C58" i="1"/>
  <c r="C57" i="1"/>
  <c r="C56" i="1"/>
  <c r="C55" i="1"/>
  <c r="C54" i="1"/>
  <c r="C53" i="1"/>
  <c r="C52" i="1"/>
  <c r="C51" i="1"/>
  <c r="C50" i="1"/>
  <c r="C49" i="1"/>
  <c r="A50" i="1"/>
  <c r="A51" i="1"/>
  <c r="A52" i="1"/>
  <c r="A53" i="1"/>
  <c r="A54" i="1"/>
  <c r="A55" i="1"/>
  <c r="A56" i="1"/>
  <c r="A57" i="1"/>
  <c r="A58" i="1"/>
  <c r="A49" i="1"/>
  <c r="C24" i="1"/>
  <c r="B24" i="1"/>
  <c r="C23" i="1"/>
  <c r="B23" i="1"/>
  <c r="C22" i="1"/>
  <c r="B22" i="1"/>
  <c r="C21" i="1"/>
  <c r="B21" i="1"/>
  <c r="B8" i="1"/>
  <c r="E16" i="1"/>
  <c r="D16" i="1"/>
  <c r="C16" i="1"/>
  <c r="E15" i="1"/>
  <c r="D15" i="1"/>
  <c r="C15" i="1"/>
  <c r="E14" i="1"/>
  <c r="D14" i="1"/>
  <c r="C14" i="1"/>
  <c r="D13" i="1"/>
  <c r="E13" i="1"/>
  <c r="C13" i="1"/>
  <c r="E12" i="1"/>
  <c r="D12" i="1"/>
  <c r="C12" i="1"/>
  <c r="E11" i="1"/>
  <c r="D11" i="1"/>
  <c r="E10" i="1"/>
  <c r="D10" i="1"/>
  <c r="C11" i="1"/>
  <c r="C10" i="1"/>
  <c r="B15" i="1"/>
  <c r="B16" i="1"/>
  <c r="B14" i="1"/>
  <c r="B13" i="1"/>
  <c r="B12" i="1"/>
  <c r="B10" i="1"/>
  <c r="B11" i="1"/>
  <c r="J5" i="1"/>
  <c r="J4" i="1"/>
  <c r="J3" i="1"/>
  <c r="H5" i="1"/>
  <c r="H4" i="1"/>
  <c r="H3" i="1"/>
  <c r="F5" i="1"/>
  <c r="F4" i="1"/>
  <c r="F3" i="1"/>
  <c r="D5" i="1"/>
  <c r="D4" i="1"/>
  <c r="D3" i="1"/>
  <c r="B5" i="1"/>
  <c r="B4" i="1"/>
  <c r="B3" i="1"/>
</calcChain>
</file>

<file path=xl/sharedStrings.xml><?xml version="1.0" encoding="utf-8"?>
<sst xmlns="http://schemas.openxmlformats.org/spreadsheetml/2006/main" count="230" uniqueCount="142">
  <si>
    <t>HEADLINE METRICS</t>
  </si>
  <si>
    <t>REVENUE &amp; EARNINGS BY MAJOR SERVICE AREA</t>
  </si>
  <si>
    <t>KEY METRICS</t>
  </si>
  <si>
    <t>RATES &amp; CS HEADCOUNT BY GEOGRAPHY</t>
  </si>
  <si>
    <t>TOP 10 MANAGED CLIENTS</t>
  </si>
  <si>
    <t>SOURCE DATA</t>
  </si>
  <si>
    <t>Revenue</t>
  </si>
  <si>
    <t>EBA Earnings</t>
  </si>
  <si>
    <t>Controllable Earnings</t>
  </si>
  <si>
    <t>CE Margin</t>
  </si>
  <si>
    <t>Utilization</t>
  </si>
  <si>
    <t>Current Amount</t>
  </si>
  <si>
    <t xml:space="preserve">Variance to Plan </t>
  </si>
  <si>
    <t xml:space="preserve">Variance to Prior </t>
  </si>
  <si>
    <t>Total Revenue:</t>
  </si>
  <si>
    <t>Width (%)</t>
  </si>
  <si>
    <t>Earnings</t>
  </si>
  <si>
    <t xml:space="preserve">Margin </t>
  </si>
  <si>
    <t>Height (%)</t>
  </si>
  <si>
    <t>Margin Growth (BPS)</t>
  </si>
  <si>
    <t>Revenue Growth From Prior</t>
  </si>
  <si>
    <t>A&amp;F</t>
  </si>
  <si>
    <t>Analytics</t>
  </si>
  <si>
    <t>Tech Risk</t>
  </si>
  <si>
    <t>EBA Margin/Hr YoY Growth</t>
  </si>
  <si>
    <t>CE Margin/Hr YoY Growth</t>
  </si>
  <si>
    <t>Rate/Hr YoY Growth</t>
  </si>
  <si>
    <t>CS Comp/Hr YoY Growth</t>
  </si>
  <si>
    <t>Other Bus Cost/Hr YoY Growth</t>
  </si>
  <si>
    <t>Advisory</t>
  </si>
  <si>
    <t>Firm</t>
  </si>
  <si>
    <t>ADVISORY EBA EARNINGS</t>
  </si>
  <si>
    <t>Period</t>
  </si>
  <si>
    <t>Earnings Variance to Prior</t>
  </si>
  <si>
    <t>Year</t>
  </si>
  <si>
    <t>Total YTD Variance</t>
  </si>
  <si>
    <t>US Headcount</t>
  </si>
  <si>
    <t>India Headcount</t>
  </si>
  <si>
    <t>India Rate</t>
  </si>
  <si>
    <t>Average Rate</t>
  </si>
  <si>
    <t>US Rate</t>
  </si>
  <si>
    <t>Current Period</t>
  </si>
  <si>
    <t>Advisory - Current</t>
  </si>
  <si>
    <t>Advisory: A&amp;F</t>
  </si>
  <si>
    <t>Advisory: Business Risk</t>
  </si>
  <si>
    <t>Advisory: Risk Analytics</t>
  </si>
  <si>
    <t>Advisory: Tech Risk Risk</t>
  </si>
  <si>
    <t>Revenue - Current</t>
  </si>
  <si>
    <t>Revenue - Prior</t>
  </si>
  <si>
    <t>Revenue - Plan</t>
  </si>
  <si>
    <t>EBA Earnings - Prior</t>
  </si>
  <si>
    <t>EBA Earnings - Current</t>
  </si>
  <si>
    <t>EBA Earnings - Plan</t>
  </si>
  <si>
    <t>Controllable Earnings - Current</t>
  </si>
  <si>
    <t>Controllable Earnings - Prior</t>
  </si>
  <si>
    <t>Controllable Earnings - Plan</t>
  </si>
  <si>
    <t>Client Service Hours - Current</t>
  </si>
  <si>
    <t>Client Service Hours - Prior</t>
  </si>
  <si>
    <t>Client Service Salaries - Current</t>
  </si>
  <si>
    <t>Client Service Salaries - Prior</t>
  </si>
  <si>
    <t>Utilization - Current</t>
  </si>
  <si>
    <t>Utilization - Prior</t>
  </si>
  <si>
    <t>Utilization - Plan</t>
  </si>
  <si>
    <t>N/A</t>
  </si>
  <si>
    <t>Other Business Costs - Current</t>
  </si>
  <si>
    <t>Other Business Costs - Prior</t>
  </si>
  <si>
    <t>Client Name</t>
  </si>
  <si>
    <t>GCM</t>
  </si>
  <si>
    <t>YoY Revenue Growth</t>
  </si>
  <si>
    <t>CLIENT DATA</t>
  </si>
  <si>
    <t>Client Rank (Revenue)</t>
  </si>
  <si>
    <t>Client Revenue - Current</t>
  </si>
  <si>
    <t>Client Revenue - Prior</t>
  </si>
  <si>
    <t>Client GCM ($) - Current</t>
  </si>
  <si>
    <t xml:space="preserve">Citigroup, Inc. </t>
  </si>
  <si>
    <t>Wells Fargo &amp; Company</t>
  </si>
  <si>
    <t>US Dept. of HUD</t>
  </si>
  <si>
    <t>US Dept. of Justice</t>
  </si>
  <si>
    <t xml:space="preserve">US Postal Service </t>
  </si>
  <si>
    <t>Exelon Corp.</t>
  </si>
  <si>
    <t>Bank of American Corp.</t>
  </si>
  <si>
    <t xml:space="preserve">UBS Americas, Inc. </t>
  </si>
  <si>
    <t xml:space="preserve">Wal-Mart Stores, Inc. </t>
  </si>
  <si>
    <t>US Federal ICE</t>
  </si>
  <si>
    <t>Max of Scale:</t>
  </si>
  <si>
    <t>Current Year</t>
  </si>
  <si>
    <t>FY16</t>
  </si>
  <si>
    <t>SERIES DATA</t>
  </si>
  <si>
    <t>Current Period -1</t>
  </si>
  <si>
    <t>Current Period -2</t>
  </si>
  <si>
    <t>Current Period -3</t>
  </si>
  <si>
    <t>Current Period -4</t>
  </si>
  <si>
    <t>Current Period -5</t>
  </si>
  <si>
    <t>Current Period -6</t>
  </si>
  <si>
    <t>Current Period -7</t>
  </si>
  <si>
    <t>Current Period -8</t>
  </si>
  <si>
    <t>Current Period -9</t>
  </si>
  <si>
    <t>Current Period -10</t>
  </si>
  <si>
    <t>Current Period -11</t>
  </si>
  <si>
    <t>Current Period -12</t>
  </si>
  <si>
    <t>Current Period -13</t>
  </si>
  <si>
    <t>Current Period -14</t>
  </si>
  <si>
    <t>Current Period -15</t>
  </si>
  <si>
    <t>Current Period -16</t>
  </si>
  <si>
    <t>Current Period -17</t>
  </si>
  <si>
    <t>Current Period -18</t>
  </si>
  <si>
    <t>Current Period -19</t>
  </si>
  <si>
    <t>Current Period -20</t>
  </si>
  <si>
    <t xml:space="preserve">Current Period </t>
  </si>
  <si>
    <t>Current Period -21</t>
  </si>
  <si>
    <t>Current Period -22</t>
  </si>
  <si>
    <t>Current Period -23</t>
  </si>
  <si>
    <t>Current Period -24</t>
  </si>
  <si>
    <t>Current Period -25</t>
  </si>
  <si>
    <t>Current Period -26</t>
  </si>
  <si>
    <t>Current Period -27</t>
  </si>
  <si>
    <t>Current Period -28</t>
  </si>
  <si>
    <t>Current Period -29</t>
  </si>
  <si>
    <t>Current Period -30</t>
  </si>
  <si>
    <t>Current Period -31</t>
  </si>
  <si>
    <t>Current Period -32</t>
  </si>
  <si>
    <t>Current Period -33</t>
  </si>
  <si>
    <t>Current Period -34</t>
  </si>
  <si>
    <t>Current Period -35</t>
  </si>
  <si>
    <t>Current Period -36</t>
  </si>
  <si>
    <t>Current Period -37</t>
  </si>
  <si>
    <t>Current Period -38</t>
  </si>
  <si>
    <t>CS Headcount - Total</t>
  </si>
  <si>
    <t>CS Headcount - US</t>
  </si>
  <si>
    <t>CS Headcount - India</t>
  </si>
  <si>
    <t>Rate - Total</t>
  </si>
  <si>
    <t>Rate - US</t>
  </si>
  <si>
    <t>Rate - India</t>
  </si>
  <si>
    <t>FY15</t>
  </si>
  <si>
    <t>EBA Earnings - Total Advisory</t>
  </si>
  <si>
    <t xml:space="preserve">                              
                             </t>
  </si>
  <si>
    <t>FY13</t>
  </si>
  <si>
    <t>Height (% of Max)</t>
  </si>
  <si>
    <t>Height of Total Variance</t>
  </si>
  <si>
    <t>Left Y Axis (Headcount) Max:</t>
  </si>
  <si>
    <t>Right Y Axis (Rate) Max:</t>
  </si>
  <si>
    <t>Bus.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</si>
</sst>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44" fontId="0" fillId="0" borderId="0" xfId="0" applyNumberFormat="1" applyBorder="1"/>
    <xf numFmtId="10" fontId="0" fillId="0" borderId="0" xfId="2" applyNumberFormat="1" applyFont="1" applyBorder="1"/>
    <xf numFmtId="164" fontId="0" fillId="0" borderId="0" xfId="0" applyNumberFormat="1" applyBorder="1"/>
    <xf numFmtId="1" fontId="0" fillId="0" borderId="0" xfId="2" applyNumberFormat="1" applyFont="1" applyBorder="1"/>
    <xf numFmtId="0" fontId="2" fillId="0" borderId="6" xfId="0" applyFont="1" applyBorder="1"/>
    <xf numFmtId="164" fontId="0" fillId="0" borderId="7" xfId="2" applyNumberFormat="1" applyFont="1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2" fillId="3" borderId="4" xfId="0" applyFont="1" applyFill="1" applyBorder="1"/>
    <xf numFmtId="44" fontId="0" fillId="3" borderId="0" xfId="0" applyNumberFormat="1" applyFill="1" applyBorder="1"/>
    <xf numFmtId="9" fontId="0" fillId="0" borderId="0" xfId="2" applyNumberFormat="1" applyFont="1" applyBorder="1"/>
    <xf numFmtId="9" fontId="0" fillId="0" borderId="0" xfId="2" applyFont="1" applyBorder="1"/>
    <xf numFmtId="1" fontId="0" fillId="0" borderId="0" xfId="0" applyNumberFormat="1" applyBorder="1"/>
    <xf numFmtId="10" fontId="0" fillId="0" borderId="7" xfId="2" applyNumberFormat="1" applyFont="1" applyBorder="1"/>
    <xf numFmtId="164" fontId="0" fillId="0" borderId="0" xfId="2" applyNumberFormat="1" applyFont="1" applyBorder="1"/>
    <xf numFmtId="0" fontId="2" fillId="2" borderId="0" xfId="0" applyFont="1" applyFill="1"/>
    <xf numFmtId="44" fontId="5" fillId="4" borderId="0" xfId="1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 wrapText="1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44" fontId="0" fillId="0" borderId="5" xfId="0" applyNumberFormat="1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164" fontId="0" fillId="0" borderId="5" xfId="2" applyNumberFormat="1" applyFont="1" applyBorder="1"/>
    <xf numFmtId="164" fontId="0" fillId="0" borderId="8" xfId="2" applyNumberFormat="1" applyFont="1" applyBorder="1"/>
    <xf numFmtId="0" fontId="2" fillId="3" borderId="9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0" fontId="0" fillId="3" borderId="11" xfId="0" applyFill="1" applyBorder="1"/>
    <xf numFmtId="0" fontId="2" fillId="0" borderId="5" xfId="0" applyFont="1" applyBorder="1"/>
    <xf numFmtId="44" fontId="0" fillId="0" borderId="7" xfId="0" applyNumberFormat="1" applyBorder="1"/>
    <xf numFmtId="44" fontId="0" fillId="0" borderId="8" xfId="0" applyNumberFormat="1" applyBorder="1"/>
    <xf numFmtId="44" fontId="0" fillId="3" borderId="0" xfId="0" applyNumberFormat="1" applyFill="1"/>
    <xf numFmtId="44" fontId="0" fillId="3" borderId="10" xfId="1" applyFont="1" applyFill="1" applyBorder="1"/>
    <xf numFmtId="9" fontId="0" fillId="3" borderId="11" xfId="2" applyFont="1" applyFill="1" applyBorder="1"/>
    <xf numFmtId="44" fontId="0" fillId="3" borderId="11" xfId="1" applyFont="1" applyFill="1" applyBorder="1"/>
    <xf numFmtId="1" fontId="0" fillId="0" borderId="0" xfId="0" applyNumberFormat="1"/>
    <xf numFmtId="164" fontId="0" fillId="0" borderId="0" xfId="2" applyNumberFormat="1" applyFont="1"/>
    <xf numFmtId="0" fontId="2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56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Normal" xfId="0" builtinId="0"/>
    <cellStyle name="Normal 2" xfId="173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5"/>
  <sheetViews>
    <sheetView tabSelected="1" workbookViewId="0">
      <selection activeCell="B101" sqref="B101"/>
    </sheetView>
  </sheetViews>
  <sheetFormatPr baseColWidth="10" defaultRowHeight="15" x14ac:dyDescent="0"/>
  <cols>
    <col min="1" max="1" width="26.6640625" customWidth="1"/>
    <col min="2" max="2" width="20.6640625" customWidth="1"/>
    <col min="3" max="3" width="23.1640625" customWidth="1"/>
    <col min="4" max="4" width="23.33203125" customWidth="1"/>
    <col min="5" max="5" width="26.5" customWidth="1"/>
    <col min="6" max="6" width="19.6640625" customWidth="1"/>
    <col min="7" max="7" width="22.33203125" customWidth="1"/>
    <col min="8" max="8" width="28.5" customWidth="1"/>
    <col min="9" max="9" width="28" customWidth="1"/>
    <col min="10" max="10" width="24.33203125" customWidth="1"/>
    <col min="11" max="11" width="19.83203125" customWidth="1"/>
    <col min="12" max="12" width="22.1640625" customWidth="1"/>
    <col min="13" max="13" width="21" customWidth="1"/>
    <col min="14" max="14" width="17.5" customWidth="1"/>
    <col min="15" max="15" width="18" customWidth="1"/>
    <col min="16" max="16" width="20.1640625" customWidth="1"/>
    <col min="17" max="17" width="18.6640625" customWidth="1"/>
    <col min="18" max="18" width="24.83203125" customWidth="1"/>
    <col min="19" max="19" width="17.33203125" customWidth="1"/>
    <col min="20" max="20" width="19.1640625" customWidth="1"/>
    <col min="21" max="32" width="16.1640625" bestFit="1" customWidth="1"/>
    <col min="33" max="33" width="17.33203125" customWidth="1"/>
    <col min="34" max="34" width="17.1640625" customWidth="1"/>
    <col min="35" max="35" width="17.5" customWidth="1"/>
    <col min="36" max="36" width="19.33203125" customWidth="1"/>
    <col min="37" max="37" width="18.1640625" customWidth="1"/>
    <col min="38" max="38" width="16.5" customWidth="1"/>
    <col min="39" max="39" width="16.33203125" customWidth="1"/>
    <col min="40" max="40" width="16.1640625" customWidth="1"/>
  </cols>
  <sheetData>
    <row r="1" spans="1:13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>
      <c r="A2" s="9"/>
      <c r="B2" s="10" t="s">
        <v>6</v>
      </c>
      <c r="C2" s="11"/>
      <c r="D2" s="10" t="s">
        <v>7</v>
      </c>
      <c r="E2" s="11"/>
      <c r="F2" s="10" t="s">
        <v>8</v>
      </c>
      <c r="G2" s="11"/>
      <c r="H2" s="10" t="s">
        <v>9</v>
      </c>
      <c r="I2" s="11"/>
      <c r="J2" s="10" t="s">
        <v>10</v>
      </c>
      <c r="K2" s="11"/>
      <c r="L2" s="11"/>
      <c r="M2" s="12"/>
    </row>
    <row r="3" spans="1:13">
      <c r="A3" s="13" t="s">
        <v>11</v>
      </c>
      <c r="B3" s="14">
        <f>ROUND(B64,-6)</f>
        <v>795000000</v>
      </c>
      <c r="C3" s="11"/>
      <c r="D3" s="14">
        <f>ROUND(E64,-6)</f>
        <v>363000000</v>
      </c>
      <c r="E3" s="11"/>
      <c r="F3" s="14">
        <f>ROUND(H64,-6)</f>
        <v>261000000</v>
      </c>
      <c r="G3" s="11"/>
      <c r="H3" s="29">
        <f>H64/B64</f>
        <v>0.32831769783151682</v>
      </c>
      <c r="I3" s="15"/>
      <c r="J3" s="16">
        <f>K64</f>
        <v>0.68700000000000006</v>
      </c>
      <c r="K3" s="11"/>
      <c r="L3" s="11"/>
      <c r="M3" s="12"/>
    </row>
    <row r="4" spans="1:13">
      <c r="A4" s="13" t="s">
        <v>12</v>
      </c>
      <c r="B4" s="14">
        <f>ROUND(B64-D64,-6)</f>
        <v>19000000</v>
      </c>
      <c r="C4" s="11"/>
      <c r="D4" s="14">
        <f>ROUND(E64-G64,-6)</f>
        <v>18000000</v>
      </c>
      <c r="E4" s="11"/>
      <c r="F4" s="14">
        <f>ROUND(H64-J64,-6)</f>
        <v>22000000</v>
      </c>
      <c r="G4" s="11"/>
      <c r="H4" s="17">
        <f>((H64/B64)-(J64/D64))*10000</f>
        <v>206.41992221100747</v>
      </c>
      <c r="I4" s="11"/>
      <c r="J4" s="11">
        <f>(K64-M64)*10000</f>
        <v>27.000000000000355</v>
      </c>
      <c r="K4" s="11"/>
      <c r="L4" s="11"/>
      <c r="M4" s="12"/>
    </row>
    <row r="5" spans="1:13">
      <c r="A5" s="18" t="s">
        <v>13</v>
      </c>
      <c r="B5" s="19">
        <f>B64/C64-1</f>
        <v>0.16904317663701396</v>
      </c>
      <c r="C5" s="20"/>
      <c r="D5" s="19">
        <f>E64/F64-1</f>
        <v>0.15970648307459245</v>
      </c>
      <c r="E5" s="20"/>
      <c r="F5" s="19">
        <f>H64/I64-1</f>
        <v>0.16128758603627569</v>
      </c>
      <c r="G5" s="20"/>
      <c r="H5" s="21">
        <f>((H64/B64)-(I64/C64))*10000</f>
        <v>-21.926503666926944</v>
      </c>
      <c r="I5" s="20"/>
      <c r="J5" s="20">
        <f>(K64-L64)*10000</f>
        <v>80.000000000000071</v>
      </c>
      <c r="K5" s="20"/>
      <c r="L5" s="20"/>
      <c r="M5" s="22"/>
    </row>
    <row r="7" spans="1:13">
      <c r="A7" s="59" t="s">
        <v>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1"/>
    </row>
    <row r="8" spans="1:13">
      <c r="A8" s="23" t="s">
        <v>14</v>
      </c>
      <c r="B8" s="24">
        <f>ROUND(B64,-6)</f>
        <v>795000000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>
      <c r="A9" s="9"/>
      <c r="B9" s="10" t="s">
        <v>21</v>
      </c>
      <c r="C9" s="10" t="s">
        <v>22</v>
      </c>
      <c r="D9" s="10" t="s">
        <v>141</v>
      </c>
      <c r="E9" s="10" t="s">
        <v>23</v>
      </c>
      <c r="F9" s="11"/>
      <c r="G9" s="11"/>
      <c r="H9" s="11"/>
      <c r="I9" s="11"/>
      <c r="J9" s="11"/>
      <c r="K9" s="11"/>
      <c r="L9" s="11"/>
      <c r="M9" s="12"/>
    </row>
    <row r="10" spans="1:13">
      <c r="A10" s="13" t="s">
        <v>6</v>
      </c>
      <c r="B10" s="14">
        <f>ROUND(B65,-6)</f>
        <v>195000000</v>
      </c>
      <c r="C10" s="14">
        <f>ROUND(B66, -6)</f>
        <v>101000000</v>
      </c>
      <c r="D10" s="14">
        <f>ROUND(B67, -6)</f>
        <v>249000000</v>
      </c>
      <c r="E10" s="14">
        <f>ROUND(B68, -6)</f>
        <v>233000000</v>
      </c>
      <c r="F10" s="11"/>
      <c r="G10" s="11"/>
      <c r="H10" s="11"/>
      <c r="I10" s="11"/>
      <c r="J10" s="11"/>
      <c r="K10" s="11"/>
      <c r="L10" s="11"/>
      <c r="M10" s="12"/>
    </row>
    <row r="11" spans="1:13">
      <c r="A11" s="13" t="s">
        <v>20</v>
      </c>
      <c r="B11" s="25">
        <f>B65/C65-1</f>
        <v>0.12618429649963137</v>
      </c>
      <c r="C11" s="25">
        <f>B66/C66-1</f>
        <v>0.29359405194501598</v>
      </c>
      <c r="D11" s="25">
        <f>B67/C67-1</f>
        <v>0.10537769873398428</v>
      </c>
      <c r="E11" s="26">
        <f>B68/C68-1</f>
        <v>0.19992697018023375</v>
      </c>
      <c r="F11" s="11"/>
      <c r="G11" s="11"/>
      <c r="H11" s="11"/>
      <c r="I11" s="11"/>
      <c r="J11" s="11"/>
      <c r="K11" s="11"/>
      <c r="L11" s="11"/>
      <c r="M11" s="12"/>
    </row>
    <row r="12" spans="1:13">
      <c r="A12" s="13" t="s">
        <v>15</v>
      </c>
      <c r="B12" s="15">
        <f>B65/SUM(B65:B68)</f>
        <v>0.25070790503630624</v>
      </c>
      <c r="C12" s="15">
        <f>B66/SUM(B65:B68)</f>
        <v>0.12963239274162688</v>
      </c>
      <c r="D12" s="15">
        <f>B67/SUM(B65:B68)</f>
        <v>0.32018546553661831</v>
      </c>
      <c r="E12" s="15">
        <f>B68/SUM(B65:B68)</f>
        <v>0.29947423668544859</v>
      </c>
      <c r="F12" s="11"/>
      <c r="G12" s="11"/>
      <c r="H12" s="11"/>
      <c r="I12" s="11"/>
      <c r="J12" s="11"/>
      <c r="K12" s="11"/>
      <c r="L12" s="11"/>
      <c r="M12" s="12"/>
    </row>
    <row r="13" spans="1:13">
      <c r="A13" s="13" t="s">
        <v>16</v>
      </c>
      <c r="B13" s="14">
        <f>ROUND(E65,-6)</f>
        <v>105000000</v>
      </c>
      <c r="C13" s="14">
        <f>ROUND($E66,-6)</f>
        <v>45000000</v>
      </c>
      <c r="D13" s="14">
        <f>ROUND($E67,-6)</f>
        <v>120000000</v>
      </c>
      <c r="E13" s="14">
        <f>ROUND($E68,-6)</f>
        <v>111000000</v>
      </c>
      <c r="F13" s="11"/>
      <c r="G13" s="11"/>
      <c r="H13" s="11"/>
      <c r="I13" s="11"/>
      <c r="J13" s="11"/>
      <c r="K13" s="11"/>
      <c r="L13" s="11"/>
      <c r="M13" s="12"/>
    </row>
    <row r="14" spans="1:13">
      <c r="A14" s="13" t="s">
        <v>17</v>
      </c>
      <c r="B14" s="26">
        <f>E65/B65</f>
        <v>0.53896840943784585</v>
      </c>
      <c r="C14" s="26">
        <f>$E66/$B66</f>
        <v>0.44463438920516962</v>
      </c>
      <c r="D14" s="26">
        <f>$E67/$B67</f>
        <v>0.48293203250065253</v>
      </c>
      <c r="E14" s="26">
        <f>$E68/$B68</f>
        <v>0.47693310049642107</v>
      </c>
      <c r="F14" s="11"/>
      <c r="G14" s="11"/>
      <c r="H14" s="11"/>
      <c r="I14" s="11"/>
      <c r="J14" s="11"/>
      <c r="K14" s="11"/>
      <c r="L14" s="11"/>
      <c r="M14" s="12"/>
    </row>
    <row r="15" spans="1:13">
      <c r="A15" s="13" t="s">
        <v>19</v>
      </c>
      <c r="B15" s="27">
        <f>((E65/B65)-(F65/C65))*10000</f>
        <v>96.489234251589949</v>
      </c>
      <c r="C15" s="27">
        <f>(($E66/$B66)-($F66/$C66))*10000</f>
        <v>-486.41407360305146</v>
      </c>
      <c r="D15" s="27">
        <f>(($E67/$B67)-($F67/$C67))*10000</f>
        <v>244.63622419756359</v>
      </c>
      <c r="E15" s="27">
        <f>(($E68/$B68)-($F68/$C68))*10000</f>
        <v>-166.29364733607432</v>
      </c>
      <c r="F15" s="11"/>
      <c r="G15" s="11"/>
      <c r="H15" s="11"/>
      <c r="I15" s="11"/>
      <c r="J15" s="11"/>
      <c r="K15" s="11"/>
      <c r="L15" s="11"/>
      <c r="M15" s="12"/>
    </row>
    <row r="16" spans="1:13">
      <c r="A16" s="18" t="s">
        <v>18</v>
      </c>
      <c r="B16" s="28">
        <f>E65/B65</f>
        <v>0.53896840943784585</v>
      </c>
      <c r="C16" s="28">
        <f>$E66/$B66</f>
        <v>0.44463438920516962</v>
      </c>
      <c r="D16" s="28">
        <f>$E67/$B67</f>
        <v>0.48293203250065253</v>
      </c>
      <c r="E16" s="28">
        <f>$E68/$B68</f>
        <v>0.47693310049642107</v>
      </c>
      <c r="F16" s="20"/>
      <c r="G16" s="20"/>
      <c r="H16" s="20"/>
      <c r="I16" s="20"/>
      <c r="J16" s="20"/>
      <c r="K16" s="20"/>
      <c r="L16" s="20"/>
      <c r="M16" s="22"/>
    </row>
    <row r="19" spans="1:14">
      <c r="A19" s="57" t="s">
        <v>2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1:14">
      <c r="A20" s="39"/>
      <c r="B20" s="40" t="s">
        <v>29</v>
      </c>
      <c r="C20" s="41" t="s">
        <v>30</v>
      </c>
    </row>
    <row r="21" spans="1:14">
      <c r="A21" s="13" t="s">
        <v>24</v>
      </c>
      <c r="B21" s="29">
        <f>(((E64/B64)/N64)/((F64/C64)/O64))-1</f>
        <v>-0.17749025171871136</v>
      </c>
      <c r="C21" s="42">
        <f>((E63/B63/N63)/(F63/C63/O63))-1</f>
        <v>9.4883345879898551E-2</v>
      </c>
    </row>
    <row r="22" spans="1:14">
      <c r="A22" s="13" t="s">
        <v>25</v>
      </c>
      <c r="B22" s="29">
        <f>(($H64/$B64/$N64)/($I64/$C64/$O64))-1</f>
        <v>-0.17636887090554798</v>
      </c>
      <c r="C22" s="42">
        <f>(($H63/$B63/$N63)/($I63/$C63/$O63))-1</f>
        <v>9.4883345879898551E-2</v>
      </c>
    </row>
    <row r="23" spans="1:14">
      <c r="A23" s="13" t="s">
        <v>26</v>
      </c>
      <c r="B23" s="29">
        <f>(B64/N64)/(C64/O64)-1</f>
        <v>-3.0709242439420303E-2</v>
      </c>
      <c r="C23" s="42">
        <f>(B63/N63)/(C63/O63)-1</f>
        <v>0.15850691665327821</v>
      </c>
    </row>
    <row r="24" spans="1:14">
      <c r="A24" s="13" t="s">
        <v>27</v>
      </c>
      <c r="B24" s="29">
        <f>(P64/N64)/(Q64/O64)-1</f>
        <v>-1.3474649285928786E-2</v>
      </c>
      <c r="C24" s="42">
        <f>(P63/N63)/(Q63/O63)-1</f>
        <v>0.1487439217538884</v>
      </c>
    </row>
    <row r="25" spans="1:14">
      <c r="A25" s="18" t="s">
        <v>28</v>
      </c>
      <c r="B25" s="19">
        <f>(R64/N64)/(S64/O64)-1</f>
        <v>0.13728418695891187</v>
      </c>
      <c r="C25" s="43">
        <f>(R63/N63)/(S63/O63)-1</f>
        <v>9.0417588095766499E-2</v>
      </c>
    </row>
    <row r="28" spans="1:14">
      <c r="A28" s="57" t="s">
        <v>31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1:14">
      <c r="A29" s="33" t="s">
        <v>34</v>
      </c>
      <c r="B29" s="34" t="s">
        <v>133</v>
      </c>
      <c r="C29" s="34" t="s">
        <v>133</v>
      </c>
      <c r="D29" s="34" t="s">
        <v>133</v>
      </c>
      <c r="E29" s="34" t="s">
        <v>133</v>
      </c>
      <c r="F29" s="34" t="s">
        <v>133</v>
      </c>
      <c r="G29" s="34" t="s">
        <v>133</v>
      </c>
      <c r="H29" s="34" t="s">
        <v>133</v>
      </c>
      <c r="I29" s="34" t="s">
        <v>133</v>
      </c>
      <c r="J29" s="34" t="s">
        <v>133</v>
      </c>
      <c r="K29" s="34" t="s">
        <v>86</v>
      </c>
      <c r="L29" s="34" t="s">
        <v>86</v>
      </c>
      <c r="M29" s="34" t="s">
        <v>86</v>
      </c>
      <c r="N29" s="35" t="s">
        <v>86</v>
      </c>
    </row>
    <row r="30" spans="1:14">
      <c r="A30" s="13" t="s">
        <v>32</v>
      </c>
      <c r="B30" s="11">
        <f>SUM(IF((D36+1)&lt;=13,D36+1,1))</f>
        <v>5</v>
      </c>
      <c r="C30" s="11">
        <f>SUM(IF((B30+1)&lt;=13,B30+1,1))</f>
        <v>6</v>
      </c>
      <c r="D30" s="11">
        <f t="shared" ref="D30:N30" si="0">SUM(IF((C30+1)&lt;=13,C30+1,1))</f>
        <v>7</v>
      </c>
      <c r="E30" s="11">
        <f t="shared" si="0"/>
        <v>8</v>
      </c>
      <c r="F30" s="11">
        <f t="shared" si="0"/>
        <v>9</v>
      </c>
      <c r="G30" s="11">
        <f t="shared" si="0"/>
        <v>10</v>
      </c>
      <c r="H30" s="11">
        <f t="shared" si="0"/>
        <v>11</v>
      </c>
      <c r="I30" s="11">
        <f t="shared" si="0"/>
        <v>12</v>
      </c>
      <c r="J30" s="11">
        <f t="shared" si="0"/>
        <v>13</v>
      </c>
      <c r="K30" s="11">
        <f t="shared" si="0"/>
        <v>1</v>
      </c>
      <c r="L30" s="11">
        <f t="shared" si="0"/>
        <v>2</v>
      </c>
      <c r="M30" s="11">
        <f t="shared" si="0"/>
        <v>3</v>
      </c>
      <c r="N30" s="12">
        <f t="shared" si="0"/>
        <v>4</v>
      </c>
    </row>
    <row r="31" spans="1:14">
      <c r="A31" s="13" t="s">
        <v>33</v>
      </c>
      <c r="B31" s="14">
        <f>ROUND(AB74-O74,-6)</f>
        <v>3000000</v>
      </c>
      <c r="C31" s="14">
        <f t="shared" ref="C31:N31" si="1">ROUND(AC74-P74,-6)</f>
        <v>9000000</v>
      </c>
      <c r="D31" s="14">
        <f t="shared" si="1"/>
        <v>12000000</v>
      </c>
      <c r="E31" s="14">
        <f t="shared" si="1"/>
        <v>1000000</v>
      </c>
      <c r="F31" s="14">
        <f t="shared" si="1"/>
        <v>12000000</v>
      </c>
      <c r="G31" s="14">
        <f t="shared" si="1"/>
        <v>19000000</v>
      </c>
      <c r="H31" s="14">
        <f t="shared" si="1"/>
        <v>-5000000</v>
      </c>
      <c r="I31" s="14">
        <f t="shared" si="1"/>
        <v>4000000</v>
      </c>
      <c r="J31" s="14">
        <f t="shared" si="1"/>
        <v>4000000</v>
      </c>
      <c r="K31" s="14">
        <f t="shared" si="1"/>
        <v>13000000</v>
      </c>
      <c r="L31" s="14">
        <f t="shared" si="1"/>
        <v>14000000</v>
      </c>
      <c r="M31" s="14">
        <f t="shared" si="1"/>
        <v>6000000</v>
      </c>
      <c r="N31" s="14">
        <f t="shared" si="1"/>
        <v>17000000</v>
      </c>
    </row>
    <row r="32" spans="1:14">
      <c r="A32" s="13" t="s">
        <v>137</v>
      </c>
      <c r="B32" s="26">
        <f>B31/MAX($B31:$N31)</f>
        <v>0.15789473684210525</v>
      </c>
      <c r="C32" s="26">
        <f t="shared" ref="C32:N32" si="2">C31/MAX($B31:$N31)</f>
        <v>0.47368421052631576</v>
      </c>
      <c r="D32" s="26">
        <f t="shared" si="2"/>
        <v>0.63157894736842102</v>
      </c>
      <c r="E32" s="26">
        <f t="shared" si="2"/>
        <v>5.2631578947368418E-2</v>
      </c>
      <c r="F32" s="26">
        <f t="shared" si="2"/>
        <v>0.63157894736842102</v>
      </c>
      <c r="G32" s="26">
        <f t="shared" si="2"/>
        <v>1</v>
      </c>
      <c r="H32" s="26">
        <f t="shared" si="2"/>
        <v>-0.26315789473684209</v>
      </c>
      <c r="I32" s="26">
        <f t="shared" si="2"/>
        <v>0.21052631578947367</v>
      </c>
      <c r="J32" s="26">
        <f t="shared" si="2"/>
        <v>0.21052631578947367</v>
      </c>
      <c r="K32" s="26">
        <f t="shared" si="2"/>
        <v>0.68421052631578949</v>
      </c>
      <c r="L32" s="26">
        <f t="shared" si="2"/>
        <v>0.73684210526315785</v>
      </c>
      <c r="M32" s="26">
        <f t="shared" si="2"/>
        <v>0.31578947368421051</v>
      </c>
      <c r="N32" s="26">
        <f t="shared" si="2"/>
        <v>0.89473684210526316</v>
      </c>
    </row>
    <row r="33" spans="1:40">
      <c r="A33" s="44" t="s">
        <v>35</v>
      </c>
      <c r="B33" s="52">
        <f>SUMIF(B29:N29,"FY16",B31:N31)</f>
        <v>50000000</v>
      </c>
      <c r="C33" s="46" t="s">
        <v>138</v>
      </c>
      <c r="D33" s="53">
        <f>(B33/MAX(B31:N31))/2</f>
        <v>1.3157894736842106</v>
      </c>
      <c r="E33" s="20"/>
      <c r="F33" s="20"/>
      <c r="G33" s="20"/>
      <c r="H33" s="20"/>
      <c r="I33" s="20"/>
      <c r="J33" s="20"/>
      <c r="K33" s="20"/>
      <c r="L33" s="20"/>
      <c r="M33" s="20"/>
      <c r="N33" s="22"/>
    </row>
    <row r="35" spans="1:40">
      <c r="A35" s="57" t="s">
        <v>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spans="1:40">
      <c r="A36" s="44" t="s">
        <v>85</v>
      </c>
      <c r="B36" s="45" t="s">
        <v>86</v>
      </c>
      <c r="C36" s="46" t="s">
        <v>41</v>
      </c>
      <c r="D36" s="47">
        <v>4</v>
      </c>
      <c r="E36" s="44" t="s">
        <v>139</v>
      </c>
      <c r="F36" s="45">
        <f>IF((ROUNDUP(MAX(B75:AN75)/6,-3)*6&gt;6000),((ROUNDUP(MAX(B75:AN75)/6,-3)*6)),6000)</f>
        <v>12000</v>
      </c>
      <c r="G36" s="44" t="s">
        <v>140</v>
      </c>
      <c r="H36" s="54">
        <f>IF((ROUNDUP(MAX(B43:AN43)/15,-1)*15&gt;150),((ROUNDUP(MAX(B43:AN43)/15,-1)*15)),150)</f>
        <v>300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5"/>
    </row>
    <row r="37" spans="1:40">
      <c r="A37" s="13"/>
      <c r="B37" s="58" t="s">
        <v>136</v>
      </c>
      <c r="C37" s="58"/>
      <c r="D37" s="58"/>
      <c r="E37" s="58"/>
      <c r="F37" s="58"/>
      <c r="G37" s="58"/>
      <c r="H37" s="58"/>
      <c r="I37" s="58"/>
      <c r="J37" s="58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2"/>
    </row>
    <row r="38" spans="1:40" s="2" customFormat="1">
      <c r="A38" s="13" t="s">
        <v>32</v>
      </c>
      <c r="B38" s="10">
        <f>SUM(IF((D36+1)&lt;=13,D36+1,1))</f>
        <v>5</v>
      </c>
      <c r="C38" s="10">
        <f>SUM(IF((B38+1)&lt;=13,B38+1,1))</f>
        <v>6</v>
      </c>
      <c r="D38" s="10">
        <f>SUM(IF((C38+1)&lt;=13,C38+1,1))</f>
        <v>7</v>
      </c>
      <c r="E38" s="10">
        <f t="shared" ref="E38:J38" si="3">SUM(IF((D38+1)&lt;=13,D38+1,1))</f>
        <v>8</v>
      </c>
      <c r="F38" s="10">
        <f t="shared" si="3"/>
        <v>9</v>
      </c>
      <c r="G38" s="10">
        <f t="shared" si="3"/>
        <v>10</v>
      </c>
      <c r="H38" s="10">
        <f t="shared" si="3"/>
        <v>11</v>
      </c>
      <c r="I38" s="10">
        <f t="shared" si="3"/>
        <v>12</v>
      </c>
      <c r="J38" s="10">
        <f t="shared" si="3"/>
        <v>13</v>
      </c>
      <c r="K38" s="10">
        <f>SUM(IF((J38+1)&lt;=13,J38+1,1))</f>
        <v>1</v>
      </c>
      <c r="L38" s="10">
        <f>SUM(IF((K38+1)&lt;=13,K38+1,1))</f>
        <v>2</v>
      </c>
      <c r="M38" s="10">
        <f>SUM(IF((L38+1)&lt;=13,L38+1,1))</f>
        <v>3</v>
      </c>
      <c r="N38" s="10">
        <f>SUM(IF((M38+1)&lt;=13,M38+1,1))</f>
        <v>4</v>
      </c>
      <c r="O38" s="10">
        <f t="shared" ref="O38:AN38" si="4">SUM(IF((N38+1)&lt;=13,N38+1,1))</f>
        <v>5</v>
      </c>
      <c r="P38" s="10">
        <f t="shared" si="4"/>
        <v>6</v>
      </c>
      <c r="Q38" s="10">
        <f t="shared" si="4"/>
        <v>7</v>
      </c>
      <c r="R38" s="10">
        <f t="shared" si="4"/>
        <v>8</v>
      </c>
      <c r="S38" s="10">
        <f t="shared" si="4"/>
        <v>9</v>
      </c>
      <c r="T38" s="10">
        <f t="shared" si="4"/>
        <v>10</v>
      </c>
      <c r="U38" s="10">
        <f t="shared" si="4"/>
        <v>11</v>
      </c>
      <c r="V38" s="10">
        <f t="shared" si="4"/>
        <v>12</v>
      </c>
      <c r="W38" s="10">
        <f t="shared" si="4"/>
        <v>13</v>
      </c>
      <c r="X38" s="10">
        <f t="shared" si="4"/>
        <v>1</v>
      </c>
      <c r="Y38" s="10">
        <f t="shared" si="4"/>
        <v>2</v>
      </c>
      <c r="Z38" s="10">
        <f t="shared" si="4"/>
        <v>3</v>
      </c>
      <c r="AA38" s="10">
        <f t="shared" si="4"/>
        <v>4</v>
      </c>
      <c r="AB38" s="10">
        <f t="shared" si="4"/>
        <v>5</v>
      </c>
      <c r="AC38" s="10">
        <f t="shared" si="4"/>
        <v>6</v>
      </c>
      <c r="AD38" s="10">
        <f t="shared" si="4"/>
        <v>7</v>
      </c>
      <c r="AE38" s="10">
        <f t="shared" si="4"/>
        <v>8</v>
      </c>
      <c r="AF38" s="10">
        <f t="shared" si="4"/>
        <v>9</v>
      </c>
      <c r="AG38" s="10">
        <f t="shared" si="4"/>
        <v>10</v>
      </c>
      <c r="AH38" s="10">
        <f t="shared" si="4"/>
        <v>11</v>
      </c>
      <c r="AI38" s="10">
        <f t="shared" si="4"/>
        <v>12</v>
      </c>
      <c r="AJ38" s="10">
        <f t="shared" si="4"/>
        <v>13</v>
      </c>
      <c r="AK38" s="10">
        <f t="shared" si="4"/>
        <v>1</v>
      </c>
      <c r="AL38" s="10">
        <f t="shared" si="4"/>
        <v>2</v>
      </c>
      <c r="AM38" s="10">
        <f t="shared" si="4"/>
        <v>3</v>
      </c>
      <c r="AN38" s="48">
        <f t="shared" si="4"/>
        <v>4</v>
      </c>
    </row>
    <row r="39" spans="1:40">
      <c r="A39" s="13" t="s">
        <v>37</v>
      </c>
      <c r="B39" s="11">
        <f>ROUND(B77,-1)</f>
        <v>1260</v>
      </c>
      <c r="C39" s="11">
        <f t="shared" ref="C39:AN39" si="5">ROUND(C77,-1)</f>
        <v>1270</v>
      </c>
      <c r="D39" s="11">
        <f t="shared" si="5"/>
        <v>1290</v>
      </c>
      <c r="E39" s="11">
        <f t="shared" si="5"/>
        <v>1290</v>
      </c>
      <c r="F39" s="11">
        <f t="shared" si="5"/>
        <v>1290</v>
      </c>
      <c r="G39" s="11">
        <f t="shared" si="5"/>
        <v>1270</v>
      </c>
      <c r="H39" s="11">
        <f t="shared" si="5"/>
        <v>1270</v>
      </c>
      <c r="I39" s="11">
        <f t="shared" si="5"/>
        <v>1300</v>
      </c>
      <c r="J39" s="11">
        <f t="shared" si="5"/>
        <v>1270</v>
      </c>
      <c r="K39" s="11">
        <f t="shared" si="5"/>
        <v>1290</v>
      </c>
      <c r="L39" s="11">
        <f t="shared" si="5"/>
        <v>1350</v>
      </c>
      <c r="M39" s="11">
        <f t="shared" si="5"/>
        <v>1430</v>
      </c>
      <c r="N39" s="11">
        <f t="shared" si="5"/>
        <v>1430</v>
      </c>
      <c r="O39" s="11">
        <f t="shared" si="5"/>
        <v>1430</v>
      </c>
      <c r="P39" s="11">
        <f t="shared" si="5"/>
        <v>1430</v>
      </c>
      <c r="Q39" s="11">
        <f t="shared" si="5"/>
        <v>1430</v>
      </c>
      <c r="R39" s="11">
        <f t="shared" si="5"/>
        <v>1420</v>
      </c>
      <c r="S39" s="11">
        <f t="shared" si="5"/>
        <v>1430</v>
      </c>
      <c r="T39" s="11">
        <f t="shared" si="5"/>
        <v>1420</v>
      </c>
      <c r="U39" s="11">
        <f t="shared" si="5"/>
        <v>1390</v>
      </c>
      <c r="V39" s="11">
        <f t="shared" si="5"/>
        <v>1370</v>
      </c>
      <c r="W39" s="11">
        <f t="shared" si="5"/>
        <v>1370</v>
      </c>
      <c r="X39" s="11">
        <f t="shared" si="5"/>
        <v>1440</v>
      </c>
      <c r="Y39" s="11">
        <f t="shared" si="5"/>
        <v>1520</v>
      </c>
      <c r="Z39" s="11">
        <f t="shared" si="5"/>
        <v>1590</v>
      </c>
      <c r="AA39" s="11">
        <f t="shared" si="5"/>
        <v>1640</v>
      </c>
      <c r="AB39" s="11">
        <f t="shared" si="5"/>
        <v>1640</v>
      </c>
      <c r="AC39" s="11">
        <f t="shared" si="5"/>
        <v>1660</v>
      </c>
      <c r="AD39" s="11">
        <f t="shared" si="5"/>
        <v>1660</v>
      </c>
      <c r="AE39" s="11">
        <f t="shared" si="5"/>
        <v>1670</v>
      </c>
      <c r="AF39" s="11">
        <f t="shared" si="5"/>
        <v>1690</v>
      </c>
      <c r="AG39" s="11">
        <f t="shared" si="5"/>
        <v>1760</v>
      </c>
      <c r="AH39" s="11">
        <f t="shared" si="5"/>
        <v>1650</v>
      </c>
      <c r="AI39" s="11">
        <f t="shared" si="5"/>
        <v>1640</v>
      </c>
      <c r="AJ39" s="11">
        <f t="shared" si="5"/>
        <v>1630</v>
      </c>
      <c r="AK39" s="11">
        <f t="shared" si="5"/>
        <v>1710</v>
      </c>
      <c r="AL39" s="11">
        <f t="shared" si="5"/>
        <v>1780</v>
      </c>
      <c r="AM39" s="11">
        <f t="shared" si="5"/>
        <v>1970</v>
      </c>
      <c r="AN39" s="12">
        <f t="shared" si="5"/>
        <v>2030</v>
      </c>
    </row>
    <row r="40" spans="1:40">
      <c r="A40" s="13" t="s">
        <v>36</v>
      </c>
      <c r="B40" s="11">
        <f>ROUND(B76,-1)</f>
        <v>6820</v>
      </c>
      <c r="C40" s="11">
        <f t="shared" ref="C40:AN40" si="6">ROUND(C76,-1)</f>
        <v>6850</v>
      </c>
      <c r="D40" s="11">
        <f t="shared" si="6"/>
        <v>6870</v>
      </c>
      <c r="E40" s="11">
        <f t="shared" si="6"/>
        <v>6820</v>
      </c>
      <c r="F40" s="11">
        <f t="shared" si="6"/>
        <v>6910</v>
      </c>
      <c r="G40" s="11">
        <f t="shared" si="6"/>
        <v>6830</v>
      </c>
      <c r="H40" s="11">
        <f t="shared" si="6"/>
        <v>6720</v>
      </c>
      <c r="I40" s="11">
        <f t="shared" si="6"/>
        <v>6630</v>
      </c>
      <c r="J40" s="11">
        <f t="shared" si="6"/>
        <v>6580</v>
      </c>
      <c r="K40" s="11">
        <f t="shared" si="6"/>
        <v>6650</v>
      </c>
      <c r="L40" s="11">
        <f t="shared" si="6"/>
        <v>6750</v>
      </c>
      <c r="M40" s="11">
        <f t="shared" si="6"/>
        <v>6730</v>
      </c>
      <c r="N40" s="11">
        <f t="shared" si="6"/>
        <v>6580</v>
      </c>
      <c r="O40" s="11">
        <f t="shared" si="6"/>
        <v>6750</v>
      </c>
      <c r="P40" s="11">
        <f t="shared" si="6"/>
        <v>6760</v>
      </c>
      <c r="Q40" s="11">
        <f t="shared" si="6"/>
        <v>6690</v>
      </c>
      <c r="R40" s="11">
        <f t="shared" si="6"/>
        <v>6610</v>
      </c>
      <c r="S40" s="11">
        <f t="shared" si="6"/>
        <v>6720</v>
      </c>
      <c r="T40" s="11">
        <f t="shared" si="6"/>
        <v>6650</v>
      </c>
      <c r="U40" s="11">
        <f t="shared" si="6"/>
        <v>6580</v>
      </c>
      <c r="V40" s="11">
        <f t="shared" si="6"/>
        <v>6470</v>
      </c>
      <c r="W40" s="11">
        <f t="shared" si="6"/>
        <v>6450</v>
      </c>
      <c r="X40" s="11">
        <f t="shared" si="6"/>
        <v>6550</v>
      </c>
      <c r="Y40" s="11">
        <f t="shared" si="6"/>
        <v>6720</v>
      </c>
      <c r="Z40" s="11">
        <f t="shared" si="6"/>
        <v>6730</v>
      </c>
      <c r="AA40" s="11">
        <f t="shared" si="6"/>
        <v>6730</v>
      </c>
      <c r="AB40" s="11">
        <f t="shared" si="6"/>
        <v>6970</v>
      </c>
      <c r="AC40" s="11">
        <f t="shared" si="6"/>
        <v>7050</v>
      </c>
      <c r="AD40" s="11">
        <f t="shared" si="6"/>
        <v>7080</v>
      </c>
      <c r="AE40" s="11">
        <f t="shared" si="6"/>
        <v>7050</v>
      </c>
      <c r="AF40" s="11">
        <f t="shared" si="6"/>
        <v>7220</v>
      </c>
      <c r="AG40" s="11">
        <f t="shared" si="6"/>
        <v>7230</v>
      </c>
      <c r="AH40" s="11">
        <f t="shared" si="6"/>
        <v>7220</v>
      </c>
      <c r="AI40" s="11">
        <f t="shared" si="6"/>
        <v>7180</v>
      </c>
      <c r="AJ40" s="11">
        <f t="shared" si="6"/>
        <v>7290</v>
      </c>
      <c r="AK40" s="11">
        <f t="shared" si="6"/>
        <v>7420</v>
      </c>
      <c r="AL40" s="11">
        <f t="shared" si="6"/>
        <v>7960</v>
      </c>
      <c r="AM40" s="11">
        <f t="shared" si="6"/>
        <v>8050</v>
      </c>
      <c r="AN40" s="12">
        <f t="shared" si="6"/>
        <v>8110</v>
      </c>
    </row>
    <row r="41" spans="1:40">
      <c r="A41" s="13" t="s">
        <v>38</v>
      </c>
      <c r="B41" s="14">
        <f>ROUND(B80,0)</f>
        <v>66</v>
      </c>
      <c r="C41" s="14">
        <f t="shared" ref="C41:AN41" si="7">ROUND(C80,0)</f>
        <v>64</v>
      </c>
      <c r="D41" s="14">
        <f t="shared" si="7"/>
        <v>66</v>
      </c>
      <c r="E41" s="14">
        <f t="shared" si="7"/>
        <v>65</v>
      </c>
      <c r="F41" s="14">
        <f t="shared" si="7"/>
        <v>62</v>
      </c>
      <c r="G41" s="14">
        <f t="shared" si="7"/>
        <v>71</v>
      </c>
      <c r="H41" s="14">
        <f t="shared" si="7"/>
        <v>60</v>
      </c>
      <c r="I41" s="14">
        <f t="shared" si="7"/>
        <v>60</v>
      </c>
      <c r="J41" s="14">
        <f t="shared" si="7"/>
        <v>67</v>
      </c>
      <c r="K41" s="14">
        <f t="shared" si="7"/>
        <v>65</v>
      </c>
      <c r="L41" s="14">
        <f t="shared" si="7"/>
        <v>64</v>
      </c>
      <c r="M41" s="14">
        <f t="shared" si="7"/>
        <v>69</v>
      </c>
      <c r="N41" s="14">
        <f t="shared" si="7"/>
        <v>67</v>
      </c>
      <c r="O41" s="14">
        <f t="shared" si="7"/>
        <v>70</v>
      </c>
      <c r="P41" s="14">
        <f t="shared" si="7"/>
        <v>67</v>
      </c>
      <c r="Q41" s="14">
        <f t="shared" si="7"/>
        <v>65</v>
      </c>
      <c r="R41" s="14">
        <f t="shared" si="7"/>
        <v>67</v>
      </c>
      <c r="S41" s="14">
        <f t="shared" si="7"/>
        <v>67</v>
      </c>
      <c r="T41" s="14">
        <f t="shared" si="7"/>
        <v>67</v>
      </c>
      <c r="U41" s="14">
        <f t="shared" si="7"/>
        <v>76</v>
      </c>
      <c r="V41" s="14">
        <f t="shared" si="7"/>
        <v>67</v>
      </c>
      <c r="W41" s="14">
        <f t="shared" si="7"/>
        <v>76</v>
      </c>
      <c r="X41" s="14">
        <f t="shared" si="7"/>
        <v>65</v>
      </c>
      <c r="Y41" s="14">
        <f t="shared" si="7"/>
        <v>64</v>
      </c>
      <c r="Z41" s="14">
        <f t="shared" si="7"/>
        <v>65</v>
      </c>
      <c r="AA41" s="14">
        <f t="shared" si="7"/>
        <v>64</v>
      </c>
      <c r="AB41" s="14">
        <f t="shared" si="7"/>
        <v>65</v>
      </c>
      <c r="AC41" s="14">
        <f t="shared" si="7"/>
        <v>68</v>
      </c>
      <c r="AD41" s="14">
        <f t="shared" si="7"/>
        <v>63</v>
      </c>
      <c r="AE41" s="14">
        <f t="shared" si="7"/>
        <v>65</v>
      </c>
      <c r="AF41" s="14">
        <f t="shared" si="7"/>
        <v>65</v>
      </c>
      <c r="AG41" s="14">
        <f t="shared" si="7"/>
        <v>67</v>
      </c>
      <c r="AH41" s="14">
        <f t="shared" si="7"/>
        <v>64</v>
      </c>
      <c r="AI41" s="14">
        <f t="shared" si="7"/>
        <v>67</v>
      </c>
      <c r="AJ41" s="14">
        <f t="shared" si="7"/>
        <v>69</v>
      </c>
      <c r="AK41" s="14">
        <f t="shared" si="7"/>
        <v>69</v>
      </c>
      <c r="AL41" s="14">
        <f t="shared" si="7"/>
        <v>66</v>
      </c>
      <c r="AM41" s="14">
        <f t="shared" si="7"/>
        <v>67</v>
      </c>
      <c r="AN41" s="36">
        <f t="shared" si="7"/>
        <v>61</v>
      </c>
    </row>
    <row r="42" spans="1:40">
      <c r="A42" s="13" t="s">
        <v>39</v>
      </c>
      <c r="B42" s="14">
        <f>ROUND(B78,0)</f>
        <v>185</v>
      </c>
      <c r="C42" s="14">
        <f t="shared" ref="C42:AN42" si="8">ROUND(C78,0)</f>
        <v>187</v>
      </c>
      <c r="D42" s="14">
        <f t="shared" si="8"/>
        <v>194</v>
      </c>
      <c r="E42" s="14">
        <f t="shared" si="8"/>
        <v>178</v>
      </c>
      <c r="F42" s="14">
        <f t="shared" si="8"/>
        <v>183</v>
      </c>
      <c r="G42" s="14">
        <f t="shared" si="8"/>
        <v>195</v>
      </c>
      <c r="H42" s="14">
        <f t="shared" si="8"/>
        <v>186</v>
      </c>
      <c r="I42" s="14">
        <f t="shared" si="8"/>
        <v>187</v>
      </c>
      <c r="J42" s="14">
        <f t="shared" si="8"/>
        <v>191</v>
      </c>
      <c r="K42" s="14">
        <f t="shared" si="8"/>
        <v>181</v>
      </c>
      <c r="L42" s="14">
        <f t="shared" si="8"/>
        <v>178</v>
      </c>
      <c r="M42" s="14">
        <f t="shared" si="8"/>
        <v>186</v>
      </c>
      <c r="N42" s="14">
        <f t="shared" si="8"/>
        <v>200</v>
      </c>
      <c r="O42" s="14">
        <f t="shared" si="8"/>
        <v>187</v>
      </c>
      <c r="P42" s="14">
        <f t="shared" si="8"/>
        <v>181</v>
      </c>
      <c r="Q42" s="14">
        <f t="shared" si="8"/>
        <v>199</v>
      </c>
      <c r="R42" s="14">
        <f t="shared" si="8"/>
        <v>176</v>
      </c>
      <c r="S42" s="14">
        <f t="shared" si="8"/>
        <v>176</v>
      </c>
      <c r="T42" s="14">
        <f t="shared" si="8"/>
        <v>193</v>
      </c>
      <c r="U42" s="14">
        <f t="shared" si="8"/>
        <v>192</v>
      </c>
      <c r="V42" s="14">
        <f t="shared" si="8"/>
        <v>192</v>
      </c>
      <c r="W42" s="14">
        <f t="shared" si="8"/>
        <v>213</v>
      </c>
      <c r="X42" s="14">
        <f t="shared" si="8"/>
        <v>181</v>
      </c>
      <c r="Y42" s="14">
        <f t="shared" si="8"/>
        <v>183</v>
      </c>
      <c r="Z42" s="14">
        <f t="shared" si="8"/>
        <v>188</v>
      </c>
      <c r="AA42" s="14">
        <f t="shared" si="8"/>
        <v>208</v>
      </c>
      <c r="AB42" s="14">
        <f t="shared" si="8"/>
        <v>185</v>
      </c>
      <c r="AC42" s="14">
        <f t="shared" si="8"/>
        <v>181</v>
      </c>
      <c r="AD42" s="14">
        <f t="shared" si="8"/>
        <v>205</v>
      </c>
      <c r="AE42" s="14">
        <f t="shared" si="8"/>
        <v>177</v>
      </c>
      <c r="AF42" s="14">
        <f t="shared" si="8"/>
        <v>179</v>
      </c>
      <c r="AG42" s="14">
        <f t="shared" si="8"/>
        <v>205</v>
      </c>
      <c r="AH42" s="14">
        <f t="shared" si="8"/>
        <v>181</v>
      </c>
      <c r="AI42" s="14">
        <f t="shared" si="8"/>
        <v>187</v>
      </c>
      <c r="AJ42" s="14">
        <f t="shared" si="8"/>
        <v>213</v>
      </c>
      <c r="AK42" s="14">
        <f t="shared" si="8"/>
        <v>178</v>
      </c>
      <c r="AL42" s="14">
        <f t="shared" si="8"/>
        <v>179</v>
      </c>
      <c r="AM42" s="14">
        <f t="shared" si="8"/>
        <v>176</v>
      </c>
      <c r="AN42" s="36">
        <f t="shared" si="8"/>
        <v>207</v>
      </c>
    </row>
    <row r="43" spans="1:40">
      <c r="A43" s="18" t="s">
        <v>40</v>
      </c>
      <c r="B43" s="49">
        <f>ROUND(B79,0)</f>
        <v>208</v>
      </c>
      <c r="C43" s="49">
        <f t="shared" ref="C43:AN43" si="9">ROUND(C79,0)</f>
        <v>209</v>
      </c>
      <c r="D43" s="49">
        <f t="shared" si="9"/>
        <v>220</v>
      </c>
      <c r="E43" s="49">
        <f t="shared" si="9"/>
        <v>204</v>
      </c>
      <c r="F43" s="49">
        <f t="shared" si="9"/>
        <v>208</v>
      </c>
      <c r="G43" s="49">
        <f t="shared" si="9"/>
        <v>220</v>
      </c>
      <c r="H43" s="49">
        <f t="shared" si="9"/>
        <v>212</v>
      </c>
      <c r="I43" s="49">
        <f t="shared" si="9"/>
        <v>212</v>
      </c>
      <c r="J43" s="49">
        <f t="shared" si="9"/>
        <v>220</v>
      </c>
      <c r="K43" s="49">
        <f t="shared" si="9"/>
        <v>205</v>
      </c>
      <c r="L43" s="49">
        <f t="shared" si="9"/>
        <v>203</v>
      </c>
      <c r="M43" s="49">
        <f t="shared" si="9"/>
        <v>210</v>
      </c>
      <c r="N43" s="49">
        <f t="shared" si="9"/>
        <v>233</v>
      </c>
      <c r="O43" s="49">
        <f t="shared" si="9"/>
        <v>213</v>
      </c>
      <c r="P43" s="49">
        <f t="shared" si="9"/>
        <v>207</v>
      </c>
      <c r="Q43" s="49">
        <f t="shared" si="9"/>
        <v>232</v>
      </c>
      <c r="R43" s="49">
        <f t="shared" si="9"/>
        <v>204</v>
      </c>
      <c r="S43" s="49">
        <f t="shared" si="9"/>
        <v>202</v>
      </c>
      <c r="T43" s="49">
        <f t="shared" si="9"/>
        <v>223</v>
      </c>
      <c r="U43" s="49">
        <f t="shared" si="9"/>
        <v>218</v>
      </c>
      <c r="V43" s="49">
        <f t="shared" si="9"/>
        <v>219</v>
      </c>
      <c r="W43" s="49">
        <f t="shared" si="9"/>
        <v>247</v>
      </c>
      <c r="X43" s="49">
        <f t="shared" si="9"/>
        <v>208</v>
      </c>
      <c r="Y43" s="49">
        <f t="shared" si="9"/>
        <v>213</v>
      </c>
      <c r="Z43" s="49">
        <f t="shared" si="9"/>
        <v>217</v>
      </c>
      <c r="AA43" s="49">
        <f t="shared" si="9"/>
        <v>247</v>
      </c>
      <c r="AB43" s="49">
        <f t="shared" si="9"/>
        <v>214</v>
      </c>
      <c r="AC43" s="49">
        <f t="shared" si="9"/>
        <v>208</v>
      </c>
      <c r="AD43" s="49">
        <f t="shared" si="9"/>
        <v>243</v>
      </c>
      <c r="AE43" s="49">
        <f t="shared" si="9"/>
        <v>207</v>
      </c>
      <c r="AF43" s="49">
        <f t="shared" si="9"/>
        <v>209</v>
      </c>
      <c r="AG43" s="49">
        <f t="shared" si="9"/>
        <v>238</v>
      </c>
      <c r="AH43" s="49">
        <f t="shared" si="9"/>
        <v>212</v>
      </c>
      <c r="AI43" s="49">
        <f t="shared" si="9"/>
        <v>217</v>
      </c>
      <c r="AJ43" s="49">
        <f t="shared" si="9"/>
        <v>252</v>
      </c>
      <c r="AK43" s="49">
        <f t="shared" si="9"/>
        <v>206</v>
      </c>
      <c r="AL43" s="49">
        <f t="shared" si="9"/>
        <v>208</v>
      </c>
      <c r="AM43" s="49">
        <f t="shared" si="9"/>
        <v>207</v>
      </c>
      <c r="AN43" s="50">
        <f t="shared" si="9"/>
        <v>250</v>
      </c>
    </row>
    <row r="46" spans="1:40">
      <c r="A46" s="57" t="s">
        <v>4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  <row r="47" spans="1:40" ht="14" customHeight="1">
      <c r="A47" s="3" t="s">
        <v>84</v>
      </c>
      <c r="B47" s="51">
        <f>IF((ROUNDUP(MAX(B49:B58)/30,-6)*30&gt;30000000),((ROUNDUP(MAX(B49:B58)/30,-6)*30)),3000000)</f>
        <v>60000000</v>
      </c>
      <c r="R47" s="4"/>
      <c r="S47" s="4"/>
    </row>
    <row r="48" spans="1:40">
      <c r="A48" s="2" t="s">
        <v>66</v>
      </c>
      <c r="B48" s="2" t="s">
        <v>6</v>
      </c>
      <c r="C48" s="2" t="s">
        <v>67</v>
      </c>
      <c r="D48" s="2" t="s">
        <v>68</v>
      </c>
      <c r="R48" s="5"/>
      <c r="S48" s="5"/>
    </row>
    <row r="49" spans="1:19">
      <c r="A49" t="str">
        <f t="shared" ref="A49:A58" si="10">B84</f>
        <v>Bank of American Corp.</v>
      </c>
      <c r="B49" s="8">
        <f t="shared" ref="B49:B58" si="11">ROUND(C84,-6)</f>
        <v>55000000</v>
      </c>
      <c r="C49" s="8">
        <f t="shared" ref="C49:C58" si="12">ROUND(E84,-5)</f>
        <v>33400000</v>
      </c>
      <c r="D49" s="6">
        <f t="shared" ref="D49:D58" si="13">C84/D84-1</f>
        <v>4.0789383292575181</v>
      </c>
      <c r="R49" s="5"/>
      <c r="S49" s="5"/>
    </row>
    <row r="50" spans="1:19">
      <c r="A50" t="str">
        <f t="shared" si="10"/>
        <v xml:space="preserve">Citigroup, Inc. </v>
      </c>
      <c r="B50" s="8">
        <f t="shared" si="11"/>
        <v>14000000</v>
      </c>
      <c r="C50" s="8">
        <f t="shared" si="12"/>
        <v>6300000</v>
      </c>
      <c r="D50" s="6">
        <f t="shared" si="13"/>
        <v>0.5348568030890315</v>
      </c>
    </row>
    <row r="51" spans="1:19">
      <c r="A51" t="str">
        <f t="shared" si="10"/>
        <v>Wells Fargo &amp; Company</v>
      </c>
      <c r="B51" s="8">
        <f t="shared" si="11"/>
        <v>12000000</v>
      </c>
      <c r="C51" s="8">
        <f t="shared" si="12"/>
        <v>5700000</v>
      </c>
      <c r="D51" s="6">
        <f t="shared" si="13"/>
        <v>-0.14991732366301769</v>
      </c>
    </row>
    <row r="52" spans="1:19">
      <c r="A52" t="str">
        <f t="shared" si="10"/>
        <v>US Dept. of HUD</v>
      </c>
      <c r="B52" s="8">
        <f t="shared" si="11"/>
        <v>10000000</v>
      </c>
      <c r="C52" s="8">
        <f t="shared" si="12"/>
        <v>5400000</v>
      </c>
      <c r="D52" s="6">
        <f t="shared" si="13"/>
        <v>0.3242648362013405</v>
      </c>
    </row>
    <row r="53" spans="1:19">
      <c r="A53" t="str">
        <f t="shared" si="10"/>
        <v>US Dept. of Justice</v>
      </c>
      <c r="B53" s="8">
        <f t="shared" si="11"/>
        <v>10000000</v>
      </c>
      <c r="C53" s="8">
        <f t="shared" si="12"/>
        <v>4300000</v>
      </c>
      <c r="D53" s="6">
        <f t="shared" si="13"/>
        <v>0.49349430417319073</v>
      </c>
    </row>
    <row r="54" spans="1:19">
      <c r="A54" t="str">
        <f t="shared" si="10"/>
        <v xml:space="preserve">US Postal Service </v>
      </c>
      <c r="B54" s="8">
        <f t="shared" si="11"/>
        <v>10000000</v>
      </c>
      <c r="C54" s="8">
        <f t="shared" si="12"/>
        <v>4700000</v>
      </c>
      <c r="D54" s="6">
        <f t="shared" si="13"/>
        <v>0.1705433373987415</v>
      </c>
    </row>
    <row r="55" spans="1:19">
      <c r="A55" t="str">
        <f t="shared" si="10"/>
        <v>Exelon Corp.</v>
      </c>
      <c r="B55" s="8">
        <f t="shared" si="11"/>
        <v>9000000</v>
      </c>
      <c r="C55" s="8">
        <f t="shared" si="12"/>
        <v>5500000</v>
      </c>
      <c r="D55" s="6">
        <f t="shared" si="13"/>
        <v>0.20083842715692968</v>
      </c>
    </row>
    <row r="56" spans="1:19">
      <c r="A56" t="str">
        <f t="shared" si="10"/>
        <v xml:space="preserve">UBS Americas, Inc. </v>
      </c>
      <c r="B56" s="8">
        <f t="shared" si="11"/>
        <v>8000000</v>
      </c>
      <c r="C56" s="8">
        <f t="shared" si="12"/>
        <v>5400000</v>
      </c>
      <c r="D56" s="6">
        <f t="shared" si="13"/>
        <v>6.5953553099388191</v>
      </c>
    </row>
    <row r="57" spans="1:19">
      <c r="A57" t="str">
        <f t="shared" si="10"/>
        <v xml:space="preserve">Wal-Mart Stores, Inc. </v>
      </c>
      <c r="B57" s="8">
        <f t="shared" si="11"/>
        <v>8000000</v>
      </c>
      <c r="C57" s="8">
        <f t="shared" si="12"/>
        <v>6100000</v>
      </c>
      <c r="D57" s="6">
        <f t="shared" si="13"/>
        <v>1.6867308930594249</v>
      </c>
    </row>
    <row r="58" spans="1:19">
      <c r="A58" t="str">
        <f t="shared" si="10"/>
        <v>US Federal ICE</v>
      </c>
      <c r="B58" s="8">
        <f t="shared" si="11"/>
        <v>7000000</v>
      </c>
      <c r="C58" s="8">
        <f t="shared" si="12"/>
        <v>3200000</v>
      </c>
      <c r="D58" s="6">
        <f t="shared" si="13"/>
        <v>4.0391907446621023E-2</v>
      </c>
    </row>
    <row r="60" spans="1:19">
      <c r="A60" s="57" t="s">
        <v>5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2" spans="1:19" ht="30">
      <c r="A62" s="2"/>
      <c r="B62" s="4" t="s">
        <v>47</v>
      </c>
      <c r="C62" s="4" t="s">
        <v>48</v>
      </c>
      <c r="D62" s="4" t="s">
        <v>49</v>
      </c>
      <c r="E62" s="4" t="s">
        <v>51</v>
      </c>
      <c r="F62" s="4" t="s">
        <v>50</v>
      </c>
      <c r="G62" s="4" t="s">
        <v>52</v>
      </c>
      <c r="H62" s="4" t="s">
        <v>53</v>
      </c>
      <c r="I62" s="4" t="s">
        <v>54</v>
      </c>
      <c r="J62" s="4" t="s">
        <v>55</v>
      </c>
      <c r="K62" s="4" t="s">
        <v>60</v>
      </c>
      <c r="L62" s="4" t="s">
        <v>61</v>
      </c>
      <c r="M62" s="4" t="s">
        <v>62</v>
      </c>
      <c r="N62" s="4" t="s">
        <v>56</v>
      </c>
      <c r="O62" s="4" t="s">
        <v>57</v>
      </c>
      <c r="P62" s="4" t="s">
        <v>58</v>
      </c>
      <c r="Q62" s="4" t="s">
        <v>59</v>
      </c>
      <c r="R62" s="4" t="s">
        <v>64</v>
      </c>
      <c r="S62" s="4" t="s">
        <v>65</v>
      </c>
    </row>
    <row r="63" spans="1:19">
      <c r="A63" s="2" t="s">
        <v>30</v>
      </c>
      <c r="B63" s="5">
        <v>4310648172</v>
      </c>
      <c r="C63" s="5">
        <v>3857590056</v>
      </c>
      <c r="D63" s="1" t="s">
        <v>63</v>
      </c>
      <c r="E63" s="5">
        <v>873719597</v>
      </c>
      <c r="F63" s="5">
        <v>740371767</v>
      </c>
      <c r="G63" s="1" t="s">
        <v>63</v>
      </c>
      <c r="H63" s="5">
        <v>873719597</v>
      </c>
      <c r="I63" s="5">
        <v>740371767</v>
      </c>
      <c r="J63" s="1" t="s">
        <v>63</v>
      </c>
      <c r="K63" s="1" t="s">
        <v>63</v>
      </c>
      <c r="L63" s="1" t="s">
        <v>63</v>
      </c>
      <c r="M63" s="1" t="s">
        <v>63</v>
      </c>
      <c r="N63">
        <v>27818839</v>
      </c>
      <c r="O63">
        <v>28841054</v>
      </c>
      <c r="P63" s="5">
        <v>2091494918</v>
      </c>
      <c r="Q63" s="5">
        <v>1887581507</v>
      </c>
      <c r="R63" s="5">
        <v>911198936.94999957</v>
      </c>
      <c r="S63" s="5">
        <v>866348211.38999963</v>
      </c>
    </row>
    <row r="64" spans="1:19">
      <c r="A64" s="2" t="s">
        <v>42</v>
      </c>
      <c r="B64" s="5">
        <v>795285529</v>
      </c>
      <c r="C64" s="5">
        <v>680287559</v>
      </c>
      <c r="D64" s="5">
        <v>776658851</v>
      </c>
      <c r="E64" s="5">
        <v>362942148</v>
      </c>
      <c r="F64" s="5">
        <v>312960351</v>
      </c>
      <c r="G64" s="5">
        <v>344547209</v>
      </c>
      <c r="H64" s="5">
        <v>261106314</v>
      </c>
      <c r="I64" s="5">
        <v>224842078</v>
      </c>
      <c r="J64" s="5">
        <v>238959060</v>
      </c>
      <c r="K64" s="7">
        <v>0.68700000000000006</v>
      </c>
      <c r="L64" s="7">
        <v>0.67900000000000005</v>
      </c>
      <c r="M64" s="7">
        <v>0.68430000000000002</v>
      </c>
      <c r="N64">
        <v>4290158</v>
      </c>
      <c r="O64">
        <v>3557106</v>
      </c>
      <c r="P64" s="5">
        <v>360663042</v>
      </c>
      <c r="Q64" s="5">
        <v>303121619</v>
      </c>
      <c r="R64" s="5">
        <v>38681962.890000075</v>
      </c>
      <c r="S64" s="5">
        <v>28200903.57000006</v>
      </c>
    </row>
    <row r="65" spans="1:43">
      <c r="A65" s="2" t="s">
        <v>43</v>
      </c>
      <c r="B65" s="5">
        <v>194983773</v>
      </c>
      <c r="C65" s="5">
        <v>173136647</v>
      </c>
      <c r="D65" s="1" t="s">
        <v>63</v>
      </c>
      <c r="E65" s="5">
        <v>105090094</v>
      </c>
      <c r="F65" s="5">
        <v>91644601</v>
      </c>
      <c r="G65" s="1" t="s">
        <v>63</v>
      </c>
      <c r="H65" s="5">
        <v>105090094</v>
      </c>
      <c r="I65" s="5">
        <v>91644601</v>
      </c>
      <c r="J65" s="1" t="s">
        <v>63</v>
      </c>
      <c r="K65" s="1" t="s">
        <v>63</v>
      </c>
      <c r="L65" s="1" t="s">
        <v>63</v>
      </c>
      <c r="M65" s="1" t="s">
        <v>63</v>
      </c>
      <c r="N65" s="1" t="s">
        <v>63</v>
      </c>
      <c r="O65" s="1" t="s">
        <v>63</v>
      </c>
      <c r="P65" s="1" t="s">
        <v>63</v>
      </c>
      <c r="Q65" s="1" t="s">
        <v>63</v>
      </c>
    </row>
    <row r="66" spans="1:43">
      <c r="A66" s="2" t="s">
        <v>45</v>
      </c>
      <c r="B66" s="5">
        <v>100819370</v>
      </c>
      <c r="C66" s="5">
        <v>77937410</v>
      </c>
      <c r="D66" s="1" t="s">
        <v>63</v>
      </c>
      <c r="E66" s="5">
        <v>44827759</v>
      </c>
      <c r="F66" s="5">
        <v>38444638</v>
      </c>
      <c r="G66" s="1" t="s">
        <v>63</v>
      </c>
      <c r="H66" s="5">
        <v>44827759</v>
      </c>
      <c r="I66" s="5">
        <v>38444638</v>
      </c>
      <c r="J66" s="1" t="s">
        <v>63</v>
      </c>
      <c r="K66" s="1" t="s">
        <v>63</v>
      </c>
      <c r="L66" s="1" t="s">
        <v>63</v>
      </c>
      <c r="M66" s="1" t="s">
        <v>63</v>
      </c>
      <c r="N66" s="1" t="s">
        <v>63</v>
      </c>
      <c r="O66" s="1" t="s">
        <v>63</v>
      </c>
      <c r="P66" s="1" t="s">
        <v>63</v>
      </c>
      <c r="Q66" s="1" t="s">
        <v>63</v>
      </c>
    </row>
    <row r="67" spans="1:43">
      <c r="A67" s="2" t="s">
        <v>44</v>
      </c>
      <c r="B67" s="5">
        <v>249018754</v>
      </c>
      <c r="C67" s="5">
        <v>225279336</v>
      </c>
      <c r="D67" s="1" t="s">
        <v>63</v>
      </c>
      <c r="E67" s="5">
        <v>120259133</v>
      </c>
      <c r="F67" s="5">
        <v>103283459</v>
      </c>
      <c r="G67" s="1" t="s">
        <v>63</v>
      </c>
      <c r="H67" s="5">
        <v>120259133</v>
      </c>
      <c r="I67" s="5">
        <v>103283459</v>
      </c>
      <c r="J67" s="1" t="s">
        <v>63</v>
      </c>
      <c r="K67" s="1" t="s">
        <v>63</v>
      </c>
      <c r="L67" s="1" t="s">
        <v>63</v>
      </c>
      <c r="M67" s="1" t="s">
        <v>63</v>
      </c>
      <c r="N67" s="1" t="s">
        <v>63</v>
      </c>
      <c r="O67" s="1" t="s">
        <v>63</v>
      </c>
      <c r="P67" s="1" t="s">
        <v>63</v>
      </c>
      <c r="Q67" s="1" t="s">
        <v>63</v>
      </c>
    </row>
    <row r="68" spans="1:43">
      <c r="A68" s="2" t="s">
        <v>46</v>
      </c>
      <c r="B68" s="5">
        <v>232910951</v>
      </c>
      <c r="C68" s="5">
        <v>194104272</v>
      </c>
      <c r="D68" s="1" t="s">
        <v>63</v>
      </c>
      <c r="E68" s="5">
        <v>111082942</v>
      </c>
      <c r="F68" s="5">
        <v>95802583</v>
      </c>
      <c r="G68" s="1" t="s">
        <v>63</v>
      </c>
      <c r="H68" s="5">
        <v>111082942</v>
      </c>
      <c r="I68" s="5">
        <v>95802583</v>
      </c>
      <c r="J68" s="1" t="s">
        <v>63</v>
      </c>
      <c r="K68" s="1" t="s">
        <v>63</v>
      </c>
      <c r="L68" s="1" t="s">
        <v>63</v>
      </c>
      <c r="M68" s="1" t="s">
        <v>63</v>
      </c>
      <c r="N68" s="1" t="s">
        <v>63</v>
      </c>
      <c r="O68" s="1" t="s">
        <v>63</v>
      </c>
      <c r="P68" s="1" t="s">
        <v>63</v>
      </c>
      <c r="Q68" s="1" t="s">
        <v>63</v>
      </c>
    </row>
    <row r="69" spans="1:43">
      <c r="A69" s="2"/>
    </row>
    <row r="70" spans="1:43">
      <c r="A70" s="2"/>
    </row>
    <row r="71" spans="1:43">
      <c r="A71" s="2"/>
    </row>
    <row r="72" spans="1:43">
      <c r="A72" s="30" t="s">
        <v>87</v>
      </c>
    </row>
    <row r="73" spans="1:43" ht="30">
      <c r="A73" s="2"/>
      <c r="B73" s="4" t="s">
        <v>126</v>
      </c>
      <c r="C73" s="4" t="s">
        <v>125</v>
      </c>
      <c r="D73" s="4" t="s">
        <v>124</v>
      </c>
      <c r="E73" s="4" t="s">
        <v>123</v>
      </c>
      <c r="F73" s="4" t="s">
        <v>122</v>
      </c>
      <c r="G73" s="4" t="s">
        <v>121</v>
      </c>
      <c r="H73" s="4" t="s">
        <v>120</v>
      </c>
      <c r="I73" s="4" t="s">
        <v>119</v>
      </c>
      <c r="J73" s="4" t="s">
        <v>118</v>
      </c>
      <c r="K73" s="4" t="s">
        <v>117</v>
      </c>
      <c r="L73" s="4" t="s">
        <v>116</v>
      </c>
      <c r="M73" s="4" t="s">
        <v>115</v>
      </c>
      <c r="N73" s="4" t="s">
        <v>114</v>
      </c>
      <c r="O73" s="4" t="s">
        <v>113</v>
      </c>
      <c r="P73" s="4" t="s">
        <v>112</v>
      </c>
      <c r="Q73" s="4" t="s">
        <v>111</v>
      </c>
      <c r="R73" s="4" t="s">
        <v>110</v>
      </c>
      <c r="S73" s="4" t="s">
        <v>109</v>
      </c>
      <c r="T73" s="4" t="s">
        <v>107</v>
      </c>
      <c r="U73" s="4" t="s">
        <v>106</v>
      </c>
      <c r="V73" s="4" t="s">
        <v>105</v>
      </c>
      <c r="W73" s="4" t="s">
        <v>104</v>
      </c>
      <c r="X73" s="4" t="s">
        <v>103</v>
      </c>
      <c r="Y73" s="4" t="s">
        <v>102</v>
      </c>
      <c r="Z73" s="4" t="s">
        <v>101</v>
      </c>
      <c r="AA73" s="4" t="s">
        <v>100</v>
      </c>
      <c r="AB73" s="4" t="s">
        <v>99</v>
      </c>
      <c r="AC73" s="4" t="s">
        <v>98</v>
      </c>
      <c r="AD73" s="4" t="s">
        <v>97</v>
      </c>
      <c r="AE73" s="4" t="s">
        <v>96</v>
      </c>
      <c r="AF73" s="4" t="s">
        <v>95</v>
      </c>
      <c r="AG73" s="4" t="s">
        <v>94</v>
      </c>
      <c r="AH73" s="4" t="s">
        <v>93</v>
      </c>
      <c r="AI73" s="4" t="s">
        <v>92</v>
      </c>
      <c r="AJ73" s="4" t="s">
        <v>91</v>
      </c>
      <c r="AK73" s="4" t="s">
        <v>90</v>
      </c>
      <c r="AL73" s="4" t="s">
        <v>89</v>
      </c>
      <c r="AM73" s="4" t="s">
        <v>88</v>
      </c>
      <c r="AN73" s="4" t="s">
        <v>108</v>
      </c>
      <c r="AO73" s="2"/>
      <c r="AP73" s="2"/>
      <c r="AQ73" s="2"/>
    </row>
    <row r="74" spans="1:43">
      <c r="A74" s="2" t="s">
        <v>134</v>
      </c>
      <c r="B74" s="32" t="s">
        <v>63</v>
      </c>
      <c r="C74" s="32" t="s">
        <v>63</v>
      </c>
      <c r="D74" s="32" t="s">
        <v>63</v>
      </c>
      <c r="E74" s="32" t="s">
        <v>63</v>
      </c>
      <c r="F74" s="32" t="s">
        <v>63</v>
      </c>
      <c r="G74" s="32" t="s">
        <v>63</v>
      </c>
      <c r="H74" s="32" t="s">
        <v>63</v>
      </c>
      <c r="I74" s="32" t="s">
        <v>63</v>
      </c>
      <c r="J74" s="32" t="s">
        <v>63</v>
      </c>
      <c r="K74" s="32" t="s">
        <v>63</v>
      </c>
      <c r="L74" s="32" t="s">
        <v>63</v>
      </c>
      <c r="M74" s="32" t="s">
        <v>63</v>
      </c>
      <c r="N74" s="32" t="s">
        <v>63</v>
      </c>
      <c r="O74" s="31">
        <v>93502549.939999938</v>
      </c>
      <c r="P74" s="31">
        <v>98551104.759999931</v>
      </c>
      <c r="Q74" s="31">
        <v>92546475.160000086</v>
      </c>
      <c r="R74" s="31">
        <v>30331700.969999909</v>
      </c>
      <c r="S74" s="31">
        <v>99504920.710000038</v>
      </c>
      <c r="T74" s="31">
        <v>111398451.33999991</v>
      </c>
      <c r="U74" s="31">
        <v>89607375.519999981</v>
      </c>
      <c r="V74" s="31">
        <v>74797569.259999871</v>
      </c>
      <c r="W74" s="31">
        <v>76598246.219999909</v>
      </c>
      <c r="X74" s="31">
        <v>68601716.090000033</v>
      </c>
      <c r="Y74" s="31">
        <v>65797923.669999987</v>
      </c>
      <c r="Z74" s="31">
        <v>85596858.679999918</v>
      </c>
      <c r="AA74" s="31">
        <v>92963852.250000119</v>
      </c>
      <c r="AB74" s="31">
        <v>96930614.820000112</v>
      </c>
      <c r="AC74" s="31">
        <v>107633741.34000003</v>
      </c>
      <c r="AD74" s="31">
        <v>104273660.77000016</v>
      </c>
      <c r="AE74" s="31">
        <v>31585540.039999962</v>
      </c>
      <c r="AF74" s="31">
        <v>111394589.69999981</v>
      </c>
      <c r="AG74" s="31">
        <v>130041089.20000005</v>
      </c>
      <c r="AH74" s="31">
        <v>84799661.459999919</v>
      </c>
      <c r="AI74" s="31">
        <v>78469533.540000081</v>
      </c>
      <c r="AJ74" s="31">
        <v>80985542.239999771</v>
      </c>
      <c r="AK74" s="31">
        <v>81128266.450000018</v>
      </c>
      <c r="AL74" s="31">
        <v>79452567.639999956</v>
      </c>
      <c r="AM74" s="31">
        <v>91497138.340000018</v>
      </c>
      <c r="AN74" s="31">
        <v>109864175.95</v>
      </c>
      <c r="AO74" s="4"/>
      <c r="AP74" s="2"/>
      <c r="AQ74" s="2"/>
    </row>
    <row r="75" spans="1:43">
      <c r="A75" s="2" t="s">
        <v>127</v>
      </c>
      <c r="B75">
        <f t="shared" ref="B75:AN75" si="14">B76+B77</f>
        <v>8085.7499999999991</v>
      </c>
      <c r="C75">
        <f t="shared" si="14"/>
        <v>8119.92</v>
      </c>
      <c r="D75">
        <f t="shared" si="14"/>
        <v>8160.9800000000005</v>
      </c>
      <c r="E75">
        <f t="shared" si="14"/>
        <v>8107.99</v>
      </c>
      <c r="F75">
        <f t="shared" si="14"/>
        <v>8204.34</v>
      </c>
      <c r="G75">
        <f t="shared" si="14"/>
        <v>8106.4900000000007</v>
      </c>
      <c r="H75">
        <f t="shared" si="14"/>
        <v>7997.64</v>
      </c>
      <c r="I75">
        <f t="shared" si="14"/>
        <v>7924.97</v>
      </c>
      <c r="J75">
        <f t="shared" si="14"/>
        <v>7841.7300000000014</v>
      </c>
      <c r="K75">
        <f t="shared" si="14"/>
        <v>7939.03</v>
      </c>
      <c r="L75">
        <f t="shared" si="14"/>
        <v>8103.1</v>
      </c>
      <c r="M75">
        <f t="shared" si="14"/>
        <v>8161.1899999999987</v>
      </c>
      <c r="N75">
        <f t="shared" si="14"/>
        <v>8015.5300000000007</v>
      </c>
      <c r="O75">
        <f t="shared" si="14"/>
        <v>8180.43</v>
      </c>
      <c r="P75">
        <f t="shared" si="14"/>
        <v>8188.9900000000016</v>
      </c>
      <c r="Q75">
        <f t="shared" si="14"/>
        <v>8117.5599999999995</v>
      </c>
      <c r="R75">
        <f t="shared" si="14"/>
        <v>8029.0299999999988</v>
      </c>
      <c r="S75">
        <f t="shared" si="14"/>
        <v>8146.5499999999993</v>
      </c>
      <c r="T75">
        <f t="shared" si="14"/>
        <v>8067.85</v>
      </c>
      <c r="U75">
        <f t="shared" si="14"/>
        <v>7970.9399999999987</v>
      </c>
      <c r="V75">
        <f t="shared" si="14"/>
        <v>7845.880000000001</v>
      </c>
      <c r="W75">
        <f t="shared" si="14"/>
        <v>7821.14</v>
      </c>
      <c r="X75">
        <f t="shared" si="14"/>
        <v>7994.47</v>
      </c>
      <c r="Y75">
        <f t="shared" si="14"/>
        <v>8238.4800000000014</v>
      </c>
      <c r="Z75">
        <f t="shared" si="14"/>
        <v>8321.09</v>
      </c>
      <c r="AA75">
        <f t="shared" si="14"/>
        <v>8369.3200000000015</v>
      </c>
      <c r="AB75">
        <f t="shared" si="14"/>
        <v>8613.01</v>
      </c>
      <c r="AC75">
        <f t="shared" si="14"/>
        <v>8709.5599999999977</v>
      </c>
      <c r="AD75">
        <f t="shared" si="14"/>
        <v>8740.4600000000009</v>
      </c>
      <c r="AE75">
        <f t="shared" si="14"/>
        <v>8725.8399999999983</v>
      </c>
      <c r="AF75">
        <f t="shared" si="14"/>
        <v>8912.84</v>
      </c>
      <c r="AG75">
        <f t="shared" si="14"/>
        <v>8995.56</v>
      </c>
      <c r="AH75">
        <f t="shared" si="14"/>
        <v>8865.4</v>
      </c>
      <c r="AI75">
        <f t="shared" si="14"/>
        <v>8822.06</v>
      </c>
      <c r="AJ75">
        <f t="shared" si="14"/>
        <v>8916.619999999999</v>
      </c>
      <c r="AK75">
        <f t="shared" si="14"/>
        <v>9135.869999999999</v>
      </c>
      <c r="AL75">
        <f t="shared" si="14"/>
        <v>9737.7800000000007</v>
      </c>
      <c r="AM75">
        <f t="shared" si="14"/>
        <v>10014.99</v>
      </c>
      <c r="AN75">
        <f t="shared" si="14"/>
        <v>10140.480000000001</v>
      </c>
    </row>
    <row r="76" spans="1:43">
      <c r="A76" s="2" t="s">
        <v>128</v>
      </c>
      <c r="B76">
        <v>6823.1299999999992</v>
      </c>
      <c r="C76">
        <v>6848.23</v>
      </c>
      <c r="D76">
        <v>6872.1500000000005</v>
      </c>
      <c r="E76">
        <v>6819.09</v>
      </c>
      <c r="F76">
        <v>6910.33</v>
      </c>
      <c r="G76">
        <v>6834.6600000000008</v>
      </c>
      <c r="H76">
        <v>6724.4400000000005</v>
      </c>
      <c r="I76">
        <v>6625.5300000000007</v>
      </c>
      <c r="J76">
        <v>6575.9600000000009</v>
      </c>
      <c r="K76">
        <v>6646.28</v>
      </c>
      <c r="L76">
        <v>6750.6900000000005</v>
      </c>
      <c r="M76">
        <v>6728.7099999999991</v>
      </c>
      <c r="N76">
        <v>6581.75</v>
      </c>
      <c r="O76">
        <v>6751.55</v>
      </c>
      <c r="P76">
        <v>6761.510000000002</v>
      </c>
      <c r="Q76">
        <v>6689.5899999999992</v>
      </c>
      <c r="R76">
        <v>6612.5499999999993</v>
      </c>
      <c r="S76">
        <v>6715.8899999999994</v>
      </c>
      <c r="T76">
        <v>6649.46</v>
      </c>
      <c r="U76">
        <v>6584.6299999999992</v>
      </c>
      <c r="V76">
        <v>6471.1500000000015</v>
      </c>
      <c r="W76">
        <v>6446.51</v>
      </c>
      <c r="X76">
        <v>6553.17</v>
      </c>
      <c r="Y76">
        <v>6719.380000000001</v>
      </c>
      <c r="Z76">
        <v>6726.8600000000006</v>
      </c>
      <c r="AA76">
        <v>6727.1700000000019</v>
      </c>
      <c r="AB76">
        <v>6972.8</v>
      </c>
      <c r="AC76">
        <v>7049.5999999999976</v>
      </c>
      <c r="AD76">
        <v>7075.85</v>
      </c>
      <c r="AE76">
        <v>7053.659999999998</v>
      </c>
      <c r="AF76">
        <v>7222.92</v>
      </c>
      <c r="AG76">
        <v>7233.3099999999995</v>
      </c>
      <c r="AH76">
        <v>7216.2099999999991</v>
      </c>
      <c r="AI76">
        <v>7181.82</v>
      </c>
      <c r="AJ76">
        <v>7289.9699999999993</v>
      </c>
      <c r="AK76">
        <v>7424.9299999999985</v>
      </c>
      <c r="AL76">
        <v>7961.2400000000007</v>
      </c>
      <c r="AM76">
        <v>8049.99</v>
      </c>
      <c r="AN76">
        <v>8114.9700000000012</v>
      </c>
    </row>
    <row r="77" spans="1:43">
      <c r="A77" s="2" t="s">
        <v>129</v>
      </c>
      <c r="B77">
        <v>1262.6199999999999</v>
      </c>
      <c r="C77">
        <v>1271.69</v>
      </c>
      <c r="D77">
        <v>1288.83</v>
      </c>
      <c r="E77">
        <v>1288.8999999999999</v>
      </c>
      <c r="F77">
        <v>1294.0099999999998</v>
      </c>
      <c r="G77">
        <v>1271.83</v>
      </c>
      <c r="H77">
        <v>1273.1999999999998</v>
      </c>
      <c r="I77">
        <v>1299.4399999999998</v>
      </c>
      <c r="J77">
        <v>1265.77</v>
      </c>
      <c r="K77">
        <v>1292.75</v>
      </c>
      <c r="L77">
        <v>1352.41</v>
      </c>
      <c r="M77">
        <v>1432.48</v>
      </c>
      <c r="N77">
        <v>1433.7800000000002</v>
      </c>
      <c r="O77">
        <v>1428.8799999999999</v>
      </c>
      <c r="P77">
        <v>1427.48</v>
      </c>
      <c r="Q77">
        <v>1427.97</v>
      </c>
      <c r="R77">
        <v>1416.4799999999998</v>
      </c>
      <c r="S77">
        <v>1430.66</v>
      </c>
      <c r="T77">
        <v>1418.39</v>
      </c>
      <c r="U77">
        <v>1386.31</v>
      </c>
      <c r="V77">
        <v>1374.73</v>
      </c>
      <c r="W77">
        <v>1374.6299999999999</v>
      </c>
      <c r="X77">
        <v>1441.3000000000002</v>
      </c>
      <c r="Y77">
        <v>1519.1000000000001</v>
      </c>
      <c r="Z77">
        <v>1594.23</v>
      </c>
      <c r="AA77">
        <v>1642.15</v>
      </c>
      <c r="AB77">
        <v>1640.2099999999998</v>
      </c>
      <c r="AC77">
        <v>1659.96</v>
      </c>
      <c r="AD77">
        <v>1664.6100000000001</v>
      </c>
      <c r="AE77">
        <v>1672.18</v>
      </c>
      <c r="AF77">
        <v>1689.9199999999998</v>
      </c>
      <c r="AG77">
        <v>1762.25</v>
      </c>
      <c r="AH77">
        <v>1649.19</v>
      </c>
      <c r="AI77">
        <v>1640.24</v>
      </c>
      <c r="AJ77">
        <v>1626.65</v>
      </c>
      <c r="AK77">
        <v>1710.94</v>
      </c>
      <c r="AL77">
        <v>1776.5399999999997</v>
      </c>
      <c r="AM77">
        <v>1964.9999999999998</v>
      </c>
      <c r="AN77">
        <v>2025.5100000000002</v>
      </c>
    </row>
    <row r="78" spans="1:43">
      <c r="A78" s="2" t="s">
        <v>130</v>
      </c>
      <c r="B78" s="5">
        <v>185.33191079259248</v>
      </c>
      <c r="C78" s="5">
        <v>187.2767193743141</v>
      </c>
      <c r="D78" s="5">
        <v>193.73432033745033</v>
      </c>
      <c r="E78" s="5">
        <v>177.95537453436501</v>
      </c>
      <c r="F78" s="5">
        <v>182.77474589124017</v>
      </c>
      <c r="G78" s="5">
        <v>194.58738981459345</v>
      </c>
      <c r="H78" s="5">
        <v>186.27691898994772</v>
      </c>
      <c r="I78" s="5">
        <v>187.05233570176068</v>
      </c>
      <c r="J78" s="5">
        <v>191.22694197657114</v>
      </c>
      <c r="K78" s="5">
        <v>180.80229911238678</v>
      </c>
      <c r="L78" s="5">
        <v>177.90888759596467</v>
      </c>
      <c r="M78" s="5">
        <v>186.11724209062791</v>
      </c>
      <c r="N78" s="5">
        <v>200.247643039498</v>
      </c>
      <c r="O78" s="5">
        <v>187.07691908161738</v>
      </c>
      <c r="P78" s="5">
        <v>181.19011973875683</v>
      </c>
      <c r="Q78" s="5">
        <v>198.86087449772583</v>
      </c>
      <c r="R78" s="5">
        <v>176.0943190317837</v>
      </c>
      <c r="S78" s="5">
        <v>176.01904923868057</v>
      </c>
      <c r="T78" s="5">
        <v>193.46771264190306</v>
      </c>
      <c r="U78" s="5">
        <v>192.40506453609876</v>
      </c>
      <c r="V78" s="5">
        <v>191.95838857135408</v>
      </c>
      <c r="W78" s="5">
        <v>213.08269873953139</v>
      </c>
      <c r="X78" s="5">
        <v>181.07460231596679</v>
      </c>
      <c r="Y78" s="5">
        <v>182.80646833282265</v>
      </c>
      <c r="Z78" s="5">
        <v>188.04112813604434</v>
      </c>
      <c r="AA78" s="5">
        <v>207.57642125575276</v>
      </c>
      <c r="AB78" s="5">
        <v>184.72157043683487</v>
      </c>
      <c r="AC78" s="5">
        <v>181.1499099059746</v>
      </c>
      <c r="AD78" s="5">
        <v>204.56887458076091</v>
      </c>
      <c r="AE78" s="5">
        <v>176.8609380620326</v>
      </c>
      <c r="AF78" s="5">
        <v>179.1826663942619</v>
      </c>
      <c r="AG78" s="5">
        <v>205.0831551937107</v>
      </c>
      <c r="AH78" s="5">
        <v>180.96648465110849</v>
      </c>
      <c r="AI78" s="5">
        <v>186.9670491846455</v>
      </c>
      <c r="AJ78" s="5">
        <v>212.99119401621891</v>
      </c>
      <c r="AK78" s="5">
        <v>178.21293441082116</v>
      </c>
      <c r="AL78" s="5">
        <v>179.31884972483007</v>
      </c>
      <c r="AM78" s="5">
        <v>176.37930414457574</v>
      </c>
      <c r="AN78" s="5">
        <v>207.18640886482851</v>
      </c>
    </row>
    <row r="79" spans="1:43">
      <c r="A79" s="2" t="s">
        <v>131</v>
      </c>
      <c r="B79" s="5">
        <v>207.59244824286768</v>
      </c>
      <c r="C79" s="5">
        <v>209.00322530364647</v>
      </c>
      <c r="D79" s="5">
        <v>220.20649344535107</v>
      </c>
      <c r="E79" s="5">
        <v>203.95885777210495</v>
      </c>
      <c r="F79" s="5">
        <v>208.13110510641218</v>
      </c>
      <c r="G79" s="5">
        <v>219.80576778591919</v>
      </c>
      <c r="H79" s="5">
        <v>212.32838810251951</v>
      </c>
      <c r="I79" s="5">
        <v>212.23314206020859</v>
      </c>
      <c r="J79" s="5">
        <v>219.84187935109884</v>
      </c>
      <c r="K79" s="5">
        <v>205.25214355843283</v>
      </c>
      <c r="L79" s="5">
        <v>203.32284241697661</v>
      </c>
      <c r="M79" s="5">
        <v>210.37457467605333</v>
      </c>
      <c r="N79" s="5">
        <v>233.28149906247316</v>
      </c>
      <c r="O79" s="5">
        <v>213.17064538525435</v>
      </c>
      <c r="P79" s="5">
        <v>206.68906792988844</v>
      </c>
      <c r="Q79" s="5">
        <v>231.92223851097435</v>
      </c>
      <c r="R79" s="5">
        <v>204.34278587694843</v>
      </c>
      <c r="S79" s="5">
        <v>201.98322854738458</v>
      </c>
      <c r="T79" s="5">
        <v>222.52327168391599</v>
      </c>
      <c r="U79" s="5">
        <v>217.729382997697</v>
      </c>
      <c r="V79" s="5">
        <v>218.94983041692223</v>
      </c>
      <c r="W79" s="5">
        <v>246.71030296378018</v>
      </c>
      <c r="X79" s="5">
        <v>207.86658171218204</v>
      </c>
      <c r="Y79" s="5">
        <v>212.61397343331498</v>
      </c>
      <c r="Z79" s="5">
        <v>216.77142717495872</v>
      </c>
      <c r="AA79" s="5">
        <v>246.67685629268976</v>
      </c>
      <c r="AB79" s="5">
        <v>214.38752326027679</v>
      </c>
      <c r="AC79" s="5">
        <v>208.36089065753487</v>
      </c>
      <c r="AD79" s="5">
        <v>242.84681481714657</v>
      </c>
      <c r="AE79" s="5">
        <v>207.23790299440569</v>
      </c>
      <c r="AF79" s="5">
        <v>209.01377857674876</v>
      </c>
      <c r="AG79" s="5">
        <v>238.19995455105666</v>
      </c>
      <c r="AH79" s="5">
        <v>212.2521977605636</v>
      </c>
      <c r="AI79" s="5">
        <v>217.03215051658987</v>
      </c>
      <c r="AJ79" s="5">
        <v>252.33312413344774</v>
      </c>
      <c r="AK79" s="5">
        <v>205.86478150711707</v>
      </c>
      <c r="AL79" s="5">
        <v>207.95407446764298</v>
      </c>
      <c r="AM79" s="5">
        <v>207.48372808499374</v>
      </c>
      <c r="AN79" s="5">
        <v>249.69336636581974</v>
      </c>
    </row>
    <row r="80" spans="1:43">
      <c r="A80" s="2" t="s">
        <v>132</v>
      </c>
      <c r="B80" s="5">
        <v>66.362289551015635</v>
      </c>
      <c r="C80" s="5">
        <v>64.087219784315877</v>
      </c>
      <c r="D80" s="5">
        <v>66.024370017587827</v>
      </c>
      <c r="E80" s="5">
        <v>64.571559870409985</v>
      </c>
      <c r="F80" s="5">
        <v>61.897171964361029</v>
      </c>
      <c r="G80" s="5">
        <v>71.243707511141366</v>
      </c>
      <c r="H80" s="5">
        <v>60.414932194853577</v>
      </c>
      <c r="I80" s="5">
        <v>60.478148586526338</v>
      </c>
      <c r="J80" s="5">
        <v>67.447399233450213</v>
      </c>
      <c r="K80" s="5">
        <v>65.155084734950194</v>
      </c>
      <c r="L80" s="5">
        <v>64.108243462765003</v>
      </c>
      <c r="M80" s="5">
        <v>69.191301406691665</v>
      </c>
      <c r="N80" s="5">
        <v>66.850429974119209</v>
      </c>
      <c r="O80" s="5">
        <v>69.542038019342783</v>
      </c>
      <c r="P80" s="5">
        <v>67.178704518179927</v>
      </c>
      <c r="Q80" s="5">
        <v>64.757906469481824</v>
      </c>
      <c r="R80" s="5">
        <v>66.896112560071089</v>
      </c>
      <c r="S80" s="5">
        <v>67.403654962913038</v>
      </c>
      <c r="T80" s="5">
        <v>67.012428829448098</v>
      </c>
      <c r="U80" s="5">
        <v>75.818003869357867</v>
      </c>
      <c r="V80" s="5">
        <v>66.967969568883916</v>
      </c>
      <c r="W80" s="5">
        <v>75.500240874438504</v>
      </c>
      <c r="X80" s="5">
        <v>65.365132465495108</v>
      </c>
      <c r="Y80" s="5">
        <v>63.529384081889717</v>
      </c>
      <c r="Z80" s="5">
        <v>65.255364738656652</v>
      </c>
      <c r="AA80" s="5">
        <v>64.212211212413422</v>
      </c>
      <c r="AB80" s="5">
        <v>64.980283797054568</v>
      </c>
      <c r="AC80" s="5">
        <v>67.533426797443198</v>
      </c>
      <c r="AD80" s="5">
        <v>62.722734179009834</v>
      </c>
      <c r="AE80" s="5">
        <v>65.205296317373637</v>
      </c>
      <c r="AF80" s="5">
        <v>64.734274222451461</v>
      </c>
      <c r="AG80" s="5">
        <v>67.21754867339412</v>
      </c>
      <c r="AH80" s="5">
        <v>63.911054006095746</v>
      </c>
      <c r="AI80" s="5">
        <v>67.062687328276525</v>
      </c>
      <c r="AJ80" s="5">
        <v>69.148691238897314</v>
      </c>
      <c r="AK80" s="5">
        <v>69.313905052898491</v>
      </c>
      <c r="AL80" s="5">
        <v>65.51650566826001</v>
      </c>
      <c r="AM80" s="5">
        <v>67.398475417086914</v>
      </c>
      <c r="AN80" s="5">
        <v>60.880700859657189</v>
      </c>
    </row>
    <row r="82" spans="1:5">
      <c r="A82" s="30" t="s">
        <v>69</v>
      </c>
    </row>
    <row r="83" spans="1:5">
      <c r="A83" s="2" t="s">
        <v>70</v>
      </c>
      <c r="B83" s="2" t="s">
        <v>66</v>
      </c>
      <c r="C83" s="2" t="s">
        <v>71</v>
      </c>
      <c r="D83" s="2" t="s">
        <v>72</v>
      </c>
      <c r="E83" s="2" t="s">
        <v>73</v>
      </c>
    </row>
    <row r="84" spans="1:5">
      <c r="A84" s="1">
        <v>1</v>
      </c>
      <c r="B84" t="s">
        <v>80</v>
      </c>
      <c r="C84" s="5">
        <v>55006715.490000002</v>
      </c>
      <c r="D84" s="5">
        <v>10830357.040000001</v>
      </c>
      <c r="E84" s="5">
        <v>33409855.840000167</v>
      </c>
    </row>
    <row r="85" spans="1:5">
      <c r="A85" s="1">
        <v>2</v>
      </c>
      <c r="B85" t="s">
        <v>74</v>
      </c>
      <c r="C85" s="5">
        <v>14326554.190000001</v>
      </c>
      <c r="D85" s="5">
        <v>9334130.8200000003</v>
      </c>
      <c r="E85" s="5">
        <v>6291648.4299999643</v>
      </c>
    </row>
    <row r="86" spans="1:5">
      <c r="A86" s="1">
        <v>3</v>
      </c>
      <c r="B86" t="s">
        <v>75</v>
      </c>
      <c r="C86" s="5">
        <v>11813762.9</v>
      </c>
      <c r="D86" s="5">
        <v>13897192.859999999</v>
      </c>
      <c r="E86" s="5">
        <v>5694129.2099999459</v>
      </c>
    </row>
    <row r="87" spans="1:5">
      <c r="A87" s="1">
        <v>4</v>
      </c>
      <c r="B87" t="s">
        <v>76</v>
      </c>
      <c r="C87" s="5">
        <v>10243012.01</v>
      </c>
      <c r="D87" s="5">
        <v>7734866.7199999997</v>
      </c>
      <c r="E87" s="5">
        <v>5446365.3200000226</v>
      </c>
    </row>
    <row r="88" spans="1:5">
      <c r="A88" s="1">
        <v>5</v>
      </c>
      <c r="B88" t="s">
        <v>77</v>
      </c>
      <c r="C88" s="5">
        <v>9832304.1699999999</v>
      </c>
      <c r="D88" s="5">
        <v>6583422.6099999994</v>
      </c>
      <c r="E88" s="5">
        <v>4342331.9699999755</v>
      </c>
    </row>
    <row r="89" spans="1:5">
      <c r="A89" s="1">
        <v>6</v>
      </c>
      <c r="B89" t="s">
        <v>78</v>
      </c>
      <c r="C89" s="5">
        <v>9731377.8200000003</v>
      </c>
      <c r="D89" s="5">
        <v>8313556.2000000011</v>
      </c>
      <c r="E89" s="5">
        <v>4733365.3400000483</v>
      </c>
    </row>
    <row r="90" spans="1:5">
      <c r="A90" s="1">
        <v>7</v>
      </c>
      <c r="B90" t="s">
        <v>79</v>
      </c>
      <c r="C90" s="5">
        <v>8712531.0499999989</v>
      </c>
      <c r="D90" s="5">
        <v>7255373.29</v>
      </c>
      <c r="E90" s="5">
        <v>5533168.4799999529</v>
      </c>
    </row>
    <row r="91" spans="1:5">
      <c r="A91" s="1">
        <v>8</v>
      </c>
      <c r="B91" t="s">
        <v>81</v>
      </c>
      <c r="C91" s="5">
        <v>8007386.1699999999</v>
      </c>
      <c r="D91" s="5">
        <v>1054247.74</v>
      </c>
      <c r="E91" s="5">
        <v>5364476.3399999719</v>
      </c>
    </row>
    <row r="92" spans="1:5">
      <c r="A92" s="1">
        <v>9</v>
      </c>
      <c r="B92" t="s">
        <v>82</v>
      </c>
      <c r="C92" s="5">
        <v>7887211.8899999997</v>
      </c>
      <c r="D92" s="5">
        <v>2935616.63</v>
      </c>
      <c r="E92" s="5">
        <v>6099998.1899999622</v>
      </c>
    </row>
    <row r="93" spans="1:5">
      <c r="A93" s="1">
        <v>10</v>
      </c>
      <c r="B93" t="s">
        <v>83</v>
      </c>
      <c r="C93" s="5">
        <v>7332573.6299999999</v>
      </c>
      <c r="D93" s="5">
        <v>7047895.6799999997</v>
      </c>
      <c r="E93" s="5">
        <v>3157178.5999999968</v>
      </c>
    </row>
    <row r="108" spans="7:14">
      <c r="G108" s="37"/>
      <c r="H108" s="37"/>
      <c r="I108" s="37"/>
      <c r="J108" s="37"/>
      <c r="K108" s="37"/>
      <c r="L108" s="37"/>
      <c r="M108" s="37"/>
      <c r="N108" s="37"/>
    </row>
    <row r="109" spans="7:14">
      <c r="G109" s="37"/>
      <c r="H109" s="37"/>
      <c r="I109" s="37"/>
      <c r="J109" s="37"/>
      <c r="K109" s="37"/>
      <c r="L109" s="37"/>
      <c r="M109" s="37"/>
      <c r="N109" s="37"/>
    </row>
    <row r="110" spans="7:14">
      <c r="G110" s="37"/>
      <c r="H110" s="37"/>
      <c r="I110" s="37"/>
      <c r="J110" s="37"/>
      <c r="K110" s="37"/>
      <c r="L110" s="37"/>
      <c r="M110" s="37"/>
      <c r="N110" s="37"/>
    </row>
    <row r="111" spans="7:14">
      <c r="G111" s="37"/>
      <c r="H111" s="37"/>
      <c r="I111" s="37"/>
      <c r="J111" s="37"/>
      <c r="K111" s="37"/>
      <c r="L111" s="37"/>
      <c r="M111" s="37"/>
      <c r="N111" s="37"/>
    </row>
    <row r="112" spans="7:14">
      <c r="G112" s="37"/>
      <c r="H112" s="37"/>
      <c r="I112" s="37"/>
      <c r="J112" s="37"/>
      <c r="K112" s="37"/>
      <c r="L112" s="37"/>
      <c r="M112" s="37"/>
      <c r="N112" s="37"/>
    </row>
    <row r="113" spans="7:14">
      <c r="G113" s="37"/>
      <c r="H113" s="37"/>
      <c r="I113" s="37"/>
      <c r="J113" s="37"/>
      <c r="K113" s="37"/>
      <c r="L113" s="37"/>
      <c r="M113" s="37"/>
      <c r="N113" s="37"/>
    </row>
    <row r="114" spans="7:14">
      <c r="G114" s="37"/>
      <c r="H114" s="37"/>
      <c r="I114" s="37"/>
      <c r="J114" s="37"/>
      <c r="K114" s="37"/>
      <c r="L114" s="37"/>
      <c r="M114" s="37"/>
      <c r="N114" s="37"/>
    </row>
    <row r="115" spans="7:14">
      <c r="G115" s="37"/>
      <c r="H115" s="37"/>
      <c r="I115" s="37"/>
      <c r="J115" s="37"/>
      <c r="K115" s="37"/>
      <c r="L115" s="37"/>
      <c r="M115" s="37"/>
      <c r="N115" s="37"/>
    </row>
    <row r="116" spans="7:14">
      <c r="G116" s="37"/>
      <c r="H116" s="37"/>
      <c r="I116" s="37"/>
      <c r="J116" s="37"/>
      <c r="K116" s="37"/>
      <c r="L116" s="37"/>
      <c r="M116" s="37"/>
      <c r="N116" s="37"/>
    </row>
    <row r="117" spans="7:14">
      <c r="G117" s="37"/>
      <c r="H117" s="37"/>
      <c r="I117" s="37"/>
      <c r="J117" s="37"/>
      <c r="K117" s="37"/>
      <c r="L117" s="37"/>
      <c r="M117" s="37"/>
      <c r="N117" s="37"/>
    </row>
    <row r="118" spans="7:14">
      <c r="G118" s="37"/>
      <c r="H118" s="37"/>
      <c r="I118" s="37"/>
      <c r="J118" s="37"/>
      <c r="K118" s="37"/>
      <c r="L118" s="37"/>
      <c r="M118" s="37"/>
      <c r="N118" s="37"/>
    </row>
    <row r="119" spans="7:14">
      <c r="G119" s="37"/>
      <c r="H119" s="37"/>
      <c r="I119" s="37"/>
      <c r="J119" s="37"/>
      <c r="K119" s="37"/>
      <c r="L119" s="37"/>
      <c r="M119" s="37"/>
      <c r="N119" s="37"/>
    </row>
    <row r="120" spans="7:14">
      <c r="G120" s="37"/>
      <c r="H120" s="37"/>
      <c r="I120" s="37"/>
      <c r="J120" s="37"/>
      <c r="K120" s="37"/>
      <c r="L120" s="37"/>
      <c r="M120" s="37"/>
      <c r="N120" s="37"/>
    </row>
    <row r="121" spans="7:14">
      <c r="G121" s="37"/>
      <c r="H121" s="37"/>
      <c r="I121" s="37"/>
      <c r="J121" s="37"/>
      <c r="K121" s="37"/>
      <c r="L121" s="37"/>
      <c r="M121" s="37"/>
      <c r="N121" s="37"/>
    </row>
    <row r="122" spans="7:14">
      <c r="G122" s="37"/>
      <c r="H122" s="37"/>
      <c r="I122" s="37"/>
      <c r="J122" s="37"/>
      <c r="K122" s="37"/>
      <c r="L122" s="37"/>
      <c r="M122" s="37"/>
      <c r="N122" s="37"/>
    </row>
    <row r="123" spans="7:14">
      <c r="G123" s="37"/>
      <c r="H123" s="37"/>
      <c r="I123" s="37"/>
      <c r="J123" s="37"/>
      <c r="K123" s="37"/>
      <c r="L123" s="37"/>
      <c r="M123" s="37"/>
      <c r="N123" s="37"/>
    </row>
    <row r="124" spans="7:14">
      <c r="G124" s="37"/>
      <c r="H124" s="37"/>
      <c r="I124" s="37"/>
      <c r="J124" s="37"/>
      <c r="K124" s="37"/>
      <c r="L124" s="37"/>
      <c r="M124" s="37"/>
      <c r="N124" s="37"/>
    </row>
    <row r="125" spans="7:14">
      <c r="G125" s="37"/>
      <c r="H125" s="37"/>
      <c r="I125" s="37"/>
      <c r="J125" s="37"/>
      <c r="K125" s="37"/>
      <c r="L125" s="37"/>
      <c r="M125" s="37"/>
      <c r="N125" s="37"/>
    </row>
    <row r="126" spans="7:14">
      <c r="G126" s="37"/>
      <c r="H126" s="37"/>
      <c r="I126" s="37"/>
      <c r="J126" s="37"/>
      <c r="K126" s="37"/>
      <c r="L126" s="37"/>
      <c r="M126" s="37"/>
      <c r="N126" s="37"/>
    </row>
    <row r="127" spans="7:14">
      <c r="G127" s="37"/>
      <c r="H127" s="37"/>
      <c r="I127" s="37"/>
      <c r="J127" s="37"/>
      <c r="K127" s="37"/>
      <c r="L127" s="37"/>
      <c r="M127" s="37"/>
      <c r="N127" s="37"/>
    </row>
    <row r="128" spans="7:14">
      <c r="G128" s="37"/>
      <c r="H128" s="37"/>
      <c r="I128" s="37"/>
      <c r="J128" s="37"/>
      <c r="K128" s="37"/>
      <c r="L128" s="37"/>
      <c r="M128" s="37"/>
      <c r="N128" s="37"/>
    </row>
    <row r="129" spans="7:14">
      <c r="G129" s="37"/>
      <c r="H129" s="37"/>
      <c r="I129" s="37"/>
      <c r="J129" s="37"/>
      <c r="K129" s="37"/>
      <c r="L129" s="37"/>
      <c r="M129" s="37"/>
      <c r="N129" s="37"/>
    </row>
    <row r="130" spans="7:14">
      <c r="G130" s="37"/>
      <c r="H130" s="37"/>
      <c r="I130" s="37"/>
      <c r="J130" s="37"/>
      <c r="K130" s="37"/>
      <c r="L130" s="37"/>
      <c r="M130" s="37"/>
      <c r="N130" s="37"/>
    </row>
    <row r="131" spans="7:14">
      <c r="G131" s="37"/>
      <c r="H131" s="37"/>
      <c r="I131" s="37"/>
      <c r="J131" s="37"/>
      <c r="K131" s="37"/>
      <c r="L131" s="37"/>
      <c r="M131" s="37"/>
      <c r="N131" s="37"/>
    </row>
    <row r="132" spans="7:14">
      <c r="G132" s="37"/>
      <c r="H132" s="37"/>
      <c r="I132" s="37"/>
      <c r="J132" s="37"/>
      <c r="K132" s="37"/>
      <c r="L132" s="37"/>
      <c r="M132" s="37"/>
      <c r="N132" s="37"/>
    </row>
    <row r="133" spans="7:14">
      <c r="G133" s="37"/>
      <c r="H133" s="37"/>
      <c r="I133" s="37"/>
      <c r="J133" s="37"/>
      <c r="K133" s="37"/>
      <c r="L133" s="37"/>
      <c r="M133" s="37"/>
      <c r="N133" s="37"/>
    </row>
    <row r="134" spans="7:14">
      <c r="G134" s="37"/>
      <c r="H134" s="37"/>
      <c r="I134" s="37"/>
      <c r="J134" s="37"/>
      <c r="K134" s="37"/>
      <c r="L134" s="37"/>
      <c r="M134" s="37"/>
      <c r="N134" s="37"/>
    </row>
    <row r="135" spans="7:14">
      <c r="G135" s="37"/>
      <c r="H135" s="37"/>
      <c r="I135" s="37"/>
      <c r="J135" s="37"/>
      <c r="K135" s="37"/>
      <c r="L135" s="37"/>
      <c r="M135" s="37"/>
      <c r="N135" s="37"/>
    </row>
    <row r="136" spans="7:14">
      <c r="G136" s="37"/>
      <c r="H136" s="37"/>
      <c r="I136" s="37"/>
      <c r="J136" s="37"/>
      <c r="K136" s="37"/>
      <c r="L136" s="37"/>
      <c r="M136" s="37"/>
      <c r="N136" s="37"/>
    </row>
    <row r="137" spans="7:14">
      <c r="G137" s="37"/>
      <c r="H137" s="37"/>
      <c r="I137" s="37"/>
      <c r="J137" s="37"/>
      <c r="K137" s="37"/>
      <c r="L137" s="37"/>
      <c r="M137" s="37"/>
      <c r="N137" s="37"/>
    </row>
    <row r="138" spans="7:14">
      <c r="G138" s="37"/>
      <c r="H138" s="37"/>
      <c r="I138" s="37"/>
      <c r="J138" s="37"/>
      <c r="K138" s="37"/>
      <c r="L138" s="37"/>
      <c r="M138" s="37"/>
      <c r="N138" s="37"/>
    </row>
    <row r="139" spans="7:14">
      <c r="G139" s="37"/>
      <c r="H139" s="37"/>
      <c r="I139" s="37"/>
      <c r="J139" s="37"/>
      <c r="K139" s="37"/>
      <c r="L139" s="37"/>
      <c r="M139" s="37"/>
      <c r="N139" s="37"/>
    </row>
    <row r="140" spans="7:14">
      <c r="G140" s="37"/>
      <c r="H140" s="37"/>
      <c r="I140" s="37"/>
      <c r="J140" s="37"/>
      <c r="K140" s="37"/>
      <c r="L140" s="37"/>
      <c r="M140" s="37"/>
      <c r="N140" s="37"/>
    </row>
    <row r="141" spans="7:14">
      <c r="G141" s="37"/>
      <c r="H141" s="37"/>
      <c r="I141" s="37"/>
      <c r="J141" s="37"/>
      <c r="K141" s="37"/>
      <c r="L141" s="37"/>
      <c r="M141" s="37"/>
      <c r="N141" s="37"/>
    </row>
    <row r="142" spans="7:14">
      <c r="G142" s="37"/>
      <c r="H142" s="37"/>
      <c r="I142" s="37"/>
      <c r="J142" s="37"/>
      <c r="K142" s="37"/>
      <c r="L142" s="37"/>
      <c r="M142" s="37"/>
      <c r="N142" s="37"/>
    </row>
    <row r="143" spans="7:14">
      <c r="G143" s="37"/>
      <c r="H143" s="37"/>
      <c r="I143" s="37"/>
      <c r="J143" s="37"/>
      <c r="K143" s="37"/>
      <c r="L143" s="37"/>
      <c r="M143" s="37"/>
      <c r="N143" s="37"/>
    </row>
    <row r="144" spans="7:14">
      <c r="G144" s="37"/>
      <c r="H144" s="37"/>
      <c r="I144" s="37"/>
      <c r="J144" s="37"/>
      <c r="K144" s="37"/>
      <c r="L144" s="37"/>
      <c r="M144" s="37"/>
      <c r="N144" s="37"/>
    </row>
    <row r="145" spans="7:14">
      <c r="G145" s="37"/>
      <c r="H145" s="37"/>
      <c r="I145" s="37"/>
      <c r="J145" s="37"/>
      <c r="K145" s="37"/>
      <c r="L145" s="37"/>
      <c r="M145" s="37"/>
      <c r="N145" s="37"/>
    </row>
    <row r="146" spans="7:14">
      <c r="G146" s="37"/>
      <c r="H146" s="37"/>
      <c r="I146" s="37"/>
      <c r="J146" s="37"/>
      <c r="K146" s="37"/>
      <c r="L146" s="37"/>
      <c r="M146" s="37"/>
      <c r="N146" s="37"/>
    </row>
    <row r="147" spans="7:14">
      <c r="G147" s="37"/>
      <c r="H147" s="37"/>
      <c r="I147" s="37"/>
      <c r="J147" s="37"/>
      <c r="K147" s="37"/>
      <c r="L147" s="37"/>
      <c r="M147" s="37"/>
      <c r="N147" s="37"/>
    </row>
    <row r="148" spans="7:14">
      <c r="G148" s="37"/>
      <c r="H148" s="37"/>
      <c r="I148" s="37"/>
      <c r="J148" s="37"/>
      <c r="K148" s="37"/>
      <c r="L148" s="37"/>
      <c r="M148" s="37"/>
      <c r="N148" s="37"/>
    </row>
    <row r="149" spans="7:14">
      <c r="G149" s="37"/>
      <c r="H149" s="37"/>
      <c r="I149" s="37"/>
      <c r="J149" s="37"/>
      <c r="K149" s="37"/>
      <c r="L149" s="37"/>
      <c r="M149" s="37"/>
      <c r="N149" s="37"/>
    </row>
    <row r="176" spans="34:67" ht="75">
      <c r="AH176" s="38" t="s">
        <v>135</v>
      </c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</row>
    <row r="177" spans="33:67"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</row>
    <row r="178" spans="33:67"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</row>
    <row r="179" spans="33:67"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</row>
    <row r="180" spans="33:67"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</row>
    <row r="181" spans="33:67"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</row>
    <row r="182" spans="33:67"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</row>
    <row r="183" spans="33:67"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</row>
    <row r="184" spans="33:67"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</row>
    <row r="185" spans="33:67"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</row>
  </sheetData>
  <sortState ref="J129:R167">
    <sortCondition descending="1" ref="J129"/>
  </sortState>
  <mergeCells count="8">
    <mergeCell ref="A60:M60"/>
    <mergeCell ref="A46:M46"/>
    <mergeCell ref="B37:J37"/>
    <mergeCell ref="A1:M1"/>
    <mergeCell ref="A7:M7"/>
    <mergeCell ref="A19:M19"/>
    <mergeCell ref="A35:M35"/>
    <mergeCell ref="A28:M2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"/>
    </sheetView>
  </sheetViews>
  <sheetFormatPr baseColWidth="10" defaultRowHeight="15" x14ac:dyDescent="0"/>
  <cols>
    <col min="1" max="1" width="25.1640625" customWidth="1"/>
    <col min="2" max="2" width="25" customWidth="1"/>
    <col min="3" max="3" width="18.6640625" customWidth="1"/>
    <col min="4" max="4" width="27.6640625" customWidth="1"/>
    <col min="5" max="5" width="25.1640625" customWidth="1"/>
  </cols>
  <sheetData>
    <row r="1" spans="1:5">
      <c r="A1" t="s">
        <v>1</v>
      </c>
    </row>
    <row r="2" spans="1:5">
      <c r="A2" t="s">
        <v>14</v>
      </c>
      <c r="B2" s="8">
        <f>SUM(B4:E4)</f>
        <v>651000000</v>
      </c>
    </row>
    <row r="3" spans="1:5">
      <c r="B3" t="s">
        <v>21</v>
      </c>
      <c r="C3" t="s">
        <v>22</v>
      </c>
      <c r="D3" t="s">
        <v>141</v>
      </c>
      <c r="E3" t="s">
        <v>23</v>
      </c>
    </row>
    <row r="4" spans="1:5">
      <c r="A4" t="s">
        <v>6</v>
      </c>
      <c r="B4" s="5">
        <v>500000000</v>
      </c>
      <c r="C4" s="5">
        <v>11000000</v>
      </c>
      <c r="D4" s="5">
        <v>40000000</v>
      </c>
      <c r="E4" s="5">
        <v>100000000</v>
      </c>
    </row>
    <row r="5" spans="1:5">
      <c r="A5" t="s">
        <v>20</v>
      </c>
      <c r="B5" s="6">
        <v>0.12618429649963137</v>
      </c>
      <c r="C5" s="6">
        <v>0.29359405194501598</v>
      </c>
      <c r="D5" s="6">
        <v>0.10537769873398428</v>
      </c>
      <c r="E5" s="6">
        <v>0.19992697018023375</v>
      </c>
    </row>
    <row r="6" spans="1:5">
      <c r="A6" t="s">
        <v>15</v>
      </c>
      <c r="B6" s="6">
        <f>B4/$B$2</f>
        <v>0.76804915514592931</v>
      </c>
      <c r="C6" s="6">
        <f>C4/$B$2</f>
        <v>1.6897081413210446E-2</v>
      </c>
      <c r="D6" s="6">
        <f>D4/$B$2</f>
        <v>6.1443932411674347E-2</v>
      </c>
      <c r="E6" s="6">
        <f>E4/$B$2</f>
        <v>0.15360983102918588</v>
      </c>
    </row>
    <row r="7" spans="1:5">
      <c r="A7" t="s">
        <v>16</v>
      </c>
      <c r="B7" s="5">
        <v>105000000</v>
      </c>
      <c r="C7" s="5">
        <v>10000000</v>
      </c>
      <c r="D7" s="5">
        <v>39000000</v>
      </c>
      <c r="E7" s="5">
        <v>5000000</v>
      </c>
    </row>
    <row r="8" spans="1:5">
      <c r="A8" t="s">
        <v>17</v>
      </c>
      <c r="B8" s="6">
        <f>B7/B4</f>
        <v>0.21</v>
      </c>
      <c r="C8" s="6">
        <f>C7/C4</f>
        <v>0.90909090909090906</v>
      </c>
      <c r="D8" s="6">
        <f>D7/D4</f>
        <v>0.97499999999999998</v>
      </c>
      <c r="E8" s="6">
        <f>E7/E4</f>
        <v>0.05</v>
      </c>
    </row>
    <row r="9" spans="1:5">
      <c r="A9" t="s">
        <v>19</v>
      </c>
      <c r="B9" s="55">
        <v>96.489234251589949</v>
      </c>
      <c r="C9" s="55">
        <v>-486.41407360305146</v>
      </c>
      <c r="D9" s="55">
        <v>244.63622419756359</v>
      </c>
      <c r="E9" s="55">
        <v>-166.29364733607432</v>
      </c>
    </row>
    <row r="10" spans="1:5">
      <c r="A10" t="s">
        <v>18</v>
      </c>
      <c r="B10" s="56">
        <f>B7/B4</f>
        <v>0.21</v>
      </c>
      <c r="C10" s="56">
        <f>C7/C4</f>
        <v>0.90909090909090906</v>
      </c>
      <c r="D10" s="56">
        <f>D7/D4</f>
        <v>0.97499999999999998</v>
      </c>
      <c r="E10" s="56">
        <f>E7/E4</f>
        <v>0.05</v>
      </c>
    </row>
    <row r="11" spans="1:5">
      <c r="B11">
        <f>460*B6</f>
        <v>353.3026113671275</v>
      </c>
      <c r="C11">
        <f>460*C6</f>
        <v>7.7726574500768049</v>
      </c>
      <c r="D11">
        <f>460*D6</f>
        <v>28.2642089093702</v>
      </c>
      <c r="E11">
        <f>460*E6</f>
        <v>70.660522273425499</v>
      </c>
    </row>
    <row r="12" spans="1:5">
      <c r="B12">
        <f>225*B10</f>
        <v>47.25</v>
      </c>
      <c r="C12">
        <f>225*C10</f>
        <v>204.54545454545453</v>
      </c>
      <c r="D12">
        <f>225*D10</f>
        <v>219.375</v>
      </c>
      <c r="E12">
        <f>225*E10</f>
        <v>11.25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P4</vt:lpstr>
      <vt:lpstr>Dummy Tree</vt:lpstr>
    </vt:vector>
  </TitlesOfParts>
  <Company>Maga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Nicholas Duchesne</cp:lastModifiedBy>
  <dcterms:created xsi:type="dcterms:W3CDTF">2015-11-16T13:32:02Z</dcterms:created>
  <dcterms:modified xsi:type="dcterms:W3CDTF">2015-11-23T15:27:07Z</dcterms:modified>
</cp:coreProperties>
</file>